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3.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4.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10.xml" ContentType="application/vnd.openxmlformats-officedocument.drawing+xml"/>
  <Override PartName="/xl/embeddings/oleObject3.bin" ContentType="application/vnd.openxmlformats-officedocument.oleObject"/>
  <Override PartName="/xl/embeddings/oleObject4.bin" ContentType="application/vnd.openxmlformats-officedocument.oleObject"/>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drawings/drawing15.xml" ContentType="application/vnd.openxmlformats-officedocument.drawing+xml"/>
  <Override PartName="/xl/drawings/drawing16.xml" ContentType="application/vnd.openxmlformats-officedocument.drawing+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drawings/drawing17.xml" ContentType="application/vnd.openxmlformats-officedocument.drawing+xml"/>
  <Override PartName="/xl/embeddings/oleObject5.bin" ContentType="application/vnd.openxmlformats-officedocument.oleObject"/>
  <Override PartName="/xl/embeddings/oleObject6.bin" ContentType="application/vnd.openxmlformats-officedocument.oleObject"/>
  <Override PartName="/xl/drawings/drawing18.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drawings/drawing23.xml" ContentType="application/vnd.openxmlformats-officedocument.drawing+xml"/>
  <Override PartName="/xl/ctrlProps/ctrlProp187.xml" ContentType="application/vnd.ms-excel.controlproperties+xml"/>
  <Override PartName="/xl/ctrlProps/ctrlProp188.xml" ContentType="application/vnd.ms-excel.controlproperties+xml"/>
  <Override PartName="/xl/drawings/drawing24.xml" ContentType="application/vnd.openxmlformats-officedocument.drawing+xml"/>
  <Override PartName="/xl/drawings/drawing25.xml" ContentType="application/vnd.openxmlformats-officedocument.drawing+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24226"/>
  <mc:AlternateContent xmlns:mc="http://schemas.openxmlformats.org/markup-compatibility/2006">
    <mc:Choice Requires="x15">
      <x15ac:absPath xmlns:x15ac="http://schemas.microsoft.com/office/spreadsheetml/2010/11/ac" url="https://linclanc.sharepoint.com/sites/HealthENV/Shared Documents/Air/Webpages/airforms/Up-to-Date Forms/"/>
    </mc:Choice>
  </mc:AlternateContent>
  <xr:revisionPtr revIDLastSave="144" documentId="11_E52096E876D1AC28814A05C50D50E421391570CF" xr6:coauthVersionLast="47" xr6:coauthVersionMax="47" xr10:uidLastSave="{0F2F4B20-60F6-4E84-AE24-5F59DA46A6C4}"/>
  <bookViews>
    <workbookView xWindow="-120" yWindow="-120" windowWidth="29040" windowHeight="15720" tabRatio="804" firstSheet="16" activeTab="22" xr2:uid="{00000000-000D-0000-FFFF-FFFF00000000}"/>
  </bookViews>
  <sheets>
    <sheet name="Introduction" sheetId="23" r:id="rId1"/>
    <sheet name="Section 1| General Information" sheetId="18" r:id="rId2"/>
    <sheet name="Section 2| Source Information" sheetId="21" r:id="rId3"/>
    <sheet name="Table 3-A| Emission Units" sheetId="8" r:id="rId4"/>
    <sheet name="Table 3-B| Stack Info" sheetId="10" r:id="rId5"/>
    <sheet name="Section 4 Instructions" sheetId="24" r:id="rId6"/>
    <sheet name="Table 4-A| Insignificant List" sheetId="9" r:id="rId7"/>
    <sheet name="Table 4-B| Oil Storage" sheetId="22" r:id="rId8"/>
    <sheet name="Table 4-C| Cooling Towers" sheetId="25" r:id="rId9"/>
    <sheet name="Table 5-A| Primary MPTE" sheetId="3" r:id="rId10"/>
    <sheet name="Table 5-B| Reclaim MPTE" sheetId="42" r:id="rId11"/>
    <sheet name="Table 5-C| MPTE VOC" sheetId="2" r:id="rId12"/>
    <sheet name="Table 5-D| MPTE HAP" sheetId="4" r:id="rId13"/>
    <sheet name="Table 5-E| MPTE Thresholds" sheetId="12" r:id="rId14"/>
    <sheet name="Section 6| Source Class" sheetId="26" r:id="rId15"/>
    <sheet name="Table 6-A| Controls &amp; Limits" sheetId="31" r:id="rId16"/>
    <sheet name="Table 6-B| Emission Limits" sheetId="41" r:id="rId17"/>
    <sheet name="Table 7-A| Primary APTE" sheetId="27" r:id="rId18"/>
    <sheet name="Table 7-B| Reclaim APTE" sheetId="43" r:id="rId19"/>
    <sheet name="Table 7-C| APTE VOC" sheetId="28" r:id="rId20"/>
    <sheet name="Table 7-D| APTE HAP" sheetId="33" r:id="rId21"/>
    <sheet name="Table 7-E| APTE Thresholds" sheetId="30" r:id="rId22"/>
    <sheet name="Section 8| Applicable Rules" sheetId="35" r:id="rId23"/>
    <sheet name="Section 9| Compliance Plan" sheetId="38" r:id="rId24"/>
    <sheet name="Table 9-A| Compliance Schedule" sheetId="37" r:id="rId25"/>
    <sheet name="Application Checklist" sheetId="39" r:id="rId26"/>
    <sheet name="GWPs" sheetId="11" r:id="rId27"/>
    <sheet name="HAP CAS &amp; Names" sheetId="13" r:id="rId28"/>
    <sheet name="2012NAICS" sheetId="20" r:id="rId29"/>
    <sheet name="Emission Controls" sheetId="32" r:id="rId30"/>
  </sheets>
  <definedNames>
    <definedName name="_ftnref1" localSheetId="29">'Emission Controls'!#REF!</definedName>
    <definedName name="_ftnref2" localSheetId="29">'Emission Controls'!#REF!</definedName>
    <definedName name="_ftnref3" localSheetId="29">'Emission Controls'!#REF!</definedName>
    <definedName name="_ftnref4" localSheetId="29">'Emission Controls'!#REF!</definedName>
    <definedName name="_ftnref5" localSheetId="29">'Emission Controls'!#REF!</definedName>
    <definedName name="_ftnref6" localSheetId="29">'Emission Controls'!#REF!</definedName>
    <definedName name="_xlnm.Print_Area" localSheetId="28">'2012NAICS'!$A$1:$B$1067</definedName>
    <definedName name="_xlnm.Print_Area" localSheetId="25">'Application Checklist'!$A$7:$F$36</definedName>
    <definedName name="_xlnm.Print_Area" localSheetId="29">'Emission Controls'!$A$1:$L$33</definedName>
    <definedName name="_xlnm.Print_Area" localSheetId="26">GWPs!$A$1:$E$44</definedName>
    <definedName name="_xlnm.Print_Area" localSheetId="27">'HAP CAS &amp; Names'!$B$3:$D$186</definedName>
    <definedName name="_xlnm.Print_Area" localSheetId="0">Introduction!$B$2:$K$20</definedName>
    <definedName name="_xlnm.Print_Area" localSheetId="1">'Section 1| General Information'!$A$1:$F$71</definedName>
    <definedName name="_xlnm.Print_Area" localSheetId="2">'Section 2| Source Information'!$A$1:$G$43</definedName>
    <definedName name="_xlnm.Print_Area" localSheetId="5">'Section 4 Instructions'!$A$1:$R$68</definedName>
    <definedName name="_xlnm.Print_Area" localSheetId="14">'Section 6| Source Class'!$A$1:$F$29</definedName>
    <definedName name="_xlnm.Print_Area" localSheetId="22">'Section 8| Applicable Rules'!$A$20:$F$129</definedName>
    <definedName name="_xlnm.Print_Area" localSheetId="23">'Section 9| Compliance Plan'!$A$8:$F$30</definedName>
    <definedName name="_xlnm.Print_Area" localSheetId="3">'Table 3-A| Emission Units'!$A$24:$E$113</definedName>
    <definedName name="_xlnm.Print_Area" localSheetId="4">'Table 3-B| Stack Info'!$A$32:$L$65</definedName>
    <definedName name="_xlnm.Print_Area" localSheetId="6">'Table 4-A| Insignificant List'!$A$9:$B$51</definedName>
    <definedName name="_xlnm.Print_Area" localSheetId="7">'Table 4-B| Oil Storage'!$A$5:$E$47</definedName>
    <definedName name="_xlnm.Print_Area" localSheetId="8">'Table 4-C| Cooling Towers'!$A$6:$G$50</definedName>
    <definedName name="_xlnm.Print_Area" localSheetId="9">'Table 5-A| Primary MPTE'!$A$73:$O$124</definedName>
    <definedName name="_xlnm.Print_Area" localSheetId="10">'Table 5-B| Reclaim MPTE'!$A$40:$O$67</definedName>
    <definedName name="_xlnm.Print_Area" localSheetId="11">'Table 5-C| MPTE VOC'!$A$24:$K$62</definedName>
    <definedName name="_xlnm.Print_Area" localSheetId="12">'Table 5-D| MPTE HAP'!$A$32:$L$48</definedName>
    <definedName name="_xlnm.Print_Area" localSheetId="13">'Table 5-E| MPTE Thresholds'!$A$7:$F$26</definedName>
    <definedName name="_xlnm.Print_Area" localSheetId="15">'Table 6-A| Controls &amp; Limits'!$A$15:$J$36</definedName>
    <definedName name="_xlnm.Print_Area" localSheetId="16">'Table 6-B| Emission Limits'!$A$18:$N$28</definedName>
    <definedName name="_xlnm.Print_Area" localSheetId="17">'Table 7-A| Primary APTE'!$A$7:$M$58</definedName>
    <definedName name="_xlnm.Print_Area" localSheetId="18">'Table 7-B| Reclaim APTE'!$A$7:$M$34</definedName>
    <definedName name="_xlnm.Print_Area" localSheetId="19">'Table 7-C| APTE VOC'!$A$17:$L$54</definedName>
    <definedName name="_xlnm.Print_Area" localSheetId="20">'Table 7-D| APTE HAP'!$A$23:$L$39</definedName>
    <definedName name="_xlnm.Print_Area" localSheetId="21">'Table 7-E| APTE Thresholds'!$A$8:$F$27</definedName>
    <definedName name="_xlnm.Print_Area" localSheetId="24">'Table 9-A| Compliance Schedule'!$A$7:$F$188</definedName>
    <definedName name="_xlnm.Print_Titles" localSheetId="28">'2012NAICS'!$1:$1</definedName>
    <definedName name="_xlnm.Print_Titles" localSheetId="25">'Application Checklist'!$7:$8</definedName>
    <definedName name="_xlnm.Print_Titles" localSheetId="1">'Section 1| General Information'!$9:$9</definedName>
    <definedName name="_xlnm.Print_Titles" localSheetId="2">'Section 2| Source Information'!$1:$2</definedName>
    <definedName name="_xlnm.Print_Titles" localSheetId="22">'Section 8| Applicable Rules'!$20:$21</definedName>
    <definedName name="_xlnm.Print_Titles" localSheetId="23">'Section 9| Compliance Plan'!$8:$9</definedName>
    <definedName name="_xlnm.Print_Titles" localSheetId="3">'Table 3-A| Emission Units'!$24:$28</definedName>
    <definedName name="_xlnm.Print_Titles" localSheetId="4">'Table 3-B| Stack Info'!$32:$38</definedName>
    <definedName name="_xlnm.Print_Titles" localSheetId="6">'Table 4-A| Insignificant List'!$9:$12</definedName>
    <definedName name="_xlnm.Print_Titles" localSheetId="7">'Table 4-B| Oil Storage'!$5:$8</definedName>
    <definedName name="_xlnm.Print_Titles" localSheetId="8">'Table 4-C| Cooling Towers'!$6:$9</definedName>
    <definedName name="_xlnm.Print_Titles" localSheetId="9">'Table 5-A| Primary MPTE'!$73:$77</definedName>
    <definedName name="_xlnm.Print_Titles" localSheetId="10">'Table 5-B| Reclaim MPTE'!$40:$44</definedName>
    <definedName name="_xlnm.Print_Titles" localSheetId="11">'Table 5-C| MPTE VOC'!$24:$29</definedName>
    <definedName name="_xlnm.Print_Titles" localSheetId="12">'Table 5-D| MPTE HAP'!$32:$37</definedName>
    <definedName name="_xlnm.Print_Titles" localSheetId="13">'Table 5-E| MPTE Thresholds'!$7:$9</definedName>
    <definedName name="_xlnm.Print_Titles" localSheetId="15">'Table 6-A| Controls &amp; Limits'!$15:$19</definedName>
    <definedName name="_xlnm.Print_Titles" localSheetId="16">'Table 6-B| Emission Limits'!$29:$33</definedName>
    <definedName name="_xlnm.Print_Titles" localSheetId="17">'Table 7-A| Primary APTE'!$7:$11</definedName>
    <definedName name="_xlnm.Print_Titles" localSheetId="18">'Table 7-B| Reclaim APTE'!$7:$11</definedName>
    <definedName name="_xlnm.Print_Titles" localSheetId="19">'Table 7-C| APTE VOC'!$17:$22</definedName>
    <definedName name="_xlnm.Print_Titles" localSheetId="20">'Table 7-D| APTE HAP'!$23:$28</definedName>
    <definedName name="_xlnm.Print_Titles" localSheetId="24">'Table 9-A| Compliance Schedule'!$7:$8</definedName>
    <definedName name="Text224" localSheetId="4">'Table 3-B| Stack Info'!#REF!</definedName>
    <definedName name="Text224" localSheetId="9">'Table 5-A| Primary MPTE'!#REF!</definedName>
    <definedName name="Text224" localSheetId="10">'Table 5-B| Reclaim MPTE'!$A$45</definedName>
    <definedName name="Text224" localSheetId="15">'Table 6-A| Controls &amp; Limits'!$A$24</definedName>
    <definedName name="Text224" localSheetId="16">'Table 6-B| Emission Limits'!#REF!</definedName>
    <definedName name="Text224" localSheetId="17">'Table 7-A| Primary APTE'!#REF!</definedName>
    <definedName name="Text224" localSheetId="18">'Table 7-B| Reclaim APTE'!$A$12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1" i="18" l="1"/>
  <c r="J41" i="10" l="1"/>
  <c r="J40" i="10"/>
  <c r="J39" i="10" l="1"/>
  <c r="AG52" i="33" l="1"/>
  <c r="AG50" i="33"/>
  <c r="AG48" i="33"/>
  <c r="AH56" i="33"/>
  <c r="AH55" i="33"/>
  <c r="AH54" i="33"/>
  <c r="AH53" i="33"/>
  <c r="B51" i="27"/>
  <c r="B50" i="27"/>
  <c r="B49" i="27"/>
  <c r="B44" i="27"/>
  <c r="B43" i="27"/>
  <c r="B42" i="27"/>
  <c r="B41" i="27"/>
  <c r="B40" i="27"/>
  <c r="B39" i="27"/>
  <c r="B38" i="27"/>
  <c r="B37" i="27"/>
  <c r="B36" i="27"/>
  <c r="B31" i="27"/>
  <c r="B30" i="27"/>
  <c r="B29" i="27"/>
  <c r="B28" i="27"/>
  <c r="B27" i="27"/>
  <c r="B26" i="27"/>
  <c r="B25" i="27"/>
  <c r="B24" i="27"/>
  <c r="B23" i="27"/>
  <c r="B18" i="27"/>
  <c r="B17" i="27"/>
  <c r="B16" i="27"/>
  <c r="B15" i="27"/>
  <c r="B14" i="27"/>
  <c r="K4" i="8"/>
  <c r="AH65" i="4"/>
  <c r="AH64" i="4"/>
  <c r="AH63" i="4"/>
  <c r="AH62" i="4"/>
  <c r="B117" i="3" l="1"/>
  <c r="B116" i="3"/>
  <c r="B115" i="3"/>
  <c r="B110" i="3"/>
  <c r="B109" i="3"/>
  <c r="B108" i="3"/>
  <c r="B107" i="3"/>
  <c r="B106" i="3"/>
  <c r="B104" i="3"/>
  <c r="B103" i="3"/>
  <c r="B102" i="3"/>
  <c r="B97" i="3"/>
  <c r="B96" i="3"/>
  <c r="B95" i="3"/>
  <c r="B94" i="3"/>
  <c r="B93" i="3"/>
  <c r="AC11" i="3"/>
  <c r="AB11" i="3"/>
  <c r="AA11" i="3"/>
  <c r="AC8" i="3"/>
  <c r="AB8" i="3"/>
  <c r="AA8" i="3"/>
  <c r="Y93" i="3" l="1"/>
  <c r="U93" i="3"/>
  <c r="Z93" i="3"/>
  <c r="V93" i="3"/>
  <c r="X93" i="3"/>
  <c r="T93" i="3"/>
  <c r="AA93" i="3"/>
  <c r="S93" i="3"/>
  <c r="W93" i="3"/>
  <c r="X102" i="3"/>
  <c r="T102" i="3"/>
  <c r="Y102" i="3"/>
  <c r="U102" i="3"/>
  <c r="AA102" i="3"/>
  <c r="S102" i="3"/>
  <c r="W102" i="3"/>
  <c r="V102" i="3"/>
  <c r="Z102" i="3"/>
  <c r="AA115" i="3"/>
  <c r="W115" i="3"/>
  <c r="S115" i="3"/>
  <c r="Z115" i="3"/>
  <c r="V115" i="3"/>
  <c r="X115" i="3"/>
  <c r="T115" i="3"/>
  <c r="Y115" i="3"/>
  <c r="U115" i="3"/>
  <c r="Z96" i="3"/>
  <c r="V96" i="3"/>
  <c r="AA96" i="3"/>
  <c r="W96" i="3"/>
  <c r="S96" i="3"/>
  <c r="U96" i="3"/>
  <c r="T96" i="3"/>
  <c r="Y96" i="3"/>
  <c r="X96" i="3"/>
  <c r="Z104" i="3"/>
  <c r="V104" i="3"/>
  <c r="AA104" i="3"/>
  <c r="W104" i="3"/>
  <c r="S104" i="3"/>
  <c r="Y104" i="3"/>
  <c r="X104" i="3"/>
  <c r="U104" i="3"/>
  <c r="T104" i="3"/>
  <c r="Y109" i="3"/>
  <c r="U109" i="3"/>
  <c r="X109" i="3"/>
  <c r="T109" i="3"/>
  <c r="Z109" i="3"/>
  <c r="V109" i="3"/>
  <c r="AA109" i="3"/>
  <c r="S109" i="3"/>
  <c r="W109" i="3"/>
  <c r="Y117" i="3"/>
  <c r="U117" i="3"/>
  <c r="X117" i="3"/>
  <c r="T117" i="3"/>
  <c r="Z117" i="3"/>
  <c r="V117" i="3"/>
  <c r="W117" i="3"/>
  <c r="AA117" i="3"/>
  <c r="S117" i="3"/>
  <c r="X110" i="3"/>
  <c r="T110" i="3"/>
  <c r="AA110" i="3"/>
  <c r="W110" i="3"/>
  <c r="S110" i="3"/>
  <c r="Y110" i="3"/>
  <c r="U110" i="3"/>
  <c r="V110" i="3"/>
  <c r="Z110" i="3"/>
  <c r="Y97" i="3"/>
  <c r="U97" i="3"/>
  <c r="Z97" i="3"/>
  <c r="V97" i="3"/>
  <c r="T97" i="3"/>
  <c r="AA97" i="3"/>
  <c r="W97" i="3"/>
  <c r="S97" i="3"/>
  <c r="X97" i="3"/>
  <c r="X106" i="3"/>
  <c r="T106" i="3"/>
  <c r="AA106" i="3"/>
  <c r="Y106" i="3"/>
  <c r="U106" i="3"/>
  <c r="W106" i="3"/>
  <c r="S106" i="3"/>
  <c r="Z106" i="3"/>
  <c r="V106" i="3"/>
  <c r="X94" i="3"/>
  <c r="T94" i="3"/>
  <c r="Y94" i="3"/>
  <c r="U94" i="3"/>
  <c r="W94" i="3"/>
  <c r="V94" i="3"/>
  <c r="AA94" i="3"/>
  <c r="Z94" i="3"/>
  <c r="S94" i="3"/>
  <c r="AA107" i="3"/>
  <c r="W107" i="3"/>
  <c r="S107" i="3"/>
  <c r="Z107" i="3"/>
  <c r="V107" i="3"/>
  <c r="X107" i="3"/>
  <c r="T107" i="3"/>
  <c r="Y107" i="3"/>
  <c r="U107" i="3"/>
  <c r="AA95" i="3"/>
  <c r="W95" i="3"/>
  <c r="S95" i="3"/>
  <c r="X95" i="3"/>
  <c r="T95" i="3"/>
  <c r="V95" i="3"/>
  <c r="Y95" i="3"/>
  <c r="U95" i="3"/>
  <c r="Z95" i="3"/>
  <c r="AA103" i="3"/>
  <c r="W103" i="3"/>
  <c r="S103" i="3"/>
  <c r="X103" i="3"/>
  <c r="T103" i="3"/>
  <c r="Z103" i="3"/>
  <c r="U103" i="3"/>
  <c r="Y103" i="3"/>
  <c r="V103" i="3"/>
  <c r="Z108" i="3"/>
  <c r="V108" i="3"/>
  <c r="Y108" i="3"/>
  <c r="U108" i="3"/>
  <c r="AA108" i="3"/>
  <c r="W108" i="3"/>
  <c r="S108" i="3"/>
  <c r="T108" i="3"/>
  <c r="X108" i="3"/>
  <c r="Z116" i="3"/>
  <c r="V116" i="3"/>
  <c r="Y116" i="3"/>
  <c r="U116" i="3"/>
  <c r="AA116" i="3"/>
  <c r="W116" i="3"/>
  <c r="S116" i="3"/>
  <c r="X116" i="3"/>
  <c r="T116" i="3"/>
  <c r="B91" i="3"/>
  <c r="B90" i="3"/>
  <c r="B89" i="3"/>
  <c r="B84" i="3"/>
  <c r="B83" i="3"/>
  <c r="B82" i="3"/>
  <c r="B81" i="3"/>
  <c r="B80" i="3"/>
  <c r="X82" i="3" l="1"/>
  <c r="T82" i="3"/>
  <c r="Y82" i="3"/>
  <c r="U82" i="3"/>
  <c r="W82" i="3"/>
  <c r="S82" i="3"/>
  <c r="Z82" i="3"/>
  <c r="V82" i="3"/>
  <c r="AA82" i="3"/>
  <c r="X90" i="3"/>
  <c r="T90" i="3"/>
  <c r="Y90" i="3"/>
  <c r="U90" i="3"/>
  <c r="AA90" i="3"/>
  <c r="S90" i="3"/>
  <c r="Z90" i="3"/>
  <c r="V90" i="3"/>
  <c r="W90" i="3"/>
  <c r="Y89" i="3"/>
  <c r="U89" i="3"/>
  <c r="Z89" i="3"/>
  <c r="V89" i="3"/>
  <c r="T89" i="3"/>
  <c r="S89" i="3"/>
  <c r="X89" i="3"/>
  <c r="W89" i="3"/>
  <c r="AA89" i="3"/>
  <c r="AA83" i="3"/>
  <c r="W83" i="3"/>
  <c r="S83" i="3"/>
  <c r="X83" i="3"/>
  <c r="T83" i="3"/>
  <c r="V83" i="3"/>
  <c r="U83" i="3"/>
  <c r="Z83" i="3"/>
  <c r="Y83" i="3"/>
  <c r="AA91" i="3"/>
  <c r="W91" i="3"/>
  <c r="S91" i="3"/>
  <c r="X91" i="3"/>
  <c r="T91" i="3"/>
  <c r="Z91" i="3"/>
  <c r="V91" i="3"/>
  <c r="U91" i="3"/>
  <c r="Y91" i="3"/>
  <c r="Y81" i="3"/>
  <c r="U81" i="3"/>
  <c r="Z81" i="3"/>
  <c r="V81" i="3"/>
  <c r="X81" i="3"/>
  <c r="W81" i="3"/>
  <c r="AA81" i="3"/>
  <c r="S81" i="3"/>
  <c r="T81" i="3"/>
  <c r="Z80" i="3"/>
  <c r="V80" i="3"/>
  <c r="AA80" i="3"/>
  <c r="W80" i="3"/>
  <c r="S80" i="3"/>
  <c r="Y80" i="3"/>
  <c r="U80" i="3"/>
  <c r="T80" i="3"/>
  <c r="X80" i="3"/>
  <c r="Z84" i="3"/>
  <c r="V84" i="3"/>
  <c r="AA84" i="3"/>
  <c r="W84" i="3"/>
  <c r="S84" i="3"/>
  <c r="U84" i="3"/>
  <c r="X84" i="3"/>
  <c r="T84" i="3"/>
  <c r="Y84" i="3"/>
  <c r="AA5" i="3"/>
  <c r="C115" i="8"/>
  <c r="E115" i="8" s="1"/>
  <c r="F60" i="8"/>
  <c r="F47" i="8"/>
  <c r="F34" i="8"/>
  <c r="D65" i="8"/>
  <c r="D64" i="8"/>
  <c r="D63" i="8"/>
  <c r="D52" i="8"/>
  <c r="D51" i="8"/>
  <c r="D50" i="8"/>
  <c r="D39" i="8"/>
  <c r="D38" i="8"/>
  <c r="D37" i="8"/>
  <c r="R65" i="8"/>
  <c r="E65" i="8" s="1"/>
  <c r="R64" i="8"/>
  <c r="R63" i="8"/>
  <c r="E63" i="8" s="1"/>
  <c r="R52" i="8"/>
  <c r="E52" i="8" s="1"/>
  <c r="R51" i="8"/>
  <c r="E51" i="8" s="1"/>
  <c r="R50" i="8"/>
  <c r="E50" i="8" s="1"/>
  <c r="R39" i="8"/>
  <c r="R38" i="8"/>
  <c r="R37" i="8"/>
  <c r="E62" i="8"/>
  <c r="E49" i="8"/>
  <c r="C49" i="8"/>
  <c r="C62" i="8"/>
  <c r="E36" i="8"/>
  <c r="C36" i="8"/>
  <c r="B19" i="27" s="1"/>
  <c r="V11" i="8"/>
  <c r="V10" i="8"/>
  <c r="V9" i="8"/>
  <c r="V8" i="8"/>
  <c r="V7" i="8"/>
  <c r="V6" i="8"/>
  <c r="V5" i="8"/>
  <c r="V4" i="8"/>
  <c r="V3" i="8"/>
  <c r="C118" i="8"/>
  <c r="E118" i="8" s="1"/>
  <c r="C117" i="8"/>
  <c r="E117" i="8" s="1"/>
  <c r="C116" i="8"/>
  <c r="E116" i="8" s="1"/>
  <c r="E37" i="8" l="1"/>
  <c r="C37" i="8" s="1"/>
  <c r="B20" i="27" s="1"/>
  <c r="E38" i="8"/>
  <c r="C38" i="8" s="1"/>
  <c r="B21" i="27" s="1"/>
  <c r="E39" i="8"/>
  <c r="C39" i="8" s="1"/>
  <c r="B98" i="3"/>
  <c r="AG41" i="4" s="1"/>
  <c r="B32" i="27"/>
  <c r="B111" i="3"/>
  <c r="AG45" i="4" s="1"/>
  <c r="B45" i="27"/>
  <c r="B85" i="3"/>
  <c r="AG37" i="4" s="1"/>
  <c r="E64" i="8"/>
  <c r="C64" i="8" s="1"/>
  <c r="C63" i="8"/>
  <c r="C65" i="8"/>
  <c r="C52" i="8"/>
  <c r="C51" i="8"/>
  <c r="C50" i="8"/>
  <c r="AG60" i="4" l="1"/>
  <c r="AG51" i="33" s="1"/>
  <c r="AG36" i="33"/>
  <c r="AG58" i="4"/>
  <c r="AG49" i="33" s="1"/>
  <c r="AG32" i="33"/>
  <c r="AG56" i="4"/>
  <c r="AG47" i="33" s="1"/>
  <c r="AG28" i="33"/>
  <c r="S111" i="3"/>
  <c r="W111" i="3"/>
  <c r="V111" i="3"/>
  <c r="X111" i="3"/>
  <c r="T111" i="3"/>
  <c r="U111" i="3"/>
  <c r="S98" i="3"/>
  <c r="U98" i="3"/>
  <c r="X98" i="3"/>
  <c r="AA98" i="3"/>
  <c r="W98" i="3"/>
  <c r="V98" i="3"/>
  <c r="T98" i="3"/>
  <c r="Y98" i="3"/>
  <c r="Z98" i="3"/>
  <c r="B99" i="3"/>
  <c r="AG42" i="4" s="1"/>
  <c r="B33" i="27"/>
  <c r="B114" i="3"/>
  <c r="AG48" i="4" s="1"/>
  <c r="B48" i="27"/>
  <c r="B112" i="3"/>
  <c r="AG46" i="4" s="1"/>
  <c r="B46" i="27"/>
  <c r="B113" i="3"/>
  <c r="AG47" i="4" s="1"/>
  <c r="B47" i="27"/>
  <c r="AA111" i="3"/>
  <c r="B88" i="3"/>
  <c r="AG40" i="4" s="1"/>
  <c r="B22" i="27"/>
  <c r="B100" i="3"/>
  <c r="AG43" i="4" s="1"/>
  <c r="B34" i="27"/>
  <c r="B101" i="3"/>
  <c r="AG44" i="4" s="1"/>
  <c r="B35" i="27"/>
  <c r="Z111" i="3"/>
  <c r="Y111" i="3"/>
  <c r="S85" i="3"/>
  <c r="AA85" i="3"/>
  <c r="Y85" i="3"/>
  <c r="Z85" i="3"/>
  <c r="W85" i="3"/>
  <c r="T85" i="3"/>
  <c r="U85" i="3"/>
  <c r="V85" i="3"/>
  <c r="X85" i="3"/>
  <c r="B86" i="3"/>
  <c r="AG38" i="4" s="1"/>
  <c r="B87" i="3"/>
  <c r="AG39" i="4" s="1"/>
  <c r="AG34" i="33" l="1"/>
  <c r="AG38" i="33"/>
  <c r="AG30" i="33"/>
  <c r="AG35" i="33"/>
  <c r="AG29" i="33"/>
  <c r="AG37" i="33"/>
  <c r="AG31" i="33"/>
  <c r="AG33" i="33"/>
  <c r="AU48" i="4"/>
  <c r="AG39" i="33"/>
  <c r="W114" i="3"/>
  <c r="W112" i="3"/>
  <c r="X114" i="3"/>
  <c r="T100" i="3"/>
  <c r="V114" i="3"/>
  <c r="AM48" i="4"/>
  <c r="Y100" i="3"/>
  <c r="T114" i="3"/>
  <c r="Z114" i="3"/>
  <c r="Y114" i="3"/>
  <c r="AT48" i="4"/>
  <c r="T113" i="3"/>
  <c r="W113" i="3"/>
  <c r="X100" i="3"/>
  <c r="AQ48" i="4"/>
  <c r="Z113" i="3"/>
  <c r="S113" i="3"/>
  <c r="AA114" i="3"/>
  <c r="AS48" i="4"/>
  <c r="X113" i="3"/>
  <c r="Z88" i="3"/>
  <c r="V113" i="3"/>
  <c r="Z100" i="3"/>
  <c r="Y113" i="3"/>
  <c r="U113" i="3"/>
  <c r="S88" i="3"/>
  <c r="W88" i="3"/>
  <c r="T88" i="3"/>
  <c r="X88" i="3"/>
  <c r="T101" i="3"/>
  <c r="AA113" i="3"/>
  <c r="Y88" i="3"/>
  <c r="U100" i="3"/>
  <c r="U88" i="3"/>
  <c r="V88" i="3"/>
  <c r="V99" i="3"/>
  <c r="AA88" i="3"/>
  <c r="U99" i="3"/>
  <c r="Z99" i="3"/>
  <c r="S114" i="3"/>
  <c r="T99" i="3"/>
  <c r="AK48" i="4"/>
  <c r="AA99" i="3"/>
  <c r="X99" i="3"/>
  <c r="T112" i="3"/>
  <c r="U114" i="3"/>
  <c r="Y99" i="3"/>
  <c r="AL48" i="4"/>
  <c r="W99" i="3"/>
  <c r="S99" i="3"/>
  <c r="AA101" i="3"/>
  <c r="AN48" i="4"/>
  <c r="U112" i="3"/>
  <c r="V101" i="3"/>
  <c r="V112" i="3"/>
  <c r="V100" i="3"/>
  <c r="S101" i="3"/>
  <c r="AR48" i="4"/>
  <c r="AO48" i="4"/>
  <c r="S112" i="3"/>
  <c r="W100" i="3"/>
  <c r="W101" i="3"/>
  <c r="AA112" i="3"/>
  <c r="Y112" i="3"/>
  <c r="S100" i="3"/>
  <c r="U101" i="3"/>
  <c r="Y101" i="3"/>
  <c r="X112" i="3"/>
  <c r="X101" i="3"/>
  <c r="Z112" i="3"/>
  <c r="AA100" i="3"/>
  <c r="Z101" i="3"/>
  <c r="AP48" i="4"/>
  <c r="T87" i="3"/>
  <c r="U87" i="3"/>
  <c r="W87" i="3"/>
  <c r="V87" i="3"/>
  <c r="X87" i="3"/>
  <c r="S87" i="3"/>
  <c r="T86" i="3"/>
  <c r="V86" i="3"/>
  <c r="S86" i="3"/>
  <c r="U86" i="3"/>
  <c r="Y86" i="3"/>
  <c r="W86" i="3"/>
  <c r="Z86" i="3"/>
  <c r="AA87" i="3"/>
  <c r="Z87" i="3"/>
  <c r="Y87" i="3"/>
  <c r="X86" i="3"/>
  <c r="AA86" i="3"/>
  <c r="AL39" i="33" l="1"/>
  <c r="AK39" i="33"/>
  <c r="AR39" i="33"/>
  <c r="AQ39" i="33"/>
  <c r="AP39" i="33"/>
  <c r="AO39" i="33"/>
  <c r="AN39" i="33"/>
  <c r="AM39" i="33"/>
  <c r="AW78" i="3"/>
  <c r="AV78" i="3"/>
  <c r="AU78" i="3"/>
  <c r="AM84" i="3" l="1"/>
  <c r="AM86" i="3"/>
  <c r="AM85" i="3"/>
  <c r="AM83" i="3" l="1"/>
  <c r="E153" i="3" l="1"/>
  <c r="E152" i="3"/>
  <c r="E151" i="3"/>
  <c r="E150" i="3"/>
  <c r="E149" i="3"/>
  <c r="E148" i="3"/>
  <c r="E147" i="3"/>
  <c r="E146" i="3"/>
  <c r="E145" i="3"/>
  <c r="E144" i="3"/>
  <c r="E143" i="3"/>
  <c r="E142" i="3"/>
  <c r="E141" i="3"/>
  <c r="E140" i="3"/>
  <c r="E139" i="3"/>
  <c r="E138" i="3"/>
  <c r="E137" i="3"/>
  <c r="E136" i="3"/>
  <c r="E135" i="3"/>
  <c r="E134" i="3"/>
  <c r="E133" i="3"/>
  <c r="E132" i="3"/>
  <c r="E131" i="3"/>
  <c r="B153" i="3"/>
  <c r="B152" i="3"/>
  <c r="B151" i="3"/>
  <c r="B150" i="3"/>
  <c r="B149" i="3"/>
  <c r="B148" i="3"/>
  <c r="B147" i="3"/>
  <c r="B146" i="3"/>
  <c r="B145" i="3"/>
  <c r="B144" i="3"/>
  <c r="B143" i="3"/>
  <c r="B142" i="3"/>
  <c r="B141" i="3"/>
  <c r="B140" i="3"/>
  <c r="B139" i="3"/>
  <c r="B138" i="3"/>
  <c r="B137" i="3"/>
  <c r="B136" i="3"/>
  <c r="B135" i="3"/>
  <c r="B134" i="3"/>
  <c r="B133" i="3"/>
  <c r="B132" i="3"/>
  <c r="B131" i="3"/>
  <c r="A153" i="3"/>
  <c r="A152" i="3"/>
  <c r="A151" i="3"/>
  <c r="A150" i="3"/>
  <c r="A149" i="3"/>
  <c r="A148" i="3"/>
  <c r="A147" i="3"/>
  <c r="A146" i="3"/>
  <c r="A145" i="3"/>
  <c r="A144" i="3"/>
  <c r="A143" i="3"/>
  <c r="A142" i="3"/>
  <c r="A141" i="3"/>
  <c r="A140" i="3"/>
  <c r="A139" i="3"/>
  <c r="A138" i="3"/>
  <c r="A137" i="3"/>
  <c r="A136" i="3"/>
  <c r="A135" i="3"/>
  <c r="A134" i="3"/>
  <c r="A133" i="3"/>
  <c r="A132" i="3"/>
  <c r="A131" i="3"/>
  <c r="C87" i="27"/>
  <c r="B87" i="27"/>
  <c r="A87" i="27"/>
  <c r="C86" i="27"/>
  <c r="B86" i="27"/>
  <c r="A86" i="27"/>
  <c r="C85" i="27"/>
  <c r="B85" i="27"/>
  <c r="A85" i="27"/>
  <c r="C84" i="27"/>
  <c r="B84" i="27"/>
  <c r="A84" i="27"/>
  <c r="C83" i="27"/>
  <c r="B83" i="27"/>
  <c r="A83" i="27"/>
  <c r="C82" i="27"/>
  <c r="B82" i="27"/>
  <c r="A82" i="27"/>
  <c r="C81" i="27"/>
  <c r="B81" i="27"/>
  <c r="A81" i="27"/>
  <c r="C80" i="27"/>
  <c r="B80" i="27"/>
  <c r="A80" i="27"/>
  <c r="C79" i="27"/>
  <c r="B79" i="27"/>
  <c r="A79" i="27"/>
  <c r="C78" i="27"/>
  <c r="B78" i="27"/>
  <c r="A78" i="27"/>
  <c r="C77" i="27"/>
  <c r="B77" i="27"/>
  <c r="A77" i="27"/>
  <c r="C76" i="27"/>
  <c r="B76" i="27"/>
  <c r="A76" i="27"/>
  <c r="C75" i="27"/>
  <c r="B75" i="27"/>
  <c r="A75" i="27"/>
  <c r="C74" i="27"/>
  <c r="B74" i="27"/>
  <c r="A74" i="27"/>
  <c r="C73" i="27"/>
  <c r="B73" i="27"/>
  <c r="A73" i="27"/>
  <c r="C72" i="27"/>
  <c r="B72" i="27"/>
  <c r="A72" i="27"/>
  <c r="C71" i="27"/>
  <c r="B71" i="27"/>
  <c r="A71" i="27"/>
  <c r="C70" i="27"/>
  <c r="B70" i="27"/>
  <c r="A70" i="27"/>
  <c r="C69" i="27"/>
  <c r="B69" i="27"/>
  <c r="A69" i="27"/>
  <c r="C68" i="27"/>
  <c r="B68" i="27"/>
  <c r="A68" i="27"/>
  <c r="C67" i="27"/>
  <c r="B67" i="27"/>
  <c r="A67" i="27"/>
  <c r="C66" i="27"/>
  <c r="B66" i="27"/>
  <c r="A66" i="27"/>
  <c r="C65" i="27"/>
  <c r="B65" i="27"/>
  <c r="A65" i="27"/>
  <c r="D83" i="27" l="1"/>
  <c r="D81" i="27"/>
  <c r="D84" i="27"/>
  <c r="D67" i="27"/>
  <c r="D73" i="27"/>
  <c r="D71" i="27"/>
  <c r="D76" i="27"/>
  <c r="D68" i="27"/>
  <c r="D75" i="27"/>
  <c r="D79" i="27"/>
  <c r="D65" i="27"/>
  <c r="D70" i="27"/>
  <c r="D78" i="27"/>
  <c r="D86" i="27"/>
  <c r="D72" i="27"/>
  <c r="D85" i="27"/>
  <c r="D66" i="27"/>
  <c r="D74" i="27"/>
  <c r="D82" i="27"/>
  <c r="D69" i="27"/>
  <c r="D77" i="27"/>
  <c r="D87" i="27"/>
  <c r="D80" i="27"/>
  <c r="A22" i="39" l="1"/>
  <c r="G22" i="39" s="1"/>
  <c r="Q22" i="39"/>
  <c r="A30" i="39"/>
  <c r="G30" i="39" s="1"/>
  <c r="Q30" i="39"/>
  <c r="A28" i="39"/>
  <c r="Q33" i="43" l="1"/>
  <c r="D49" i="43"/>
  <c r="D48" i="43"/>
  <c r="D47" i="43"/>
  <c r="D45" i="43"/>
  <c r="D44" i="43"/>
  <c r="D43" i="43"/>
  <c r="D42" i="43"/>
  <c r="D41" i="43"/>
  <c r="D40" i="43"/>
  <c r="D39" i="43"/>
  <c r="D38" i="43"/>
  <c r="D37" i="43"/>
  <c r="D36" i="43"/>
  <c r="D35" i="43"/>
  <c r="D34" i="43"/>
  <c r="D33" i="43"/>
  <c r="D32" i="43"/>
  <c r="D31" i="43"/>
  <c r="D30" i="43"/>
  <c r="D29" i="43"/>
  <c r="D28" i="43"/>
  <c r="D27" i="43"/>
  <c r="D26" i="43"/>
  <c r="D25" i="43"/>
  <c r="D24" i="43"/>
  <c r="D23" i="43"/>
  <c r="D22" i="43"/>
  <c r="D21" i="43"/>
  <c r="D20" i="43"/>
  <c r="D19" i="43"/>
  <c r="D18" i="43"/>
  <c r="D17" i="43"/>
  <c r="D16" i="43"/>
  <c r="D15" i="43"/>
  <c r="D14" i="43"/>
  <c r="D13" i="43"/>
  <c r="B4" i="42"/>
  <c r="B10" i="42"/>
  <c r="S37" i="43"/>
  <c r="Q37" i="43"/>
  <c r="P37" i="43"/>
  <c r="S36" i="43"/>
  <c r="Q36" i="43"/>
  <c r="P36" i="43"/>
  <c r="S35" i="43"/>
  <c r="Q35" i="43"/>
  <c r="P35" i="43"/>
  <c r="S34" i="43"/>
  <c r="Q34" i="43"/>
  <c r="P34" i="43"/>
  <c r="Y33" i="43"/>
  <c r="X33" i="43"/>
  <c r="W33" i="43"/>
  <c r="V33" i="43"/>
  <c r="U33" i="43"/>
  <c r="T33" i="43"/>
  <c r="S33" i="43"/>
  <c r="R33" i="43"/>
  <c r="B49" i="43"/>
  <c r="B48" i="43"/>
  <c r="B47" i="43"/>
  <c r="B45" i="43"/>
  <c r="B44" i="43"/>
  <c r="B43" i="43"/>
  <c r="B42" i="43"/>
  <c r="B41" i="43"/>
  <c r="B40" i="43"/>
  <c r="B39" i="43"/>
  <c r="B38" i="43"/>
  <c r="B37" i="43"/>
  <c r="B36" i="43"/>
  <c r="B35" i="43"/>
  <c r="B34" i="43"/>
  <c r="B33" i="43"/>
  <c r="B32" i="43"/>
  <c r="B31" i="43"/>
  <c r="B30" i="43"/>
  <c r="B29" i="43"/>
  <c r="B28" i="43"/>
  <c r="B27" i="43"/>
  <c r="B26" i="43"/>
  <c r="B25" i="43"/>
  <c r="B24" i="43"/>
  <c r="B23" i="43"/>
  <c r="B22" i="43"/>
  <c r="B21" i="43"/>
  <c r="B20" i="43"/>
  <c r="B19" i="43"/>
  <c r="B18" i="43"/>
  <c r="B17" i="43"/>
  <c r="B16" i="43"/>
  <c r="B15" i="43"/>
  <c r="B14" i="43"/>
  <c r="B13" i="43"/>
  <c r="C82" i="42" l="1"/>
  <c r="C81" i="42"/>
  <c r="C80" i="42"/>
  <c r="A79" i="42"/>
  <c r="B78" i="42"/>
  <c r="B77" i="42"/>
  <c r="Z77" i="42" s="1"/>
  <c r="B76" i="42"/>
  <c r="W76" i="42" s="1"/>
  <c r="B75" i="42"/>
  <c r="W75" i="42" s="1"/>
  <c r="B74" i="42"/>
  <c r="Z74" i="42" s="1"/>
  <c r="B73" i="42"/>
  <c r="W73" i="42" s="1"/>
  <c r="B72" i="42"/>
  <c r="X72" i="42" s="1"/>
  <c r="B71" i="42"/>
  <c r="U71" i="42" s="1"/>
  <c r="B70" i="42"/>
  <c r="V70" i="42" s="1"/>
  <c r="B69" i="42"/>
  <c r="V69" i="42" s="1"/>
  <c r="B68" i="42"/>
  <c r="Z68" i="42" s="1"/>
  <c r="B67" i="42"/>
  <c r="W67" i="42" s="1"/>
  <c r="B66" i="42"/>
  <c r="W66" i="42" s="1"/>
  <c r="B65" i="42"/>
  <c r="V65" i="42" s="1"/>
  <c r="B64" i="42"/>
  <c r="B63" i="42"/>
  <c r="B62" i="42"/>
  <c r="B61" i="42"/>
  <c r="W61" i="42" s="1"/>
  <c r="B60" i="42"/>
  <c r="B59" i="42"/>
  <c r="W59" i="42" s="1"/>
  <c r="B58" i="42"/>
  <c r="Z58" i="42" s="1"/>
  <c r="B57" i="42"/>
  <c r="W57" i="42" s="1"/>
  <c r="B56" i="42"/>
  <c r="AA56" i="42" s="1"/>
  <c r="B55" i="42"/>
  <c r="X55" i="42" s="1"/>
  <c r="B54" i="42"/>
  <c r="U54" i="42" s="1"/>
  <c r="B53" i="42"/>
  <c r="W53" i="42" s="1"/>
  <c r="B52" i="42"/>
  <c r="X52" i="42" s="1"/>
  <c r="B51" i="42"/>
  <c r="X51" i="42" s="1"/>
  <c r="B50" i="42"/>
  <c r="X50" i="42" s="1"/>
  <c r="B49" i="42"/>
  <c r="B48" i="42"/>
  <c r="X48" i="42" s="1"/>
  <c r="B47" i="42"/>
  <c r="V47" i="42" s="1"/>
  <c r="B46" i="42"/>
  <c r="AA46" i="42" s="1"/>
  <c r="A45" i="42"/>
  <c r="AG67" i="42"/>
  <c r="AH67" i="42" s="1"/>
  <c r="AH66" i="42"/>
  <c r="AH65" i="42"/>
  <c r="AH64" i="42"/>
  <c r="AH63" i="42"/>
  <c r="AH62" i="42"/>
  <c r="AH61" i="42"/>
  <c r="AH59" i="42"/>
  <c r="AM49" i="42"/>
  <c r="AJ49" i="42"/>
  <c r="AS45" i="42"/>
  <c r="AT46" i="42" s="1"/>
  <c r="N37" i="42"/>
  <c r="N36" i="42"/>
  <c r="N35" i="42"/>
  <c r="N34" i="42"/>
  <c r="N33" i="42"/>
  <c r="N32" i="42"/>
  <c r="N31" i="42"/>
  <c r="M25" i="42"/>
  <c r="M19" i="42"/>
  <c r="B7" i="42"/>
  <c r="A28" i="31" l="1"/>
  <c r="A46" i="43"/>
  <c r="A24" i="31"/>
  <c r="A12" i="43"/>
  <c r="S65" i="42"/>
  <c r="T65" i="42"/>
  <c r="W55" i="42"/>
  <c r="W65" i="42"/>
  <c r="S55" i="42"/>
  <c r="Y55" i="42"/>
  <c r="X75" i="42"/>
  <c r="Y46" i="42"/>
  <c r="AA75" i="42"/>
  <c r="W54" i="42"/>
  <c r="AW46" i="42"/>
  <c r="AA47" i="42"/>
  <c r="W47" i="42"/>
  <c r="Y70" i="42"/>
  <c r="Z76" i="42"/>
  <c r="V48" i="42"/>
  <c r="Y50" i="42"/>
  <c r="AA65" i="42"/>
  <c r="S68" i="42"/>
  <c r="U75" i="42"/>
  <c r="Y48" i="42"/>
  <c r="AA48" i="42"/>
  <c r="S66" i="42"/>
  <c r="W48" i="42"/>
  <c r="S51" i="42"/>
  <c r="T46" i="42"/>
  <c r="X46" i="42"/>
  <c r="X59" i="42"/>
  <c r="S61" i="42"/>
  <c r="T78" i="42"/>
  <c r="U46" i="42"/>
  <c r="U47" i="42"/>
  <c r="X57" i="42"/>
  <c r="S59" i="42"/>
  <c r="U61" i="42"/>
  <c r="W70" i="42"/>
  <c r="Y74" i="42"/>
  <c r="Y75" i="42"/>
  <c r="X61" i="42"/>
  <c r="Z46" i="42"/>
  <c r="W51" i="42"/>
  <c r="U52" i="42"/>
  <c r="S56" i="42"/>
  <c r="Z61" i="42"/>
  <c r="T64" i="42"/>
  <c r="X66" i="42"/>
  <c r="V73" i="42"/>
  <c r="U73" i="42"/>
  <c r="Y52" i="42"/>
  <c r="X58" i="42"/>
  <c r="Z65" i="42"/>
  <c r="Y66" i="42"/>
  <c r="X69" i="42"/>
  <c r="X73" i="42"/>
  <c r="Y61" i="42"/>
  <c r="V66" i="42"/>
  <c r="AV46" i="42"/>
  <c r="T75" i="42"/>
  <c r="Z52" i="42"/>
  <c r="W64" i="42"/>
  <c r="AA69" i="42"/>
  <c r="AA73" i="42"/>
  <c r="S75" i="42"/>
  <c r="Z63" i="42"/>
  <c r="X63" i="42"/>
  <c r="Z60" i="42"/>
  <c r="Y60" i="42"/>
  <c r="U60" i="42"/>
  <c r="U62" i="42"/>
  <c r="X62" i="42"/>
  <c r="W62" i="42"/>
  <c r="V62" i="42"/>
  <c r="Z50" i="42"/>
  <c r="U59" i="42"/>
  <c r="Y69" i="42"/>
  <c r="U74" i="42"/>
  <c r="AA76" i="42"/>
  <c r="W46" i="42"/>
  <c r="S47" i="42"/>
  <c r="AA50" i="42"/>
  <c r="V51" i="42"/>
  <c r="V52" i="42"/>
  <c r="V55" i="42"/>
  <c r="V59" i="42"/>
  <c r="V61" i="42"/>
  <c r="U66" i="42"/>
  <c r="Z69" i="42"/>
  <c r="Z70" i="42"/>
  <c r="U72" i="42"/>
  <c r="S73" i="42"/>
  <c r="W74" i="42"/>
  <c r="W72" i="42"/>
  <c r="S50" i="42"/>
  <c r="Y59" i="42"/>
  <c r="V68" i="42"/>
  <c r="W77" i="42"/>
  <c r="X47" i="42"/>
  <c r="U50" i="42"/>
  <c r="AA51" i="42"/>
  <c r="S57" i="42"/>
  <c r="Z59" i="42"/>
  <c r="W68" i="42"/>
  <c r="S69" i="42"/>
  <c r="X77" i="42"/>
  <c r="U77" i="42"/>
  <c r="Y47" i="42"/>
  <c r="V50" i="42"/>
  <c r="T57" i="42"/>
  <c r="AA59" i="42"/>
  <c r="AA61" i="42"/>
  <c r="Z66" i="42"/>
  <c r="Y68" i="42"/>
  <c r="U69" i="42"/>
  <c r="S70" i="42"/>
  <c r="Y73" i="42"/>
  <c r="V75" i="42"/>
  <c r="S76" i="42"/>
  <c r="Y77" i="42"/>
  <c r="T71" i="42"/>
  <c r="Z47" i="42"/>
  <c r="AA66" i="42"/>
  <c r="W69" i="42"/>
  <c r="T66" i="42"/>
  <c r="T59" i="42"/>
  <c r="T69" i="42"/>
  <c r="T52" i="42"/>
  <c r="T61" i="42"/>
  <c r="V53" i="42"/>
  <c r="U53" i="42"/>
  <c r="Y53" i="42"/>
  <c r="T53" i="42"/>
  <c r="S53" i="42"/>
  <c r="Z53" i="42"/>
  <c r="X53" i="42"/>
  <c r="AA53" i="42"/>
  <c r="V49" i="42"/>
  <c r="Y49" i="42"/>
  <c r="U49" i="42"/>
  <c r="T49" i="42"/>
  <c r="S49" i="42"/>
  <c r="Z49" i="42"/>
  <c r="W49" i="42"/>
  <c r="T54" i="42"/>
  <c r="AA54" i="42"/>
  <c r="Z54" i="42"/>
  <c r="V54" i="42"/>
  <c r="S54" i="42"/>
  <c r="X54" i="42"/>
  <c r="Y54" i="42"/>
  <c r="T55" i="42"/>
  <c r="T73" i="42"/>
  <c r="T62" i="42"/>
  <c r="Y63" i="42"/>
  <c r="T63" i="42"/>
  <c r="S63" i="42"/>
  <c r="AA63" i="42"/>
  <c r="W63" i="42"/>
  <c r="V63" i="42"/>
  <c r="U63" i="42"/>
  <c r="T72" i="42"/>
  <c r="T77" i="42"/>
  <c r="T47" i="42"/>
  <c r="X49" i="42"/>
  <c r="AA49" i="42"/>
  <c r="AA60" i="42"/>
  <c r="S60" i="42"/>
  <c r="T60" i="42"/>
  <c r="W60" i="42"/>
  <c r="V60" i="42"/>
  <c r="Z67" i="42"/>
  <c r="U67" i="42"/>
  <c r="V67" i="42"/>
  <c r="T67" i="42"/>
  <c r="S67" i="42"/>
  <c r="Y67" i="42"/>
  <c r="X67" i="42"/>
  <c r="X78" i="42"/>
  <c r="AA78" i="42"/>
  <c r="S78" i="42"/>
  <c r="Y78" i="42"/>
  <c r="V78" i="42"/>
  <c r="AU46" i="42"/>
  <c r="Z57" i="42"/>
  <c r="AA57" i="42"/>
  <c r="Y57" i="42"/>
  <c r="U57" i="42"/>
  <c r="V57" i="42"/>
  <c r="X60" i="42"/>
  <c r="AA64" i="42"/>
  <c r="S64" i="42"/>
  <c r="Z64" i="42"/>
  <c r="Y64" i="42"/>
  <c r="X64" i="42"/>
  <c r="U64" i="42"/>
  <c r="V64" i="42"/>
  <c r="AA67" i="42"/>
  <c r="Z48" i="42"/>
  <c r="U48" i="42"/>
  <c r="Y56" i="42"/>
  <c r="V56" i="42"/>
  <c r="U56" i="42"/>
  <c r="Z56" i="42"/>
  <c r="T56" i="42"/>
  <c r="U78" i="42"/>
  <c r="S48" i="42"/>
  <c r="T50" i="42"/>
  <c r="W56" i="42"/>
  <c r="AA58" i="42"/>
  <c r="S58" i="42"/>
  <c r="V58" i="42"/>
  <c r="U58" i="42"/>
  <c r="Y58" i="42"/>
  <c r="T58" i="42"/>
  <c r="Z71" i="42"/>
  <c r="W71" i="42"/>
  <c r="AA71" i="42"/>
  <c r="S71" i="42"/>
  <c r="V71" i="42"/>
  <c r="X71" i="42"/>
  <c r="W78" i="42"/>
  <c r="T48" i="42"/>
  <c r="Z51" i="42"/>
  <c r="Y51" i="42"/>
  <c r="U51" i="42"/>
  <c r="T51" i="42"/>
  <c r="X56" i="42"/>
  <c r="W58" i="42"/>
  <c r="Y71" i="42"/>
  <c r="Z78" i="42"/>
  <c r="V46" i="42"/>
  <c r="W50" i="42"/>
  <c r="S52" i="42"/>
  <c r="AA52" i="42"/>
  <c r="U55" i="42"/>
  <c r="Y65" i="42"/>
  <c r="U65" i="42"/>
  <c r="U68" i="42"/>
  <c r="AA68" i="42"/>
  <c r="X68" i="42"/>
  <c r="X70" i="42"/>
  <c r="AA70" i="42"/>
  <c r="U70" i="42"/>
  <c r="T70" i="42"/>
  <c r="AA72" i="42"/>
  <c r="S72" i="42"/>
  <c r="V72" i="42"/>
  <c r="Y72" i="42"/>
  <c r="W52" i="42"/>
  <c r="Z55" i="42"/>
  <c r="AA62" i="42"/>
  <c r="S62" i="42"/>
  <c r="Y62" i="42"/>
  <c r="S46" i="42"/>
  <c r="AA55" i="42"/>
  <c r="Z62" i="42"/>
  <c r="X65" i="42"/>
  <c r="T68" i="42"/>
  <c r="Z72" i="42"/>
  <c r="AA74" i="42"/>
  <c r="S74" i="42"/>
  <c r="V74" i="42"/>
  <c r="T74" i="42"/>
  <c r="X74" i="42"/>
  <c r="U76" i="42"/>
  <c r="X76" i="42"/>
  <c r="T76" i="42"/>
  <c r="Y76" i="42"/>
  <c r="V76" i="42"/>
  <c r="AA77" i="42"/>
  <c r="S77" i="42"/>
  <c r="V77" i="42"/>
  <c r="Z73" i="42"/>
  <c r="Z75" i="42"/>
  <c r="P53" i="27"/>
  <c r="P54" i="27"/>
  <c r="P55" i="27"/>
  <c r="P56" i="27"/>
  <c r="B13" i="27"/>
  <c r="A12" i="27"/>
  <c r="M12" i="27"/>
  <c r="L12" i="27"/>
  <c r="K12" i="27"/>
  <c r="J12" i="27"/>
  <c r="I12" i="27"/>
  <c r="H12" i="27"/>
  <c r="G12" i="27"/>
  <c r="F12" i="27"/>
  <c r="E12" i="27"/>
  <c r="D12" i="27"/>
  <c r="C12" i="27"/>
  <c r="B12" i="27"/>
  <c r="K23" i="31"/>
  <c r="K22" i="31"/>
  <c r="K21" i="31"/>
  <c r="AS39" i="33" l="1"/>
  <c r="AT39" i="33"/>
  <c r="AU39" i="33"/>
  <c r="K21" i="27"/>
  <c r="I22" i="27"/>
  <c r="L21" i="27"/>
  <c r="L22" i="27"/>
  <c r="H22" i="27"/>
  <c r="I21" i="27"/>
  <c r="G22" i="27"/>
  <c r="H21" i="27"/>
  <c r="F22" i="27"/>
  <c r="G21" i="27"/>
  <c r="M22" i="27"/>
  <c r="E22" i="27"/>
  <c r="F21" i="27"/>
  <c r="M21" i="27"/>
  <c r="E21" i="27"/>
  <c r="K22" i="27"/>
  <c r="J22" i="27"/>
  <c r="J21" i="27"/>
  <c r="AS46" i="42"/>
  <c r="AC5" i="3" l="1"/>
  <c r="AB5" i="3"/>
  <c r="B105" i="3" l="1"/>
  <c r="B92" i="3"/>
  <c r="B79" i="3"/>
  <c r="A78" i="3"/>
  <c r="A20" i="31" s="1"/>
  <c r="O78" i="3"/>
  <c r="N78" i="3"/>
  <c r="M78" i="3"/>
  <c r="L78" i="3"/>
  <c r="K78" i="3"/>
  <c r="J78" i="3"/>
  <c r="I78" i="3"/>
  <c r="H78" i="3"/>
  <c r="G78" i="3"/>
  <c r="F78" i="3"/>
  <c r="E78" i="3"/>
  <c r="D78" i="3"/>
  <c r="C78" i="3"/>
  <c r="B78" i="3"/>
  <c r="M35" i="3"/>
  <c r="AA79" i="3" l="1"/>
  <c r="W79" i="3"/>
  <c r="S79" i="3"/>
  <c r="X79" i="3"/>
  <c r="T79" i="3"/>
  <c r="Z79" i="3"/>
  <c r="Y79" i="3"/>
  <c r="U79" i="3"/>
  <c r="V79" i="3"/>
  <c r="Z92" i="3"/>
  <c r="V92" i="3"/>
  <c r="AA92" i="3"/>
  <c r="W92" i="3"/>
  <c r="S92" i="3"/>
  <c r="Y92" i="3"/>
  <c r="X92" i="3"/>
  <c r="T92" i="3"/>
  <c r="U92" i="3"/>
  <c r="Y105" i="3"/>
  <c r="U105" i="3"/>
  <c r="Z105" i="3"/>
  <c r="V105" i="3"/>
  <c r="X105" i="3"/>
  <c r="AA105" i="3"/>
  <c r="S105" i="3"/>
  <c r="W105" i="3"/>
  <c r="T105" i="3"/>
  <c r="B13" i="3" l="1"/>
  <c r="R80" i="8" l="1"/>
  <c r="R79" i="8"/>
  <c r="R76" i="8"/>
  <c r="R74" i="8"/>
  <c r="L110" i="8" l="1"/>
  <c r="B111" i="8" s="1"/>
  <c r="L108" i="8"/>
  <c r="B109" i="8" s="1"/>
  <c r="B108" i="8" l="1"/>
  <c r="B110" i="8"/>
  <c r="L92" i="8" l="1"/>
  <c r="L81" i="8"/>
  <c r="L70" i="8"/>
  <c r="L56" i="8"/>
  <c r="L43" i="8"/>
  <c r="L30" i="8"/>
  <c r="M71" i="8" l="1"/>
  <c r="M70" i="8"/>
  <c r="B70" i="8" s="1"/>
  <c r="M78" i="8"/>
  <c r="M73" i="8"/>
  <c r="M72" i="8"/>
  <c r="M79" i="8"/>
  <c r="M75" i="8"/>
  <c r="M74" i="8"/>
  <c r="B74" i="8" s="1"/>
  <c r="M77" i="8"/>
  <c r="M80" i="8"/>
  <c r="M76" i="8"/>
  <c r="M89" i="8"/>
  <c r="M84" i="8"/>
  <c r="M83" i="8"/>
  <c r="M82" i="8"/>
  <c r="M81" i="8"/>
  <c r="B81" i="8" s="1"/>
  <c r="M100" i="8"/>
  <c r="M95" i="8"/>
  <c r="M94" i="8"/>
  <c r="M93" i="8"/>
  <c r="M92" i="8"/>
  <c r="B92" i="8" s="1"/>
  <c r="M41" i="8"/>
  <c r="M30" i="8"/>
  <c r="M40" i="8"/>
  <c r="M36" i="8"/>
  <c r="M35" i="8"/>
  <c r="M32" i="8"/>
  <c r="M31" i="8"/>
  <c r="M34" i="8"/>
  <c r="M33" i="8"/>
  <c r="M42" i="8"/>
  <c r="M38" i="8"/>
  <c r="B38" i="8" s="1"/>
  <c r="A21" i="27" s="1"/>
  <c r="M37" i="8"/>
  <c r="M39" i="8"/>
  <c r="B39" i="8" s="1"/>
  <c r="A22" i="27" s="1"/>
  <c r="M49" i="8"/>
  <c r="M48" i="8"/>
  <c r="M43" i="8"/>
  <c r="M53" i="8"/>
  <c r="M52" i="8"/>
  <c r="M47" i="8"/>
  <c r="M51" i="8"/>
  <c r="M46" i="8"/>
  <c r="M44" i="8"/>
  <c r="M50" i="8"/>
  <c r="M45" i="8"/>
  <c r="M55" i="8"/>
  <c r="M54" i="8"/>
  <c r="M66" i="8"/>
  <c r="M57" i="8"/>
  <c r="M67" i="8"/>
  <c r="M56" i="8"/>
  <c r="M64" i="8"/>
  <c r="M68" i="8"/>
  <c r="M62" i="8"/>
  <c r="M59" i="8"/>
  <c r="M58" i="8"/>
  <c r="M61" i="8"/>
  <c r="M65" i="8"/>
  <c r="M60" i="8"/>
  <c r="M63" i="8"/>
  <c r="B63" i="8" s="1"/>
  <c r="A46" i="27" s="1"/>
  <c r="A53" i="8"/>
  <c r="A51" i="8"/>
  <c r="A50" i="8"/>
  <c r="A52" i="8"/>
  <c r="A36" i="8"/>
  <c r="A40" i="8"/>
  <c r="A37" i="8"/>
  <c r="A38" i="8"/>
  <c r="A64" i="8"/>
  <c r="A66" i="8"/>
  <c r="A63" i="8"/>
  <c r="A65" i="8"/>
  <c r="A48" i="8"/>
  <c r="A47" i="8"/>
  <c r="A45" i="8"/>
  <c r="A46" i="8"/>
  <c r="A55" i="8"/>
  <c r="A43" i="8"/>
  <c r="A44" i="8"/>
  <c r="A54" i="8"/>
  <c r="A49" i="8"/>
  <c r="A39" i="8"/>
  <c r="A35" i="8"/>
  <c r="A33" i="8"/>
  <c r="A32" i="8"/>
  <c r="A30" i="8"/>
  <c r="A34" i="8"/>
  <c r="A42" i="8"/>
  <c r="A41" i="8"/>
  <c r="A31" i="8"/>
  <c r="A60" i="8"/>
  <c r="A57" i="8"/>
  <c r="A59" i="8"/>
  <c r="A58" i="8"/>
  <c r="A67" i="8"/>
  <c r="A68" i="8"/>
  <c r="A61" i="8"/>
  <c r="A56" i="8"/>
  <c r="A62" i="8"/>
  <c r="A77" i="8"/>
  <c r="A76" i="8"/>
  <c r="A73" i="8"/>
  <c r="A75" i="8"/>
  <c r="A74" i="8"/>
  <c r="A78" i="8"/>
  <c r="A80" i="8"/>
  <c r="A72" i="8"/>
  <c r="A79" i="8"/>
  <c r="A71" i="8"/>
  <c r="A70" i="8"/>
  <c r="A85" i="8"/>
  <c r="A82" i="8"/>
  <c r="A84" i="8"/>
  <c r="A89" i="8"/>
  <c r="A81" i="8"/>
  <c r="A91" i="8"/>
  <c r="A83" i="8"/>
  <c r="A90" i="8"/>
  <c r="A88" i="8"/>
  <c r="A87" i="8"/>
  <c r="A86" i="8"/>
  <c r="A101" i="8"/>
  <c r="A93" i="8"/>
  <c r="A98" i="8"/>
  <c r="A94" i="8"/>
  <c r="A100" i="8"/>
  <c r="A92" i="8"/>
  <c r="A97" i="8"/>
  <c r="A99" i="8"/>
  <c r="A102" i="8"/>
  <c r="A96" i="8"/>
  <c r="A95" i="8"/>
  <c r="Y52" i="27"/>
  <c r="X52" i="27"/>
  <c r="W52" i="27"/>
  <c r="V52" i="27"/>
  <c r="U52" i="27"/>
  <c r="T52" i="27"/>
  <c r="S52" i="27"/>
  <c r="R52" i="27"/>
  <c r="Q52" i="27"/>
  <c r="Q56" i="27"/>
  <c r="Q55" i="27"/>
  <c r="Q54" i="27"/>
  <c r="S56" i="27"/>
  <c r="S55" i="27"/>
  <c r="S54" i="27"/>
  <c r="S53" i="27"/>
  <c r="Q53" i="27"/>
  <c r="K36" i="31"/>
  <c r="K35" i="31"/>
  <c r="K34" i="31"/>
  <c r="K33" i="31"/>
  <c r="K32" i="31"/>
  <c r="B58" i="27"/>
  <c r="B56" i="27"/>
  <c r="B55" i="27"/>
  <c r="B54" i="27"/>
  <c r="B53" i="27"/>
  <c r="D58" i="27"/>
  <c r="D56" i="27"/>
  <c r="D55" i="27"/>
  <c r="D54" i="27"/>
  <c r="D53" i="27"/>
  <c r="B51" i="8" l="1"/>
  <c r="A34" i="27" s="1"/>
  <c r="C34" i="27" s="1"/>
  <c r="M34" i="27" s="1"/>
  <c r="B73" i="8"/>
  <c r="A16" i="43" s="1"/>
  <c r="B94" i="8"/>
  <c r="A70" i="42" s="1"/>
  <c r="B50" i="8"/>
  <c r="A33" i="27" s="1"/>
  <c r="B64" i="8"/>
  <c r="A47" i="27" s="1"/>
  <c r="C47" i="27" s="1"/>
  <c r="G47" i="27" s="1"/>
  <c r="B52" i="8"/>
  <c r="A35" i="27" s="1"/>
  <c r="C35" i="27" s="1"/>
  <c r="K35" i="27" s="1"/>
  <c r="A101" i="3"/>
  <c r="B72" i="8"/>
  <c r="A15" i="43" s="1"/>
  <c r="B71" i="8"/>
  <c r="A14" i="43" s="1"/>
  <c r="B68" i="8"/>
  <c r="A51" i="27" s="1"/>
  <c r="A41" i="10"/>
  <c r="B41" i="10" s="1"/>
  <c r="A87" i="3"/>
  <c r="A88" i="3"/>
  <c r="B79" i="8"/>
  <c r="A55" i="42" s="1"/>
  <c r="B84" i="8"/>
  <c r="A27" i="43" s="1"/>
  <c r="B82" i="8"/>
  <c r="A25" i="43" s="1"/>
  <c r="B76" i="8"/>
  <c r="A19" i="43" s="1"/>
  <c r="B78" i="8"/>
  <c r="A21" i="43" s="1"/>
  <c r="B83" i="8"/>
  <c r="A59" i="42" s="1"/>
  <c r="B80" i="8"/>
  <c r="A56" i="42" s="1"/>
  <c r="B75" i="8"/>
  <c r="A51" i="42" s="1"/>
  <c r="B95" i="8"/>
  <c r="A71" i="42" s="1"/>
  <c r="B93" i="8"/>
  <c r="A36" i="43" s="1"/>
  <c r="B77" i="8"/>
  <c r="A20" i="43" s="1"/>
  <c r="C94" i="3"/>
  <c r="D94" i="3" s="1"/>
  <c r="D28" i="27" s="1"/>
  <c r="B45" i="8"/>
  <c r="A28" i="27" s="1"/>
  <c r="C97" i="3"/>
  <c r="D97" i="3" s="1"/>
  <c r="D31" i="27" s="1"/>
  <c r="B48" i="8"/>
  <c r="A97" i="3" s="1"/>
  <c r="C105" i="3"/>
  <c r="D105" i="3" s="1"/>
  <c r="D39" i="27" s="1"/>
  <c r="B56" i="8"/>
  <c r="A39" i="27" s="1"/>
  <c r="B65" i="8"/>
  <c r="A48" i="27" s="1"/>
  <c r="C48" i="27" s="1"/>
  <c r="A114" i="3"/>
  <c r="B67" i="8"/>
  <c r="A50" i="27" s="1"/>
  <c r="C95" i="3"/>
  <c r="D95" i="3" s="1"/>
  <c r="D29" i="27" s="1"/>
  <c r="B46" i="8"/>
  <c r="A29" i="27" s="1"/>
  <c r="C84" i="3"/>
  <c r="D84" i="3" s="1"/>
  <c r="D18" i="27" s="1"/>
  <c r="B35" i="8"/>
  <c r="A84" i="3" s="1"/>
  <c r="C83" i="3"/>
  <c r="D83" i="3" s="1"/>
  <c r="D17" i="27" s="1"/>
  <c r="B34" i="8"/>
  <c r="A83" i="3" s="1"/>
  <c r="C80" i="3"/>
  <c r="D80" i="3" s="1"/>
  <c r="D14" i="27" s="1"/>
  <c r="B31" i="8"/>
  <c r="A14" i="27" s="1"/>
  <c r="C109" i="3"/>
  <c r="D109" i="3" s="1"/>
  <c r="D43" i="27" s="1"/>
  <c r="B60" i="8"/>
  <c r="A43" i="27" s="1"/>
  <c r="C93" i="3"/>
  <c r="D93" i="3" s="1"/>
  <c r="D27" i="27" s="1"/>
  <c r="B44" i="8"/>
  <c r="A27" i="27" s="1"/>
  <c r="I34" i="27"/>
  <c r="F34" i="27"/>
  <c r="H34" i="27"/>
  <c r="G34" i="27"/>
  <c r="E34" i="27"/>
  <c r="L34" i="27"/>
  <c r="K34" i="27"/>
  <c r="J34" i="27"/>
  <c r="C107" i="3"/>
  <c r="D107" i="3" s="1"/>
  <c r="D41" i="27" s="1"/>
  <c r="B58" i="8"/>
  <c r="A41" i="27" s="1"/>
  <c r="B66" i="8"/>
  <c r="A49" i="27" s="1"/>
  <c r="C96" i="3"/>
  <c r="D96" i="3" s="1"/>
  <c r="D30" i="27" s="1"/>
  <c r="B47" i="8"/>
  <c r="A96" i="3" s="1"/>
  <c r="B40" i="8"/>
  <c r="A89" i="3" s="1"/>
  <c r="C81" i="3"/>
  <c r="D81" i="3" s="1"/>
  <c r="D15" i="27" s="1"/>
  <c r="B32" i="8"/>
  <c r="A81" i="3" s="1"/>
  <c r="C110" i="3"/>
  <c r="D110" i="3" s="1"/>
  <c r="D44" i="27" s="1"/>
  <c r="B61" i="8"/>
  <c r="A44" i="27" s="1"/>
  <c r="C106" i="3"/>
  <c r="D106" i="3" s="1"/>
  <c r="D40" i="27" s="1"/>
  <c r="B57" i="8"/>
  <c r="A106" i="3" s="1"/>
  <c r="B36" i="8"/>
  <c r="A85" i="3" s="1"/>
  <c r="C85" i="3"/>
  <c r="D85" i="3" s="1"/>
  <c r="D19" i="27" s="1"/>
  <c r="A112" i="3"/>
  <c r="C108" i="3"/>
  <c r="D108" i="3" s="1"/>
  <c r="D42" i="27" s="1"/>
  <c r="B59" i="8"/>
  <c r="A42" i="27" s="1"/>
  <c r="B54" i="8"/>
  <c r="A37" i="27" s="1"/>
  <c r="B42" i="8"/>
  <c r="A25" i="27" s="1"/>
  <c r="C79" i="3"/>
  <c r="D79" i="3" s="1"/>
  <c r="D13" i="27" s="1"/>
  <c r="B30" i="8"/>
  <c r="A79" i="3" s="1"/>
  <c r="F79" i="3" s="1"/>
  <c r="C92" i="3"/>
  <c r="D92" i="3" s="1"/>
  <c r="D26" i="27" s="1"/>
  <c r="B43" i="8"/>
  <c r="A26" i="27" s="1"/>
  <c r="B49" i="8"/>
  <c r="A32" i="27" s="1"/>
  <c r="C98" i="3"/>
  <c r="D98" i="3" s="1"/>
  <c r="D32" i="27" s="1"/>
  <c r="B37" i="8"/>
  <c r="A39" i="10" s="1"/>
  <c r="B39" i="10" s="1"/>
  <c r="A100" i="3"/>
  <c r="B62" i="8"/>
  <c r="A111" i="3" s="1"/>
  <c r="C111" i="3"/>
  <c r="D111" i="3" s="1"/>
  <c r="D45" i="27" s="1"/>
  <c r="B55" i="8"/>
  <c r="A38" i="27" s="1"/>
  <c r="B53" i="8"/>
  <c r="A36" i="27" s="1"/>
  <c r="C82" i="3"/>
  <c r="D82" i="3" s="1"/>
  <c r="D16" i="27" s="1"/>
  <c r="B33" i="8"/>
  <c r="A82" i="3" s="1"/>
  <c r="B41" i="8"/>
  <c r="A90" i="3" s="1"/>
  <c r="A35" i="43"/>
  <c r="A68" i="42"/>
  <c r="A24" i="43"/>
  <c r="A57" i="42"/>
  <c r="A17" i="43"/>
  <c r="A50" i="42"/>
  <c r="A49" i="42"/>
  <c r="A13" i="43"/>
  <c r="A46" i="42"/>
  <c r="A26" i="43"/>
  <c r="A23" i="31"/>
  <c r="D23" i="31" s="1"/>
  <c r="L10" i="3"/>
  <c r="L7" i="3"/>
  <c r="A21" i="31"/>
  <c r="D21" i="31" s="1"/>
  <c r="J7" i="3"/>
  <c r="J10" i="3"/>
  <c r="A22" i="31"/>
  <c r="D22" i="31" s="1"/>
  <c r="A92" i="3"/>
  <c r="F92" i="3" s="1"/>
  <c r="K10" i="3"/>
  <c r="K7" i="3"/>
  <c r="J4" i="42"/>
  <c r="L4" i="3"/>
  <c r="L6" i="3" s="1"/>
  <c r="K4" i="3"/>
  <c r="K6" i="3" s="1"/>
  <c r="J4" i="3"/>
  <c r="K4" i="42"/>
  <c r="K6" i="42" s="1"/>
  <c r="L4" i="42"/>
  <c r="L6" i="42" s="1"/>
  <c r="A25" i="31"/>
  <c r="A26" i="31"/>
  <c r="A27" i="31"/>
  <c r="K65" i="31"/>
  <c r="K64" i="31"/>
  <c r="K63" i="31"/>
  <c r="K62" i="31"/>
  <c r="K61" i="31"/>
  <c r="K60" i="31"/>
  <c r="K59" i="31"/>
  <c r="K58" i="31"/>
  <c r="K57" i="31"/>
  <c r="K56" i="31"/>
  <c r="K55" i="31"/>
  <c r="K54" i="31"/>
  <c r="K53" i="31"/>
  <c r="K52" i="31"/>
  <c r="K51" i="31"/>
  <c r="K50" i="31"/>
  <c r="K49" i="31"/>
  <c r="K48" i="31"/>
  <c r="K47" i="31"/>
  <c r="K46" i="31"/>
  <c r="K45" i="31"/>
  <c r="K44" i="31"/>
  <c r="K43" i="31"/>
  <c r="K41" i="31"/>
  <c r="K40" i="31"/>
  <c r="K39" i="31"/>
  <c r="K38" i="31"/>
  <c r="K37" i="31"/>
  <c r="K31" i="31"/>
  <c r="K30" i="31"/>
  <c r="K29" i="31"/>
  <c r="K27" i="31"/>
  <c r="K26" i="31"/>
  <c r="A37" i="43" l="1"/>
  <c r="K47" i="27"/>
  <c r="J47" i="27"/>
  <c r="F47" i="27"/>
  <c r="A113" i="3"/>
  <c r="A40" i="10"/>
  <c r="B40" i="10" s="1"/>
  <c r="A99" i="3"/>
  <c r="A86" i="3"/>
  <c r="L47" i="27"/>
  <c r="A47" i="42"/>
  <c r="F47" i="42" s="1"/>
  <c r="A69" i="42"/>
  <c r="C70" i="42" s="1"/>
  <c r="E70" i="42" s="1"/>
  <c r="H70" i="42" s="1"/>
  <c r="H47" i="27"/>
  <c r="A108" i="3"/>
  <c r="M47" i="27"/>
  <c r="A107" i="3"/>
  <c r="I47" i="27"/>
  <c r="A38" i="43"/>
  <c r="A48" i="42"/>
  <c r="O48" i="42" s="1"/>
  <c r="A22" i="43"/>
  <c r="L35" i="27"/>
  <c r="A53" i="42"/>
  <c r="F90" i="3"/>
  <c r="F82" i="3"/>
  <c r="F89" i="3"/>
  <c r="F81" i="3"/>
  <c r="F88" i="3"/>
  <c r="F80" i="3"/>
  <c r="F87" i="3"/>
  <c r="F86" i="3"/>
  <c r="F84" i="3"/>
  <c r="F83" i="3"/>
  <c r="F85" i="3"/>
  <c r="F91" i="3"/>
  <c r="F99" i="3"/>
  <c r="F98" i="3"/>
  <c r="F97" i="3"/>
  <c r="F104" i="3"/>
  <c r="F96" i="3"/>
  <c r="F94" i="3"/>
  <c r="F101" i="3"/>
  <c r="F100" i="3"/>
  <c r="F103" i="3"/>
  <c r="F95" i="3"/>
  <c r="F102" i="3"/>
  <c r="F93" i="3"/>
  <c r="F35" i="27"/>
  <c r="J35" i="27"/>
  <c r="E35" i="27"/>
  <c r="G35" i="27"/>
  <c r="H35" i="27"/>
  <c r="M35" i="27"/>
  <c r="A117" i="3"/>
  <c r="E47" i="27"/>
  <c r="A116" i="3"/>
  <c r="I35" i="27"/>
  <c r="A103" i="3"/>
  <c r="A58" i="42"/>
  <c r="J58" i="42" s="1"/>
  <c r="A109" i="3"/>
  <c r="A98" i="3"/>
  <c r="A60" i="42"/>
  <c r="O60" i="42" s="1"/>
  <c r="A52" i="42"/>
  <c r="A40" i="27"/>
  <c r="A104" i="3"/>
  <c r="A20" i="27"/>
  <c r="A18" i="27"/>
  <c r="A110" i="3"/>
  <c r="A115" i="3"/>
  <c r="A95" i="3"/>
  <c r="A80" i="3"/>
  <c r="A105" i="3"/>
  <c r="F105" i="3" s="1"/>
  <c r="A94" i="3"/>
  <c r="A93" i="3"/>
  <c r="A91" i="3"/>
  <c r="A102" i="3"/>
  <c r="A24" i="27"/>
  <c r="A15" i="27"/>
  <c r="A54" i="42"/>
  <c r="A45" i="27"/>
  <c r="A13" i="27"/>
  <c r="E85" i="3"/>
  <c r="AK37" i="4" s="1"/>
  <c r="AK56" i="4" s="1"/>
  <c r="A23" i="43"/>
  <c r="A18" i="43"/>
  <c r="E111" i="3"/>
  <c r="H111" i="3" s="1"/>
  <c r="L48" i="27"/>
  <c r="G48" i="27"/>
  <c r="K48" i="27"/>
  <c r="J48" i="27"/>
  <c r="H48" i="27"/>
  <c r="F48" i="27"/>
  <c r="E48" i="27"/>
  <c r="M48" i="27"/>
  <c r="I48" i="27"/>
  <c r="A23" i="27"/>
  <c r="A17" i="27"/>
  <c r="A19" i="27"/>
  <c r="A16" i="27"/>
  <c r="A31" i="27"/>
  <c r="A30" i="27"/>
  <c r="K70" i="27"/>
  <c r="I70" i="27"/>
  <c r="L70" i="27"/>
  <c r="E70" i="27"/>
  <c r="M70" i="27"/>
  <c r="H70" i="27"/>
  <c r="G70" i="27"/>
  <c r="J70" i="27"/>
  <c r="F70" i="27"/>
  <c r="H65" i="27"/>
  <c r="F65" i="27"/>
  <c r="L65" i="27"/>
  <c r="G65" i="27"/>
  <c r="E65" i="27"/>
  <c r="I65" i="27"/>
  <c r="J65" i="27"/>
  <c r="K65" i="27"/>
  <c r="M65" i="27"/>
  <c r="M69" i="27"/>
  <c r="J69" i="27"/>
  <c r="H69" i="27"/>
  <c r="K69" i="27"/>
  <c r="I69" i="27"/>
  <c r="L69" i="27"/>
  <c r="G69" i="27"/>
  <c r="E69" i="27"/>
  <c r="F69" i="27"/>
  <c r="K73" i="27"/>
  <c r="L73" i="27"/>
  <c r="I73" i="27"/>
  <c r="G73" i="27"/>
  <c r="M73" i="27"/>
  <c r="E73" i="27"/>
  <c r="J73" i="27"/>
  <c r="H73" i="27"/>
  <c r="F73" i="27"/>
  <c r="M77" i="27"/>
  <c r="K77" i="27"/>
  <c r="L77" i="27"/>
  <c r="G77" i="27"/>
  <c r="F77" i="27"/>
  <c r="E77" i="27"/>
  <c r="H77" i="27"/>
  <c r="I77" i="27"/>
  <c r="J77" i="27"/>
  <c r="F81" i="27"/>
  <c r="M81" i="27"/>
  <c r="J81" i="27"/>
  <c r="E81" i="27"/>
  <c r="L81" i="27"/>
  <c r="G81" i="27"/>
  <c r="K81" i="27"/>
  <c r="H81" i="27"/>
  <c r="I81" i="27"/>
  <c r="G85" i="27"/>
  <c r="M85" i="27"/>
  <c r="L85" i="27"/>
  <c r="H85" i="27"/>
  <c r="K85" i="27"/>
  <c r="I85" i="27"/>
  <c r="F85" i="27"/>
  <c r="J85" i="27"/>
  <c r="E85" i="27"/>
  <c r="J66" i="27"/>
  <c r="G66" i="27"/>
  <c r="L66" i="27"/>
  <c r="E66" i="27"/>
  <c r="I66" i="27"/>
  <c r="K66" i="27"/>
  <c r="M66" i="27"/>
  <c r="F66" i="27"/>
  <c r="H66" i="27"/>
  <c r="K82" i="27"/>
  <c r="G82" i="27"/>
  <c r="H82" i="27"/>
  <c r="L82" i="27"/>
  <c r="E82" i="27"/>
  <c r="M82" i="27"/>
  <c r="J82" i="27"/>
  <c r="I82" i="27"/>
  <c r="F82" i="27"/>
  <c r="I83" i="27"/>
  <c r="L83" i="27"/>
  <c r="M83" i="27"/>
  <c r="G83" i="27"/>
  <c r="H83" i="27"/>
  <c r="E83" i="27"/>
  <c r="F83" i="27"/>
  <c r="J83" i="27"/>
  <c r="K83" i="27"/>
  <c r="F74" i="27"/>
  <c r="I74" i="27"/>
  <c r="H74" i="27"/>
  <c r="M74" i="27"/>
  <c r="E74" i="27"/>
  <c r="L74" i="27"/>
  <c r="G74" i="27"/>
  <c r="J74" i="27"/>
  <c r="K74" i="27"/>
  <c r="J78" i="27"/>
  <c r="M78" i="27"/>
  <c r="F78" i="27"/>
  <c r="L78" i="27"/>
  <c r="G78" i="27"/>
  <c r="H78" i="27"/>
  <c r="K78" i="27"/>
  <c r="E78" i="27"/>
  <c r="I78" i="27"/>
  <c r="I86" i="27"/>
  <c r="J86" i="27"/>
  <c r="F86" i="27"/>
  <c r="L86" i="27"/>
  <c r="H86" i="27"/>
  <c r="M86" i="27"/>
  <c r="G86" i="27"/>
  <c r="E86" i="27"/>
  <c r="K86" i="27"/>
  <c r="E67" i="27"/>
  <c r="H67" i="27"/>
  <c r="K67" i="27"/>
  <c r="F67" i="27"/>
  <c r="J67" i="27"/>
  <c r="M67" i="27"/>
  <c r="G67" i="27"/>
  <c r="L67" i="27"/>
  <c r="I67" i="27"/>
  <c r="K71" i="27"/>
  <c r="G71" i="27"/>
  <c r="L71" i="27"/>
  <c r="M71" i="27"/>
  <c r="E71" i="27"/>
  <c r="F71" i="27"/>
  <c r="I71" i="27"/>
  <c r="J71" i="27"/>
  <c r="H71" i="27"/>
  <c r="I75" i="27"/>
  <c r="K75" i="27"/>
  <c r="M75" i="27"/>
  <c r="F75" i="27"/>
  <c r="G75" i="27"/>
  <c r="L75" i="27"/>
  <c r="J75" i="27"/>
  <c r="E75" i="27"/>
  <c r="H75" i="27"/>
  <c r="E79" i="27"/>
  <c r="I79" i="27"/>
  <c r="K79" i="27"/>
  <c r="G79" i="27"/>
  <c r="H79" i="27"/>
  <c r="J79" i="27"/>
  <c r="F79" i="27"/>
  <c r="L79" i="27"/>
  <c r="M79" i="27"/>
  <c r="E87" i="27"/>
  <c r="F87" i="27"/>
  <c r="M87" i="27"/>
  <c r="I87" i="27"/>
  <c r="G87" i="27"/>
  <c r="K87" i="27"/>
  <c r="L87" i="27"/>
  <c r="J87" i="27"/>
  <c r="H87" i="27"/>
  <c r="H68" i="27"/>
  <c r="M68" i="27"/>
  <c r="I68" i="27"/>
  <c r="F68" i="27"/>
  <c r="L68" i="27"/>
  <c r="K68" i="27"/>
  <c r="E68" i="27"/>
  <c r="J68" i="27"/>
  <c r="G68" i="27"/>
  <c r="M72" i="27"/>
  <c r="I72" i="27"/>
  <c r="J72" i="27"/>
  <c r="G72" i="27"/>
  <c r="K72" i="27"/>
  <c r="F72" i="27"/>
  <c r="E72" i="27"/>
  <c r="H72" i="27"/>
  <c r="L72" i="27"/>
  <c r="K76" i="27"/>
  <c r="M76" i="27"/>
  <c r="L76" i="27"/>
  <c r="E76" i="27"/>
  <c r="G76" i="27"/>
  <c r="I76" i="27"/>
  <c r="F76" i="27"/>
  <c r="H76" i="27"/>
  <c r="J76" i="27"/>
  <c r="K80" i="27"/>
  <c r="I80" i="27"/>
  <c r="L80" i="27"/>
  <c r="H80" i="27"/>
  <c r="E80" i="27"/>
  <c r="J80" i="27"/>
  <c r="M80" i="27"/>
  <c r="F80" i="27"/>
  <c r="G80" i="27"/>
  <c r="M84" i="27"/>
  <c r="G84" i="27"/>
  <c r="H84" i="27"/>
  <c r="I84" i="27"/>
  <c r="E84" i="27"/>
  <c r="K84" i="27"/>
  <c r="L84" i="27"/>
  <c r="F84" i="27"/>
  <c r="J84" i="27"/>
  <c r="AB10" i="3"/>
  <c r="AB12" i="3" s="1"/>
  <c r="K12" i="3"/>
  <c r="AC7" i="3"/>
  <c r="AC9" i="3" s="1"/>
  <c r="L9" i="3"/>
  <c r="AB7" i="3"/>
  <c r="AB9" i="3" s="1"/>
  <c r="K9" i="3"/>
  <c r="M11" i="3"/>
  <c r="J12" i="3"/>
  <c r="AA10" i="3"/>
  <c r="AA12" i="3" s="1"/>
  <c r="M10" i="3"/>
  <c r="AC10" i="3"/>
  <c r="AC12" i="3" s="1"/>
  <c r="L12" i="3"/>
  <c r="M8" i="3"/>
  <c r="AA7" i="3"/>
  <c r="AA9" i="3" s="1"/>
  <c r="M7" i="3"/>
  <c r="J9" i="3"/>
  <c r="M4" i="3"/>
  <c r="J6" i="3"/>
  <c r="M5" i="3"/>
  <c r="J6" i="42"/>
  <c r="M5" i="42"/>
  <c r="M4" i="42"/>
  <c r="K68" i="42"/>
  <c r="I68" i="42"/>
  <c r="F68" i="42"/>
  <c r="O68" i="42"/>
  <c r="N68" i="42"/>
  <c r="J68" i="42"/>
  <c r="M68" i="42"/>
  <c r="L68" i="42"/>
  <c r="K12" i="42"/>
  <c r="L12" i="42"/>
  <c r="J59" i="42"/>
  <c r="M59" i="42"/>
  <c r="I59" i="42"/>
  <c r="C59" i="42"/>
  <c r="E59" i="42" s="1"/>
  <c r="H59" i="42" s="1"/>
  <c r="K59" i="42"/>
  <c r="L59" i="42"/>
  <c r="O59" i="42"/>
  <c r="N59" i="42"/>
  <c r="F57" i="42"/>
  <c r="J57" i="42"/>
  <c r="N57" i="42"/>
  <c r="O57" i="42"/>
  <c r="L57" i="42"/>
  <c r="I57" i="42"/>
  <c r="M57" i="42"/>
  <c r="K57" i="42"/>
  <c r="M47" i="42"/>
  <c r="F46" i="42"/>
  <c r="I46" i="42"/>
  <c r="L46" i="42"/>
  <c r="K46" i="42"/>
  <c r="M46" i="42"/>
  <c r="O46" i="42"/>
  <c r="J46" i="42"/>
  <c r="N46" i="42"/>
  <c r="C46" i="42"/>
  <c r="I70" i="42"/>
  <c r="L70" i="42"/>
  <c r="J70" i="42"/>
  <c r="K70" i="42"/>
  <c r="M70" i="42"/>
  <c r="O70" i="42"/>
  <c r="N70" i="42"/>
  <c r="L71" i="42"/>
  <c r="M71" i="42"/>
  <c r="K71" i="42"/>
  <c r="N71" i="42"/>
  <c r="C71" i="42"/>
  <c r="E71" i="42" s="1"/>
  <c r="I71" i="42"/>
  <c r="J71" i="42"/>
  <c r="O71" i="42"/>
  <c r="N58" i="42"/>
  <c r="L58" i="42"/>
  <c r="F58" i="42"/>
  <c r="AB4" i="3"/>
  <c r="AB6" i="3" s="1"/>
  <c r="K20" i="3"/>
  <c r="F69" i="42"/>
  <c r="K69" i="42"/>
  <c r="C69" i="42"/>
  <c r="E69" i="42" s="1"/>
  <c r="G69" i="42" s="1"/>
  <c r="I69" i="42"/>
  <c r="N69" i="42"/>
  <c r="J12" i="42"/>
  <c r="J49" i="42"/>
  <c r="M49" i="42"/>
  <c r="I49" i="42"/>
  <c r="O49" i="42"/>
  <c r="L49" i="42"/>
  <c r="K49" i="42"/>
  <c r="N49" i="42"/>
  <c r="AA4" i="3"/>
  <c r="AA6" i="3" s="1"/>
  <c r="J20" i="3"/>
  <c r="L20" i="3"/>
  <c r="AC4" i="3"/>
  <c r="AC6" i="3" s="1"/>
  <c r="E124" i="3"/>
  <c r="B124" i="3"/>
  <c r="A118" i="3"/>
  <c r="K48" i="42" l="1"/>
  <c r="C49" i="42"/>
  <c r="E49" i="42" s="1"/>
  <c r="G49" i="42" s="1"/>
  <c r="M69" i="42"/>
  <c r="J69" i="42"/>
  <c r="L69" i="42"/>
  <c r="O69" i="42"/>
  <c r="AF74" i="42"/>
  <c r="E46" i="42"/>
  <c r="G46" i="42" s="1"/>
  <c r="H71" i="42"/>
  <c r="AH74" i="42"/>
  <c r="AH73" i="42"/>
  <c r="AN74" i="42"/>
  <c r="AN73" i="42"/>
  <c r="AN45" i="4"/>
  <c r="AN60" i="4" s="1"/>
  <c r="L47" i="42"/>
  <c r="N48" i="42"/>
  <c r="I47" i="42"/>
  <c r="I48" i="42"/>
  <c r="K47" i="42"/>
  <c r="C48" i="42"/>
  <c r="N47" i="42"/>
  <c r="L48" i="42"/>
  <c r="M48" i="42"/>
  <c r="C47" i="42"/>
  <c r="J48" i="42"/>
  <c r="O47" i="42"/>
  <c r="J47" i="42"/>
  <c r="M60" i="42"/>
  <c r="M58" i="42"/>
  <c r="K58" i="42"/>
  <c r="C58" i="42"/>
  <c r="E58" i="42" s="1"/>
  <c r="G58" i="42" s="1"/>
  <c r="O58" i="42"/>
  <c r="I58" i="42"/>
  <c r="C60" i="42"/>
  <c r="E60" i="42" s="1"/>
  <c r="F116" i="3"/>
  <c r="F108" i="3"/>
  <c r="F115" i="3"/>
  <c r="F107" i="3"/>
  <c r="F114" i="3"/>
  <c r="F106" i="3"/>
  <c r="F113" i="3"/>
  <c r="F111" i="3"/>
  <c r="F110" i="3"/>
  <c r="F117" i="3"/>
  <c r="F112" i="3"/>
  <c r="F109" i="3"/>
  <c r="N60" i="42"/>
  <c r="E98" i="3"/>
  <c r="C32" i="27" s="1"/>
  <c r="AM32" i="33" s="1"/>
  <c r="AM49" i="33" s="1"/>
  <c r="AO45" i="4"/>
  <c r="AO60" i="4" s="1"/>
  <c r="AR45" i="4"/>
  <c r="AR60" i="4" s="1"/>
  <c r="AT45" i="4"/>
  <c r="AT60" i="4" s="1"/>
  <c r="AK45" i="4"/>
  <c r="AK60" i="4" s="1"/>
  <c r="AM45" i="4"/>
  <c r="AM60" i="4" s="1"/>
  <c r="AU45" i="4"/>
  <c r="AU60" i="4" s="1"/>
  <c r="AP45" i="4"/>
  <c r="AP60" i="4" s="1"/>
  <c r="AL45" i="4"/>
  <c r="AL60" i="4" s="1"/>
  <c r="AS45" i="4"/>
  <c r="AS60" i="4" s="1"/>
  <c r="AQ45" i="4"/>
  <c r="AQ60" i="4" s="1"/>
  <c r="AS37" i="4"/>
  <c r="AS56" i="4" s="1"/>
  <c r="AU37" i="4"/>
  <c r="AU56" i="4" s="1"/>
  <c r="AL37" i="4"/>
  <c r="AL56" i="4" s="1"/>
  <c r="AQ37" i="4"/>
  <c r="AQ56" i="4" s="1"/>
  <c r="AR37" i="4"/>
  <c r="AR56" i="4" s="1"/>
  <c r="AO37" i="4"/>
  <c r="AO56" i="4" s="1"/>
  <c r="J60" i="42"/>
  <c r="I60" i="42"/>
  <c r="K60" i="42"/>
  <c r="L60" i="42"/>
  <c r="C19" i="27"/>
  <c r="AR28" i="33" s="1"/>
  <c r="AR47" i="33" s="1"/>
  <c r="J111" i="3"/>
  <c r="C45" i="27"/>
  <c r="H85" i="3"/>
  <c r="I85" i="3"/>
  <c r="G85" i="3"/>
  <c r="K85" i="3"/>
  <c r="J85" i="3"/>
  <c r="K111" i="3"/>
  <c r="N111" i="3"/>
  <c r="AT37" i="4"/>
  <c r="AT56" i="4" s="1"/>
  <c r="AP37" i="4"/>
  <c r="AP56" i="4" s="1"/>
  <c r="M85" i="3"/>
  <c r="N85" i="3"/>
  <c r="AM37" i="4"/>
  <c r="AM56" i="4" s="1"/>
  <c r="O85" i="3"/>
  <c r="AN37" i="4"/>
  <c r="AN56" i="4" s="1"/>
  <c r="L85" i="3"/>
  <c r="O111" i="3"/>
  <c r="L111" i="3"/>
  <c r="G111" i="3"/>
  <c r="I111" i="3"/>
  <c r="M111" i="3"/>
  <c r="X124" i="3"/>
  <c r="T124" i="3"/>
  <c r="AA124" i="3"/>
  <c r="W124" i="3"/>
  <c r="S124" i="3"/>
  <c r="Y124" i="3"/>
  <c r="U124" i="3"/>
  <c r="Z124" i="3"/>
  <c r="V124" i="3"/>
  <c r="B20" i="3"/>
  <c r="M20" i="3"/>
  <c r="K32" i="3"/>
  <c r="K31" i="3"/>
  <c r="K28" i="3"/>
  <c r="K27" i="3"/>
  <c r="K23" i="3"/>
  <c r="C58" i="27"/>
  <c r="C124" i="3"/>
  <c r="K15" i="42"/>
  <c r="M12" i="42"/>
  <c r="B12" i="42"/>
  <c r="K16" i="42"/>
  <c r="K20" i="42"/>
  <c r="N19" i="42"/>
  <c r="K19" i="42"/>
  <c r="G59" i="42"/>
  <c r="G70" i="42"/>
  <c r="G71" i="42"/>
  <c r="H49" i="42"/>
  <c r="H69" i="42"/>
  <c r="N35" i="3"/>
  <c r="K36" i="3"/>
  <c r="K35" i="3"/>
  <c r="K24" i="3"/>
  <c r="A32" i="31"/>
  <c r="A52" i="27"/>
  <c r="B62" i="27"/>
  <c r="B63" i="27"/>
  <c r="B61" i="27"/>
  <c r="B60" i="27"/>
  <c r="AL74" i="42" l="1"/>
  <c r="AL73" i="42"/>
  <c r="AF73" i="42"/>
  <c r="E47" i="42"/>
  <c r="G47" i="42" s="1"/>
  <c r="D25" i="31"/>
  <c r="H46" i="42"/>
  <c r="AO74" i="42"/>
  <c r="AL81" i="42"/>
  <c r="AL88" i="42"/>
  <c r="AQ73" i="42"/>
  <c r="AN80" i="42"/>
  <c r="AN87" i="42"/>
  <c r="AQ74" i="42"/>
  <c r="AN81" i="42"/>
  <c r="AN88" i="42"/>
  <c r="AF87" i="42"/>
  <c r="AF80" i="42"/>
  <c r="AI73" i="42"/>
  <c r="AH80" i="42"/>
  <c r="AK73" i="42"/>
  <c r="AH87" i="42"/>
  <c r="AF88" i="42"/>
  <c r="AF81" i="42"/>
  <c r="AI74" i="42"/>
  <c r="AL80" i="42"/>
  <c r="AL87" i="42"/>
  <c r="AO73" i="42"/>
  <c r="E48" i="42"/>
  <c r="G48" i="42" s="1"/>
  <c r="G60" i="42"/>
  <c r="AG74" i="42"/>
  <c r="AG73" i="42"/>
  <c r="AM74" i="42"/>
  <c r="AM73" i="42"/>
  <c r="AK74" i="42"/>
  <c r="AH81" i="42"/>
  <c r="AH88" i="42"/>
  <c r="H58" i="42"/>
  <c r="H60" i="42"/>
  <c r="AQ41" i="4"/>
  <c r="AQ58" i="4" s="1"/>
  <c r="AT41" i="4"/>
  <c r="AT58" i="4" s="1"/>
  <c r="H98" i="3"/>
  <c r="F32" i="27" s="1"/>
  <c r="AN32" i="33"/>
  <c r="AN49" i="33" s="1"/>
  <c r="O98" i="3"/>
  <c r="M32" i="27" s="1"/>
  <c r="G98" i="3"/>
  <c r="E32" i="27" s="1"/>
  <c r="AQ32" i="33"/>
  <c r="AQ49" i="33" s="1"/>
  <c r="AU32" i="33"/>
  <c r="AU49" i="33" s="1"/>
  <c r="AS41" i="4"/>
  <c r="AS58" i="4" s="1"/>
  <c r="M98" i="3"/>
  <c r="K32" i="27" s="1"/>
  <c r="I98" i="3"/>
  <c r="G32" i="27" s="1"/>
  <c r="AL32" i="33"/>
  <c r="AL49" i="33" s="1"/>
  <c r="AO32" i="33"/>
  <c r="AO49" i="33" s="1"/>
  <c r="AN41" i="4"/>
  <c r="AN58" i="4" s="1"/>
  <c r="AP41" i="4"/>
  <c r="AP58" i="4" s="1"/>
  <c r="K98" i="3"/>
  <c r="I32" i="27" s="1"/>
  <c r="AS32" i="33"/>
  <c r="AS49" i="33" s="1"/>
  <c r="L98" i="3"/>
  <c r="J32" i="27" s="1"/>
  <c r="AO41" i="4"/>
  <c r="AO58" i="4" s="1"/>
  <c r="AP32" i="33"/>
  <c r="AP49" i="33" s="1"/>
  <c r="AR32" i="33"/>
  <c r="AR49" i="33" s="1"/>
  <c r="AL41" i="4"/>
  <c r="AL58" i="4" s="1"/>
  <c r="AK32" i="33"/>
  <c r="AK49" i="33" s="1"/>
  <c r="AK41" i="4"/>
  <c r="AK58" i="4" s="1"/>
  <c r="AU41" i="4"/>
  <c r="AU58" i="4" s="1"/>
  <c r="N98" i="3"/>
  <c r="L32" i="27" s="1"/>
  <c r="AM41" i="4"/>
  <c r="AM58" i="4" s="1"/>
  <c r="AT32" i="33"/>
  <c r="AT49" i="33" s="1"/>
  <c r="J98" i="3"/>
  <c r="H32" i="27" s="1"/>
  <c r="AR41" i="4"/>
  <c r="AR58" i="4" s="1"/>
  <c r="F19" i="27"/>
  <c r="G45" i="27"/>
  <c r="F45" i="27"/>
  <c r="AU36" i="33"/>
  <c r="AU51" i="33" s="1"/>
  <c r="AO36" i="33"/>
  <c r="AO51" i="33" s="1"/>
  <c r="AL36" i="33"/>
  <c r="AL51" i="33" s="1"/>
  <c r="AM36" i="33"/>
  <c r="AM51" i="33" s="1"/>
  <c r="AN36" i="33"/>
  <c r="AN51" i="33" s="1"/>
  <c r="AT36" i="33"/>
  <c r="AT51" i="33" s="1"/>
  <c r="AS36" i="33"/>
  <c r="AS51" i="33" s="1"/>
  <c r="AR36" i="33"/>
  <c r="AR51" i="33" s="1"/>
  <c r="AQ36" i="33"/>
  <c r="AQ51" i="33" s="1"/>
  <c r="AP36" i="33"/>
  <c r="AP51" i="33" s="1"/>
  <c r="AK36" i="33"/>
  <c r="AK51" i="33" s="1"/>
  <c r="AO28" i="33"/>
  <c r="AO47" i="33" s="1"/>
  <c r="AM28" i="33"/>
  <c r="AM47" i="33" s="1"/>
  <c r="AT28" i="33"/>
  <c r="AT47" i="33" s="1"/>
  <c r="AL28" i="33"/>
  <c r="AL47" i="33" s="1"/>
  <c r="AQ28" i="33"/>
  <c r="AQ47" i="33" s="1"/>
  <c r="AP28" i="33"/>
  <c r="AP47" i="33" s="1"/>
  <c r="AS28" i="33"/>
  <c r="AS47" i="33" s="1"/>
  <c r="AN28" i="33"/>
  <c r="AN47" i="33" s="1"/>
  <c r="AU28" i="33"/>
  <c r="AU47" i="33" s="1"/>
  <c r="AK28" i="33"/>
  <c r="AK47" i="33" s="1"/>
  <c r="J45" i="27"/>
  <c r="K19" i="27"/>
  <c r="E19" i="27"/>
  <c r="G19" i="27"/>
  <c r="M19" i="27"/>
  <c r="H19" i="27"/>
  <c r="J19" i="27"/>
  <c r="L19" i="27"/>
  <c r="I19" i="27"/>
  <c r="E45" i="27"/>
  <c r="H45" i="27"/>
  <c r="M45" i="27"/>
  <c r="L45" i="27"/>
  <c r="I45" i="27"/>
  <c r="K45" i="27"/>
  <c r="AJ82" i="3"/>
  <c r="AM82" i="3"/>
  <c r="H47" i="42" l="1"/>
  <c r="AG88" i="42"/>
  <c r="AJ74" i="42"/>
  <c r="AG81" i="42"/>
  <c r="AM87" i="42"/>
  <c r="AP73" i="42"/>
  <c r="AM80" i="42"/>
  <c r="AI80" i="42"/>
  <c r="AI87" i="42"/>
  <c r="AQ80" i="42"/>
  <c r="AQ87" i="42"/>
  <c r="AM81" i="42"/>
  <c r="AP74" i="42"/>
  <c r="AM88" i="42"/>
  <c r="AI88" i="42"/>
  <c r="AI81" i="42"/>
  <c r="AQ81" i="42"/>
  <c r="AQ88" i="42"/>
  <c r="C13" i="43"/>
  <c r="C16" i="43"/>
  <c r="C15" i="43"/>
  <c r="E15" i="43" s="1"/>
  <c r="C14" i="43"/>
  <c r="H48" i="42"/>
  <c r="F15" i="43" s="1"/>
  <c r="AK87" i="42"/>
  <c r="AK80" i="42"/>
  <c r="AG87" i="42"/>
  <c r="AJ73" i="42"/>
  <c r="AG80" i="42"/>
  <c r="AO88" i="42"/>
  <c r="AO81" i="42"/>
  <c r="AK88" i="42"/>
  <c r="AK81" i="42"/>
  <c r="AO80" i="42"/>
  <c r="AO87" i="42"/>
  <c r="B129" i="3"/>
  <c r="AG52" i="4" s="1"/>
  <c r="B128" i="3"/>
  <c r="AG51" i="4" s="1"/>
  <c r="B127" i="3"/>
  <c r="AG50" i="4" s="1"/>
  <c r="B126" i="3"/>
  <c r="AG49" i="4" s="1"/>
  <c r="AP81" i="42" l="1"/>
  <c r="AP88" i="42"/>
  <c r="AJ88" i="42"/>
  <c r="V86" i="42" s="1"/>
  <c r="AJ81" i="42"/>
  <c r="T86" i="42" s="1"/>
  <c r="F14" i="43"/>
  <c r="E14" i="43"/>
  <c r="Y14" i="43"/>
  <c r="S14" i="43"/>
  <c r="Y15" i="43"/>
  <c r="S15" i="43"/>
  <c r="E13" i="43"/>
  <c r="F13" i="43"/>
  <c r="AJ87" i="42"/>
  <c r="V84" i="42" s="1"/>
  <c r="AJ80" i="42"/>
  <c r="T84" i="42" s="1"/>
  <c r="AP87" i="42"/>
  <c r="AP80" i="42"/>
  <c r="AG63" i="4"/>
  <c r="AG54" i="33" s="1"/>
  <c r="AG41" i="33"/>
  <c r="AG64" i="4"/>
  <c r="AG55" i="33" s="1"/>
  <c r="AG42" i="33"/>
  <c r="AG62" i="4"/>
  <c r="AG53" i="33" s="1"/>
  <c r="AG40" i="33"/>
  <c r="AG65" i="4"/>
  <c r="AG56" i="33" s="1"/>
  <c r="AG43" i="33"/>
  <c r="X128" i="3"/>
  <c r="AA128" i="3"/>
  <c r="S128" i="3"/>
  <c r="Z128" i="3"/>
  <c r="W128" i="3"/>
  <c r="V128" i="3"/>
  <c r="U128" i="3"/>
  <c r="T128" i="3"/>
  <c r="Y128" i="3"/>
  <c r="U126" i="3"/>
  <c r="S126" i="3"/>
  <c r="Z126" i="3"/>
  <c r="Y126" i="3"/>
  <c r="T126" i="3"/>
  <c r="AA126" i="3"/>
  <c r="X126" i="3"/>
  <c r="W126" i="3"/>
  <c r="V126" i="3"/>
  <c r="U127" i="3"/>
  <c r="T127" i="3"/>
  <c r="AA127" i="3"/>
  <c r="S127" i="3"/>
  <c r="Y127" i="3"/>
  <c r="W127" i="3"/>
  <c r="V127" i="3"/>
  <c r="Z127" i="3"/>
  <c r="X127" i="3"/>
  <c r="AA129" i="3"/>
  <c r="V129" i="3"/>
  <c r="Z129" i="3"/>
  <c r="Y129" i="3"/>
  <c r="U129" i="3"/>
  <c r="T129" i="3"/>
  <c r="S129" i="3"/>
  <c r="X129" i="3"/>
  <c r="W129" i="3"/>
  <c r="K6" i="8"/>
  <c r="Y21" i="43" l="1"/>
  <c r="AB14" i="43"/>
  <c r="Y28" i="43"/>
  <c r="Y29" i="43"/>
  <c r="AB15" i="43"/>
  <c r="Y22" i="43"/>
  <c r="V15" i="43"/>
  <c r="S29" i="43"/>
  <c r="S22" i="43"/>
  <c r="V14" i="43"/>
  <c r="S21" i="43"/>
  <c r="S28" i="43"/>
  <c r="AU43" i="33"/>
  <c r="AR43" i="33"/>
  <c r="AQ43" i="33"/>
  <c r="AP43" i="33"/>
  <c r="AO43" i="33"/>
  <c r="AN43" i="33"/>
  <c r="AM43" i="33"/>
  <c r="AT43" i="33"/>
  <c r="AL43" i="33"/>
  <c r="AS43" i="33"/>
  <c r="AK43" i="33"/>
  <c r="AS42" i="33"/>
  <c r="AK42" i="33"/>
  <c r="AR42" i="33"/>
  <c r="AQ42" i="33"/>
  <c r="AP42" i="33"/>
  <c r="AO42" i="33"/>
  <c r="AN42" i="33"/>
  <c r="AU42" i="33"/>
  <c r="AM42" i="33"/>
  <c r="AT42" i="33"/>
  <c r="AL42" i="33"/>
  <c r="AP41" i="33"/>
  <c r="AO41" i="33"/>
  <c r="AN41" i="33"/>
  <c r="AU41" i="33"/>
  <c r="AM41" i="33"/>
  <c r="AT41" i="33"/>
  <c r="AL41" i="33"/>
  <c r="AS41" i="33"/>
  <c r="AK41" i="33"/>
  <c r="AR41" i="33"/>
  <c r="AQ41" i="33"/>
  <c r="AT40" i="33"/>
  <c r="AL40" i="33"/>
  <c r="AR40" i="33"/>
  <c r="AQ40" i="33"/>
  <c r="AO40" i="33"/>
  <c r="AM40" i="33"/>
  <c r="AS40" i="33"/>
  <c r="AK40" i="33"/>
  <c r="AP40" i="33"/>
  <c r="AN40" i="33"/>
  <c r="AU40" i="33"/>
  <c r="F6" i="8"/>
  <c r="L116" i="8"/>
  <c r="L115" i="8"/>
  <c r="L118" i="8"/>
  <c r="L117" i="8"/>
  <c r="R102" i="8"/>
  <c r="M102" i="8" s="1"/>
  <c r="R101" i="8"/>
  <c r="M101" i="8" s="1"/>
  <c r="R98" i="8"/>
  <c r="R96" i="8"/>
  <c r="R91" i="8"/>
  <c r="R90" i="8"/>
  <c r="M90" i="8" s="1"/>
  <c r="R87" i="8"/>
  <c r="R85" i="8"/>
  <c r="K5" i="8"/>
  <c r="AB29" i="43" l="1"/>
  <c r="AB22" i="43"/>
  <c r="V29" i="43"/>
  <c r="V22" i="43"/>
  <c r="V21" i="43"/>
  <c r="V28" i="43"/>
  <c r="AB21" i="43"/>
  <c r="AB28" i="43"/>
  <c r="M98" i="8"/>
  <c r="B98" i="8" s="1"/>
  <c r="M99" i="8"/>
  <c r="B99" i="8" s="1"/>
  <c r="M96" i="8"/>
  <c r="M97" i="8"/>
  <c r="B97" i="8" s="1"/>
  <c r="M88" i="8"/>
  <c r="M87" i="8"/>
  <c r="M91" i="8"/>
  <c r="B91" i="8" s="1"/>
  <c r="M86" i="8"/>
  <c r="B86" i="8" s="1"/>
  <c r="M85" i="8"/>
  <c r="M106" i="8"/>
  <c r="M105" i="8"/>
  <c r="M104" i="8"/>
  <c r="F5" i="8"/>
  <c r="L104" i="8"/>
  <c r="A118" i="8" s="1"/>
  <c r="A67" i="42" l="1"/>
  <c r="A34" i="43"/>
  <c r="A42" i="43"/>
  <c r="A75" i="42"/>
  <c r="A29" i="43"/>
  <c r="A62" i="42"/>
  <c r="A40" i="43"/>
  <c r="A73" i="42"/>
  <c r="A41" i="43"/>
  <c r="A74" i="42"/>
  <c r="B90" i="8"/>
  <c r="B87" i="8"/>
  <c r="B88" i="8"/>
  <c r="B101" i="8"/>
  <c r="B102" i="8"/>
  <c r="B100" i="8"/>
  <c r="B96" i="8"/>
  <c r="B85" i="8"/>
  <c r="B89" i="8"/>
  <c r="A129" i="3"/>
  <c r="M13" i="3"/>
  <c r="M15" i="3" s="1"/>
  <c r="A63" i="27"/>
  <c r="A117" i="8"/>
  <c r="A62" i="27" s="1"/>
  <c r="A115" i="8"/>
  <c r="A116" i="8"/>
  <c r="A110" i="8"/>
  <c r="A108" i="8"/>
  <c r="A33" i="31" s="1"/>
  <c r="A109" i="8"/>
  <c r="A34" i="31" s="1"/>
  <c r="A111" i="8"/>
  <c r="A36" i="31" s="1"/>
  <c r="C17" i="43"/>
  <c r="A104" i="8"/>
  <c r="A47" i="43" s="1"/>
  <c r="A106" i="8"/>
  <c r="A49" i="43" s="1"/>
  <c r="A105" i="8"/>
  <c r="A81" i="42" s="1"/>
  <c r="B105" i="8"/>
  <c r="B81" i="42" s="1"/>
  <c r="B106" i="8"/>
  <c r="B82" i="42" s="1"/>
  <c r="B104" i="8"/>
  <c r="B80" i="42" s="1"/>
  <c r="A113" i="8"/>
  <c r="A80" i="42" l="1"/>
  <c r="A82" i="42"/>
  <c r="A48" i="43"/>
  <c r="A28" i="43"/>
  <c r="A61" i="42"/>
  <c r="N61" i="42" s="1"/>
  <c r="A39" i="43"/>
  <c r="A72" i="42"/>
  <c r="C73" i="42" s="1"/>
  <c r="E73" i="42" s="1"/>
  <c r="A43" i="43"/>
  <c r="A76" i="42"/>
  <c r="L76" i="42" s="1"/>
  <c r="A45" i="43"/>
  <c r="A78" i="42"/>
  <c r="N78" i="42" s="1"/>
  <c r="A31" i="43"/>
  <c r="A64" i="42"/>
  <c r="A44" i="43"/>
  <c r="A77" i="42"/>
  <c r="I77" i="42" s="1"/>
  <c r="A30" i="43"/>
  <c r="A63" i="42"/>
  <c r="O63" i="42" s="1"/>
  <c r="A32" i="43"/>
  <c r="A65" i="42"/>
  <c r="N65" i="42" s="1"/>
  <c r="A33" i="43"/>
  <c r="A66" i="42"/>
  <c r="L66" i="42" s="1"/>
  <c r="J16" i="3"/>
  <c r="K17" i="3" s="1"/>
  <c r="K22" i="42"/>
  <c r="K7" i="42"/>
  <c r="K9" i="42" s="1"/>
  <c r="L7" i="42"/>
  <c r="L9" i="42" s="1"/>
  <c r="L22" i="42"/>
  <c r="J7" i="42"/>
  <c r="M8" i="42" s="1"/>
  <c r="A128" i="3"/>
  <c r="A61" i="27"/>
  <c r="K13" i="3"/>
  <c r="K15" i="3" s="1"/>
  <c r="A127" i="3"/>
  <c r="A29" i="31"/>
  <c r="L13" i="3"/>
  <c r="L15" i="3" s="1"/>
  <c r="A60" i="27"/>
  <c r="J13" i="3"/>
  <c r="J15" i="3" s="1"/>
  <c r="A126" i="3"/>
  <c r="D126" i="3" s="1"/>
  <c r="C126" i="3" s="1"/>
  <c r="E126" i="3" s="1"/>
  <c r="J22" i="42"/>
  <c r="K25" i="42" s="1"/>
  <c r="C21" i="43"/>
  <c r="C19" i="43"/>
  <c r="C23" i="43"/>
  <c r="C53" i="42"/>
  <c r="E53" i="42" s="1"/>
  <c r="H53" i="42" s="1"/>
  <c r="N53" i="42"/>
  <c r="J53" i="42"/>
  <c r="M53" i="42"/>
  <c r="L53" i="42"/>
  <c r="I53" i="42"/>
  <c r="K53" i="42"/>
  <c r="O53" i="42"/>
  <c r="C20" i="43"/>
  <c r="A121" i="3"/>
  <c r="A55" i="27"/>
  <c r="A35" i="31"/>
  <c r="M52" i="42"/>
  <c r="I52" i="42"/>
  <c r="L52" i="42"/>
  <c r="C52" i="42"/>
  <c r="E52" i="42" s="1"/>
  <c r="G52" i="42" s="1"/>
  <c r="J52" i="42"/>
  <c r="N52" i="42"/>
  <c r="O52" i="42"/>
  <c r="K52" i="42"/>
  <c r="O62" i="42"/>
  <c r="L62" i="42"/>
  <c r="I62" i="42"/>
  <c r="J62" i="42"/>
  <c r="K62" i="42"/>
  <c r="M62" i="42"/>
  <c r="N62" i="42"/>
  <c r="F67" i="42"/>
  <c r="N67" i="42"/>
  <c r="I67" i="42"/>
  <c r="L67" i="42"/>
  <c r="J67" i="42"/>
  <c r="M67" i="42"/>
  <c r="K67" i="42"/>
  <c r="C68" i="42"/>
  <c r="E68" i="42" s="1"/>
  <c r="O67" i="42"/>
  <c r="A56" i="27"/>
  <c r="A122" i="3"/>
  <c r="C18" i="43"/>
  <c r="M54" i="42"/>
  <c r="O54" i="42"/>
  <c r="C54" i="42"/>
  <c r="K54" i="42"/>
  <c r="I54" i="42"/>
  <c r="L54" i="42"/>
  <c r="J54" i="42"/>
  <c r="N54" i="42"/>
  <c r="N51" i="42"/>
  <c r="L51" i="42"/>
  <c r="J51" i="42"/>
  <c r="I51" i="42"/>
  <c r="C51" i="42"/>
  <c r="E51" i="42" s="1"/>
  <c r="G51" i="42" s="1"/>
  <c r="M51" i="42"/>
  <c r="K51" i="42"/>
  <c r="O51" i="42"/>
  <c r="L55" i="42"/>
  <c r="J55" i="42"/>
  <c r="M55" i="42"/>
  <c r="C55" i="42"/>
  <c r="O55" i="42"/>
  <c r="K55" i="42"/>
  <c r="N55" i="42"/>
  <c r="I55" i="42"/>
  <c r="A120" i="3"/>
  <c r="A54" i="27"/>
  <c r="K56" i="42"/>
  <c r="M56" i="42"/>
  <c r="F56" i="42"/>
  <c r="N56" i="42"/>
  <c r="C57" i="42"/>
  <c r="E57" i="42" s="1"/>
  <c r="J56" i="42"/>
  <c r="O56" i="42"/>
  <c r="I56" i="42"/>
  <c r="C56" i="42"/>
  <c r="L56" i="42"/>
  <c r="L50" i="42"/>
  <c r="C50" i="42"/>
  <c r="N50" i="42"/>
  <c r="K50" i="42"/>
  <c r="M50" i="42"/>
  <c r="J50" i="42"/>
  <c r="O50" i="42"/>
  <c r="I50" i="42"/>
  <c r="C22" i="43"/>
  <c r="A119" i="3"/>
  <c r="A53" i="27"/>
  <c r="AA81" i="42"/>
  <c r="T81" i="42"/>
  <c r="Z81" i="42"/>
  <c r="W81" i="42"/>
  <c r="S81" i="42"/>
  <c r="U81" i="42"/>
  <c r="X81" i="42"/>
  <c r="V81" i="42"/>
  <c r="Y81" i="42"/>
  <c r="V80" i="42"/>
  <c r="AA80" i="42"/>
  <c r="U80" i="42"/>
  <c r="S80" i="42"/>
  <c r="W80" i="42"/>
  <c r="X80" i="42"/>
  <c r="T80" i="42"/>
  <c r="Y80" i="42"/>
  <c r="Z80" i="42"/>
  <c r="AA82" i="42"/>
  <c r="U82" i="42"/>
  <c r="Y82" i="42"/>
  <c r="V82" i="42"/>
  <c r="W82" i="42"/>
  <c r="X82" i="42"/>
  <c r="S82" i="42"/>
  <c r="Z82" i="42"/>
  <c r="T82" i="42"/>
  <c r="I73" i="42"/>
  <c r="J73" i="42"/>
  <c r="O73" i="42"/>
  <c r="N73" i="42"/>
  <c r="M73" i="42"/>
  <c r="K73" i="42"/>
  <c r="L73" i="42"/>
  <c r="K74" i="42"/>
  <c r="J74" i="42"/>
  <c r="N74" i="42"/>
  <c r="C74" i="42"/>
  <c r="E74" i="42" s="1"/>
  <c r="I74" i="42"/>
  <c r="L74" i="42"/>
  <c r="M74" i="42"/>
  <c r="O74" i="42"/>
  <c r="K75" i="42"/>
  <c r="O75" i="42"/>
  <c r="C75" i="42"/>
  <c r="E75" i="42" s="1"/>
  <c r="M75" i="42"/>
  <c r="J75" i="42"/>
  <c r="N75" i="42"/>
  <c r="I75" i="42"/>
  <c r="L75" i="42"/>
  <c r="A40" i="31"/>
  <c r="A41" i="31"/>
  <c r="A39" i="31"/>
  <c r="A30" i="31"/>
  <c r="A31" i="31"/>
  <c r="A38" i="31"/>
  <c r="B30" i="31"/>
  <c r="B29" i="31"/>
  <c r="B31" i="31"/>
  <c r="B41" i="31"/>
  <c r="D129" i="3"/>
  <c r="C129" i="3" s="1"/>
  <c r="C62" i="42" l="1"/>
  <c r="E62" i="42" s="1"/>
  <c r="G62" i="42" s="1"/>
  <c r="E50" i="42"/>
  <c r="H50" i="42" s="1"/>
  <c r="E55" i="42"/>
  <c r="G55" i="42" s="1"/>
  <c r="E56" i="42"/>
  <c r="H56" i="42" s="1"/>
  <c r="F23" i="43" s="1"/>
  <c r="E54" i="42"/>
  <c r="H54" i="42" s="1"/>
  <c r="K61" i="42"/>
  <c r="O61" i="42"/>
  <c r="I61" i="42"/>
  <c r="C76" i="42"/>
  <c r="E76" i="42" s="1"/>
  <c r="H76" i="42" s="1"/>
  <c r="K76" i="42"/>
  <c r="M65" i="42"/>
  <c r="C64" i="42"/>
  <c r="E64" i="42" s="1"/>
  <c r="G64" i="42" s="1"/>
  <c r="M76" i="42"/>
  <c r="N76" i="42"/>
  <c r="I76" i="42"/>
  <c r="O76" i="42"/>
  <c r="M78" i="42"/>
  <c r="L65" i="42"/>
  <c r="K65" i="42"/>
  <c r="I65" i="42"/>
  <c r="N63" i="42"/>
  <c r="J61" i="42"/>
  <c r="I63" i="42"/>
  <c r="C63" i="42"/>
  <c r="E63" i="42" s="1"/>
  <c r="H63" i="42" s="1"/>
  <c r="C61" i="42"/>
  <c r="E61" i="42" s="1"/>
  <c r="G61" i="42" s="1"/>
  <c r="L63" i="42"/>
  <c r="C66" i="42"/>
  <c r="E66" i="42" s="1"/>
  <c r="H66" i="42" s="1"/>
  <c r="L61" i="42"/>
  <c r="M61" i="42"/>
  <c r="N64" i="42"/>
  <c r="L64" i="42"/>
  <c r="N66" i="42"/>
  <c r="M64" i="42"/>
  <c r="J63" i="42"/>
  <c r="O65" i="42"/>
  <c r="K66" i="42"/>
  <c r="O64" i="42"/>
  <c r="K63" i="42"/>
  <c r="J65" i="42"/>
  <c r="I66" i="42"/>
  <c r="J64" i="42"/>
  <c r="M66" i="42"/>
  <c r="M63" i="42"/>
  <c r="C65" i="42"/>
  <c r="E65" i="42" s="1"/>
  <c r="G65" i="42" s="1"/>
  <c r="J66" i="42"/>
  <c r="I64" i="42"/>
  <c r="O66" i="42"/>
  <c r="K64" i="42"/>
  <c r="C67" i="42"/>
  <c r="E67" i="42" s="1"/>
  <c r="H67" i="42" s="1"/>
  <c r="J77" i="42"/>
  <c r="J76" i="42"/>
  <c r="K77" i="42"/>
  <c r="L77" i="42"/>
  <c r="K78" i="42"/>
  <c r="M77" i="42"/>
  <c r="L78" i="42"/>
  <c r="C77" i="42"/>
  <c r="E77" i="42" s="1"/>
  <c r="H77" i="42" s="1"/>
  <c r="N77" i="42"/>
  <c r="C78" i="42"/>
  <c r="E78" i="42" s="1"/>
  <c r="G78" i="42" s="1"/>
  <c r="O77" i="42"/>
  <c r="O78" i="42"/>
  <c r="F78" i="42"/>
  <c r="I78" i="42"/>
  <c r="J78" i="42"/>
  <c r="K72" i="42"/>
  <c r="M72" i="42"/>
  <c r="C72" i="42"/>
  <c r="E72" i="42" s="1"/>
  <c r="J72" i="42"/>
  <c r="O72" i="42"/>
  <c r="I72" i="42"/>
  <c r="N72" i="42"/>
  <c r="L72" i="42"/>
  <c r="M7" i="42"/>
  <c r="J9" i="42"/>
  <c r="B22" i="42"/>
  <c r="M22" i="42"/>
  <c r="K26" i="42"/>
  <c r="N25" i="42"/>
  <c r="N13" i="3"/>
  <c r="N14" i="3"/>
  <c r="G50" i="42"/>
  <c r="H51" i="42"/>
  <c r="H55" i="42"/>
  <c r="G54" i="42"/>
  <c r="D26" i="31"/>
  <c r="G57" i="42"/>
  <c r="H57" i="42"/>
  <c r="D27" i="31"/>
  <c r="H68" i="42"/>
  <c r="G68" i="42"/>
  <c r="G53" i="42"/>
  <c r="H52" i="42"/>
  <c r="H62" i="42"/>
  <c r="J82" i="42"/>
  <c r="F82" i="42"/>
  <c r="K82" i="42"/>
  <c r="L82" i="42"/>
  <c r="N82" i="42"/>
  <c r="E82" i="42"/>
  <c r="O82" i="42"/>
  <c r="M82" i="42"/>
  <c r="I82" i="42"/>
  <c r="O80" i="42"/>
  <c r="N80" i="42"/>
  <c r="L80" i="42"/>
  <c r="K80" i="42"/>
  <c r="I80" i="42"/>
  <c r="M80" i="42"/>
  <c r="E80" i="42"/>
  <c r="F80" i="42"/>
  <c r="J80" i="42"/>
  <c r="O81" i="42"/>
  <c r="K81" i="42"/>
  <c r="M81" i="42"/>
  <c r="L81" i="42"/>
  <c r="E81" i="42"/>
  <c r="N81" i="42"/>
  <c r="F81" i="42"/>
  <c r="J81" i="42"/>
  <c r="I81" i="42"/>
  <c r="H73" i="42"/>
  <c r="G75" i="42"/>
  <c r="G74" i="42"/>
  <c r="H74" i="42"/>
  <c r="G73" i="42"/>
  <c r="H75" i="42"/>
  <c r="B36" i="31"/>
  <c r="F41" i="31"/>
  <c r="D63" i="27"/>
  <c r="E129" i="3"/>
  <c r="A58" i="27"/>
  <c r="A33" i="39"/>
  <c r="G56" i="42" l="1"/>
  <c r="E23" i="43" s="1"/>
  <c r="D31" i="31"/>
  <c r="C49" i="43" s="1"/>
  <c r="AN76" i="42"/>
  <c r="AN75" i="42"/>
  <c r="AA16" i="43" s="1"/>
  <c r="D29" i="31"/>
  <c r="C47" i="43" s="1"/>
  <c r="L47" i="43" s="1"/>
  <c r="AL75" i="42"/>
  <c r="AL76" i="42"/>
  <c r="D30" i="31"/>
  <c r="C48" i="43" s="1"/>
  <c r="K48" i="43" s="1"/>
  <c r="AM76" i="42"/>
  <c r="AM75" i="42"/>
  <c r="G76" i="42"/>
  <c r="H64" i="42"/>
  <c r="G63" i="42"/>
  <c r="H61" i="42"/>
  <c r="G66" i="42"/>
  <c r="G67" i="42"/>
  <c r="H65" i="42"/>
  <c r="G77" i="42"/>
  <c r="H78" i="42"/>
  <c r="AM56" i="33"/>
  <c r="AP56" i="33"/>
  <c r="AN56" i="33"/>
  <c r="AU56" i="33"/>
  <c r="AT56" i="33"/>
  <c r="AL56" i="33"/>
  <c r="AK56" i="33"/>
  <c r="AR56" i="33"/>
  <c r="AS56" i="33"/>
  <c r="AQ56" i="33"/>
  <c r="AO56" i="33"/>
  <c r="C42" i="43"/>
  <c r="C45" i="43"/>
  <c r="C40" i="43"/>
  <c r="E40" i="43" s="1"/>
  <c r="AO52" i="4"/>
  <c r="AO65" i="4" s="1"/>
  <c r="AR52" i="4"/>
  <c r="AR65" i="4" s="1"/>
  <c r="AU52" i="4"/>
  <c r="AU65" i="4" s="1"/>
  <c r="AT52" i="4"/>
  <c r="AT65" i="4" s="1"/>
  <c r="AL52" i="4"/>
  <c r="AL65" i="4" s="1"/>
  <c r="AN52" i="4"/>
  <c r="AN65" i="4" s="1"/>
  <c r="AQ52" i="4"/>
  <c r="AQ65" i="4" s="1"/>
  <c r="AP52" i="4"/>
  <c r="AP65" i="4" s="1"/>
  <c r="AS52" i="4"/>
  <c r="AS65" i="4" s="1"/>
  <c r="AK52" i="4"/>
  <c r="AK65" i="4" s="1"/>
  <c r="AM52" i="4"/>
  <c r="AM65" i="4" s="1"/>
  <c r="O129" i="3"/>
  <c r="G129" i="3"/>
  <c r="N129" i="3"/>
  <c r="M129" i="3"/>
  <c r="L129" i="3"/>
  <c r="I129" i="3"/>
  <c r="H129" i="3"/>
  <c r="K129" i="3"/>
  <c r="J129" i="3"/>
  <c r="C29" i="43"/>
  <c r="F29" i="43" s="1"/>
  <c r="C31" i="43"/>
  <c r="F31" i="43" s="1"/>
  <c r="C34" i="43"/>
  <c r="C30" i="43"/>
  <c r="G72" i="42"/>
  <c r="H72" i="42"/>
  <c r="C41" i="43"/>
  <c r="K41" i="43" s="1"/>
  <c r="C39" i="43"/>
  <c r="C44" i="43"/>
  <c r="C28" i="43"/>
  <c r="C33" i="43"/>
  <c r="C27" i="43"/>
  <c r="C25" i="43"/>
  <c r="C26" i="43"/>
  <c r="C24" i="43"/>
  <c r="F24" i="43" s="1"/>
  <c r="C32" i="43"/>
  <c r="C43" i="43"/>
  <c r="F43" i="43" s="1"/>
  <c r="C37" i="43"/>
  <c r="C36" i="43"/>
  <c r="C38" i="43"/>
  <c r="C35" i="43"/>
  <c r="K156" i="3"/>
  <c r="L156" i="3"/>
  <c r="I156" i="3"/>
  <c r="M156" i="3"/>
  <c r="M49" i="43"/>
  <c r="H80" i="42"/>
  <c r="F47" i="43" s="1"/>
  <c r="G80" i="42"/>
  <c r="E47" i="43" s="1"/>
  <c r="N156" i="3"/>
  <c r="J156" i="3"/>
  <c r="O156" i="3"/>
  <c r="L49" i="43"/>
  <c r="AA17" i="43"/>
  <c r="J49" i="43"/>
  <c r="I49" i="43"/>
  <c r="H81" i="42"/>
  <c r="H82" i="42"/>
  <c r="F49" i="43" s="1"/>
  <c r="G82" i="42"/>
  <c r="E49" i="43" s="1"/>
  <c r="G81" i="42"/>
  <c r="G47" i="43"/>
  <c r="G49" i="43"/>
  <c r="H49" i="43"/>
  <c r="I47" i="43"/>
  <c r="K49" i="43"/>
  <c r="N122" i="3"/>
  <c r="B122" i="3"/>
  <c r="M122" i="3"/>
  <c r="I122" i="3"/>
  <c r="L122" i="3"/>
  <c r="J122" i="3"/>
  <c r="O122" i="3"/>
  <c r="K122" i="3"/>
  <c r="B35" i="31"/>
  <c r="B39" i="31"/>
  <c r="B38" i="31"/>
  <c r="B34" i="31"/>
  <c r="B40" i="31"/>
  <c r="B33" i="31"/>
  <c r="D41" i="31"/>
  <c r="C63" i="27" s="1"/>
  <c r="A124" i="3"/>
  <c r="D128" i="3"/>
  <c r="C128" i="3" s="1"/>
  <c r="D127" i="3"/>
  <c r="C127" i="3" s="1"/>
  <c r="G16" i="26"/>
  <c r="G27" i="26"/>
  <c r="G21" i="26"/>
  <c r="G6" i="26"/>
  <c r="G5" i="26"/>
  <c r="Y17" i="43" l="1"/>
  <c r="I48" i="43"/>
  <c r="L48" i="43"/>
  <c r="M48" i="43"/>
  <c r="F48" i="43"/>
  <c r="Z17" i="43"/>
  <c r="AC17" i="43" s="1"/>
  <c r="E30" i="43"/>
  <c r="E48" i="43"/>
  <c r="AO76" i="42"/>
  <c r="AL90" i="42"/>
  <c r="AL83" i="42"/>
  <c r="Y24" i="43" s="1"/>
  <c r="Y16" i="43"/>
  <c r="AL82" i="42"/>
  <c r="AL89" i="42"/>
  <c r="AO75" i="42"/>
  <c r="J47" i="43"/>
  <c r="H48" i="43"/>
  <c r="AQ75" i="42"/>
  <c r="AN82" i="42"/>
  <c r="AN89" i="42"/>
  <c r="AA30" i="43" s="1"/>
  <c r="AP76" i="42"/>
  <c r="AM83" i="42"/>
  <c r="Z24" i="43" s="1"/>
  <c r="AM90" i="42"/>
  <c r="Z31" i="43" s="1"/>
  <c r="J48" i="43"/>
  <c r="Z16" i="43"/>
  <c r="AC16" i="43" s="1"/>
  <c r="K47" i="43"/>
  <c r="M47" i="43"/>
  <c r="AQ76" i="42"/>
  <c r="AN83" i="42"/>
  <c r="AA24" i="43" s="1"/>
  <c r="AN90" i="42"/>
  <c r="AA31" i="43" s="1"/>
  <c r="G48" i="43"/>
  <c r="H47" i="43"/>
  <c r="AM82" i="42"/>
  <c r="Z23" i="43" s="1"/>
  <c r="AM89" i="42"/>
  <c r="AP75" i="42"/>
  <c r="F28" i="43"/>
  <c r="F45" i="43"/>
  <c r="E44" i="43"/>
  <c r="E34" i="43"/>
  <c r="F32" i="43"/>
  <c r="F40" i="43"/>
  <c r="M45" i="43"/>
  <c r="G45" i="43"/>
  <c r="I45" i="43"/>
  <c r="J45" i="43"/>
  <c r="L45" i="43"/>
  <c r="K45" i="43"/>
  <c r="H45" i="43"/>
  <c r="M42" i="43"/>
  <c r="K42" i="43"/>
  <c r="J42" i="43"/>
  <c r="I42" i="43"/>
  <c r="H42" i="43"/>
  <c r="L42" i="43"/>
  <c r="G42" i="43"/>
  <c r="F42" i="43"/>
  <c r="E42" i="43"/>
  <c r="G41" i="43"/>
  <c r="I40" i="43"/>
  <c r="H40" i="43"/>
  <c r="K40" i="43"/>
  <c r="J40" i="43"/>
  <c r="M40" i="43"/>
  <c r="L40" i="43"/>
  <c r="G40" i="43"/>
  <c r="E45" i="43"/>
  <c r="I41" i="43"/>
  <c r="L41" i="43"/>
  <c r="M41" i="43"/>
  <c r="J41" i="43"/>
  <c r="O124" i="3"/>
  <c r="K124" i="3"/>
  <c r="M124" i="3"/>
  <c r="N124" i="3"/>
  <c r="I124" i="3"/>
  <c r="L124" i="3"/>
  <c r="G124" i="3"/>
  <c r="E58" i="27" s="1"/>
  <c r="H124" i="3"/>
  <c r="F58" i="27" s="1"/>
  <c r="J124" i="3"/>
  <c r="H41" i="43"/>
  <c r="J30" i="43"/>
  <c r="H30" i="43"/>
  <c r="I30" i="43"/>
  <c r="K30" i="43"/>
  <c r="F30" i="43"/>
  <c r="M30" i="43"/>
  <c r="G30" i="43"/>
  <c r="L30" i="43"/>
  <c r="J34" i="43"/>
  <c r="H34" i="43"/>
  <c r="M34" i="43"/>
  <c r="L34" i="43"/>
  <c r="G34" i="43"/>
  <c r="F34" i="43"/>
  <c r="I34" i="43"/>
  <c r="K34" i="43"/>
  <c r="E31" i="43"/>
  <c r="J31" i="43"/>
  <c r="I31" i="43"/>
  <c r="G31" i="43"/>
  <c r="H31" i="43"/>
  <c r="K31" i="43"/>
  <c r="L31" i="43"/>
  <c r="M31" i="43"/>
  <c r="J29" i="43"/>
  <c r="G29" i="43"/>
  <c r="K29" i="43"/>
  <c r="H29" i="43"/>
  <c r="E29" i="43"/>
  <c r="M29" i="43"/>
  <c r="I29" i="43"/>
  <c r="L29" i="43"/>
  <c r="F41" i="43"/>
  <c r="M44" i="43"/>
  <c r="H44" i="43"/>
  <c r="L44" i="43"/>
  <c r="G44" i="43"/>
  <c r="K44" i="43"/>
  <c r="J44" i="43"/>
  <c r="I44" i="43"/>
  <c r="F44" i="43"/>
  <c r="G39" i="43"/>
  <c r="M39" i="43"/>
  <c r="H39" i="43"/>
  <c r="J39" i="43"/>
  <c r="L39" i="43"/>
  <c r="K39" i="43"/>
  <c r="I39" i="43"/>
  <c r="E39" i="43"/>
  <c r="F39" i="43"/>
  <c r="E41" i="43"/>
  <c r="F33" i="43"/>
  <c r="K33" i="43"/>
  <c r="I33" i="43"/>
  <c r="J33" i="43"/>
  <c r="H33" i="43"/>
  <c r="L33" i="43"/>
  <c r="M33" i="43"/>
  <c r="G33" i="43"/>
  <c r="H28" i="43"/>
  <c r="E28" i="43"/>
  <c r="I28" i="43"/>
  <c r="M28" i="43"/>
  <c r="K28" i="43"/>
  <c r="L28" i="43"/>
  <c r="G28" i="43"/>
  <c r="J28" i="43"/>
  <c r="E33" i="43"/>
  <c r="L35" i="43"/>
  <c r="K35" i="43"/>
  <c r="AA14" i="43"/>
  <c r="M35" i="43"/>
  <c r="U15" i="43"/>
  <c r="AA15" i="43"/>
  <c r="G35" i="43"/>
  <c r="I35" i="43"/>
  <c r="J35" i="43"/>
  <c r="H35" i="43"/>
  <c r="U14" i="43"/>
  <c r="G38" i="43"/>
  <c r="F38" i="43"/>
  <c r="M38" i="43"/>
  <c r="J38" i="43"/>
  <c r="L38" i="43"/>
  <c r="H38" i="43"/>
  <c r="I38" i="43"/>
  <c r="E38" i="43"/>
  <c r="K38" i="43"/>
  <c r="G36" i="43"/>
  <c r="E36" i="43"/>
  <c r="L36" i="43"/>
  <c r="K36" i="43"/>
  <c r="J36" i="43"/>
  <c r="F36" i="43"/>
  <c r="M36" i="43"/>
  <c r="I36" i="43"/>
  <c r="H36" i="43"/>
  <c r="L32" i="43"/>
  <c r="M32" i="43"/>
  <c r="E32" i="43"/>
  <c r="K32" i="43"/>
  <c r="H32" i="43"/>
  <c r="I32" i="43"/>
  <c r="G32" i="43"/>
  <c r="J32" i="43"/>
  <c r="F37" i="43"/>
  <c r="L37" i="43"/>
  <c r="H37" i="43"/>
  <c r="K37" i="43"/>
  <c r="G37" i="43"/>
  <c r="I37" i="43"/>
  <c r="M37" i="43"/>
  <c r="J37" i="43"/>
  <c r="E37" i="43"/>
  <c r="E25" i="43"/>
  <c r="F25" i="43"/>
  <c r="L25" i="43"/>
  <c r="K25" i="43"/>
  <c r="I25" i="43"/>
  <c r="J25" i="43"/>
  <c r="M25" i="43"/>
  <c r="G25" i="43"/>
  <c r="H25" i="43"/>
  <c r="I24" i="43"/>
  <c r="K24" i="43"/>
  <c r="Z14" i="43"/>
  <c r="M24" i="43"/>
  <c r="H24" i="43"/>
  <c r="J24" i="43"/>
  <c r="L24" i="43"/>
  <c r="T14" i="43"/>
  <c r="Z15" i="43"/>
  <c r="G24" i="43"/>
  <c r="T15" i="43"/>
  <c r="K43" i="43"/>
  <c r="I43" i="43"/>
  <c r="M43" i="43"/>
  <c r="L43" i="43"/>
  <c r="H43" i="43"/>
  <c r="G43" i="43"/>
  <c r="J43" i="43"/>
  <c r="F35" i="43"/>
  <c r="E27" i="43"/>
  <c r="J27" i="43"/>
  <c r="M27" i="43"/>
  <c r="L27" i="43"/>
  <c r="H27" i="43"/>
  <c r="I27" i="43"/>
  <c r="K27" i="43"/>
  <c r="G27" i="43"/>
  <c r="F27" i="43"/>
  <c r="J26" i="43"/>
  <c r="E26" i="43"/>
  <c r="G26" i="43"/>
  <c r="F26" i="43"/>
  <c r="I26" i="43"/>
  <c r="K26" i="43"/>
  <c r="M26" i="43"/>
  <c r="H26" i="43"/>
  <c r="L26" i="43"/>
  <c r="E24" i="43"/>
  <c r="E43" i="43"/>
  <c r="E35" i="43"/>
  <c r="G156" i="3"/>
  <c r="H156" i="3"/>
  <c r="AD16" i="43"/>
  <c r="AA23" i="43"/>
  <c r="AB16" i="43"/>
  <c r="AD17" i="43"/>
  <c r="AB17" i="43"/>
  <c r="Y31" i="43"/>
  <c r="I121" i="3"/>
  <c r="J121" i="3"/>
  <c r="N121" i="3"/>
  <c r="B121" i="3"/>
  <c r="O121" i="3"/>
  <c r="K121" i="3"/>
  <c r="M121" i="3"/>
  <c r="L121" i="3"/>
  <c r="J120" i="3"/>
  <c r="K120" i="3"/>
  <c r="I120" i="3"/>
  <c r="N120" i="3"/>
  <c r="B120" i="3"/>
  <c r="M120" i="3"/>
  <c r="L120" i="3"/>
  <c r="O120" i="3"/>
  <c r="N119" i="3"/>
  <c r="M119" i="3"/>
  <c r="I119" i="3"/>
  <c r="O119" i="3"/>
  <c r="L119" i="3"/>
  <c r="J119" i="3"/>
  <c r="K119" i="3"/>
  <c r="B119" i="3"/>
  <c r="F40" i="31"/>
  <c r="D62" i="27"/>
  <c r="F38" i="31"/>
  <c r="D60" i="27"/>
  <c r="F39" i="31"/>
  <c r="D61" i="27"/>
  <c r="E127" i="3"/>
  <c r="E128" i="3"/>
  <c r="Y23" i="43" l="1"/>
  <c r="Z30" i="43"/>
  <c r="Y30" i="43"/>
  <c r="AP83" i="42"/>
  <c r="AP90" i="42"/>
  <c r="AC31" i="43" s="1"/>
  <c r="AO82" i="42"/>
  <c r="AO89" i="42"/>
  <c r="AB30" i="43" s="1"/>
  <c r="AQ90" i="42"/>
  <c r="AD31" i="43" s="1"/>
  <c r="AQ83" i="42"/>
  <c r="AD24" i="43" s="1"/>
  <c r="AP82" i="42"/>
  <c r="AC23" i="43" s="1"/>
  <c r="AP89" i="42"/>
  <c r="AC30" i="43" s="1"/>
  <c r="AO83" i="42"/>
  <c r="AB24" i="43" s="1"/>
  <c r="AO90" i="42"/>
  <c r="AQ82" i="42"/>
  <c r="AD23" i="43" s="1"/>
  <c r="AQ89" i="42"/>
  <c r="AD30" i="43" s="1"/>
  <c r="AL54" i="33"/>
  <c r="AR54" i="33"/>
  <c r="AK54" i="33"/>
  <c r="AS54" i="33"/>
  <c r="AM54" i="33"/>
  <c r="AU54" i="33"/>
  <c r="AQ54" i="33"/>
  <c r="AN54" i="33"/>
  <c r="AO54" i="33"/>
  <c r="AT54" i="33"/>
  <c r="AP54" i="33"/>
  <c r="AQ55" i="33"/>
  <c r="AP55" i="33"/>
  <c r="AS55" i="33"/>
  <c r="AM55" i="33"/>
  <c r="AT55" i="33"/>
  <c r="AU55" i="33"/>
  <c r="AK55" i="33"/>
  <c r="AR55" i="33"/>
  <c r="AL55" i="33"/>
  <c r="AN55" i="33"/>
  <c r="AO55" i="33"/>
  <c r="AQ53" i="33"/>
  <c r="AP53" i="33"/>
  <c r="AN53" i="33"/>
  <c r="AS53" i="33"/>
  <c r="AU53" i="33"/>
  <c r="AK53" i="33"/>
  <c r="AL53" i="33"/>
  <c r="AT53" i="33"/>
  <c r="AM53" i="33"/>
  <c r="AR53" i="33"/>
  <c r="AO53" i="33"/>
  <c r="AS51" i="4"/>
  <c r="AS64" i="4" s="1"/>
  <c r="AM51" i="4"/>
  <c r="AM64" i="4" s="1"/>
  <c r="AQ51" i="4"/>
  <c r="AQ64" i="4" s="1"/>
  <c r="AP51" i="4"/>
  <c r="AP64" i="4" s="1"/>
  <c r="AU51" i="4"/>
  <c r="AU64" i="4" s="1"/>
  <c r="AK51" i="4"/>
  <c r="AK64" i="4" s="1"/>
  <c r="AT51" i="4"/>
  <c r="AT64" i="4" s="1"/>
  <c r="AR51" i="4"/>
  <c r="AR64" i="4" s="1"/>
  <c r="AL51" i="4"/>
  <c r="AL64" i="4" s="1"/>
  <c r="AO51" i="4"/>
  <c r="AO64" i="4" s="1"/>
  <c r="AN51" i="4"/>
  <c r="AN64" i="4" s="1"/>
  <c r="AT50" i="4"/>
  <c r="AT63" i="4" s="1"/>
  <c r="AN50" i="4"/>
  <c r="AN63" i="4" s="1"/>
  <c r="AO50" i="4"/>
  <c r="AO63" i="4" s="1"/>
  <c r="AL50" i="4"/>
  <c r="AL63" i="4" s="1"/>
  <c r="AU50" i="4"/>
  <c r="AU63" i="4" s="1"/>
  <c r="AK50" i="4"/>
  <c r="AK63" i="4" s="1"/>
  <c r="AS50" i="4"/>
  <c r="AS63" i="4" s="1"/>
  <c r="AM50" i="4"/>
  <c r="AM63" i="4" s="1"/>
  <c r="AR50" i="4"/>
  <c r="AR63" i="4" s="1"/>
  <c r="AQ50" i="4"/>
  <c r="AQ63" i="4" s="1"/>
  <c r="AP50" i="4"/>
  <c r="AP63" i="4" s="1"/>
  <c r="AO49" i="4"/>
  <c r="AO62" i="4" s="1"/>
  <c r="AR49" i="4"/>
  <c r="AR62" i="4" s="1"/>
  <c r="AM49" i="4"/>
  <c r="AM62" i="4" s="1"/>
  <c r="AT49" i="4"/>
  <c r="AT62" i="4" s="1"/>
  <c r="AL49" i="4"/>
  <c r="AL62" i="4" s="1"/>
  <c r="AN49" i="4"/>
  <c r="AN62" i="4" s="1"/>
  <c r="AQ49" i="4"/>
  <c r="AQ62" i="4" s="1"/>
  <c r="AU49" i="4"/>
  <c r="AU62" i="4" s="1"/>
  <c r="AP49" i="4"/>
  <c r="AP62" i="4" s="1"/>
  <c r="AS49" i="4"/>
  <c r="AS62" i="4" s="1"/>
  <c r="AK49" i="4"/>
  <c r="AK62" i="4" s="1"/>
  <c r="I127" i="3"/>
  <c r="L127" i="3"/>
  <c r="O127" i="3"/>
  <c r="G127" i="3"/>
  <c r="N127" i="3"/>
  <c r="M127" i="3"/>
  <c r="K127" i="3"/>
  <c r="J127" i="3"/>
  <c r="H127" i="3"/>
  <c r="J126" i="3"/>
  <c r="H126" i="3"/>
  <c r="O126" i="3"/>
  <c r="G126" i="3"/>
  <c r="L126" i="3"/>
  <c r="K126" i="3"/>
  <c r="I126" i="3"/>
  <c r="N126" i="3"/>
  <c r="M126" i="3"/>
  <c r="H128" i="3"/>
  <c r="G128" i="3"/>
  <c r="L128" i="3"/>
  <c r="N128" i="3"/>
  <c r="M128" i="3"/>
  <c r="K128" i="3"/>
  <c r="J128" i="3"/>
  <c r="I128" i="3"/>
  <c r="O128" i="3"/>
  <c r="T28" i="43"/>
  <c r="T21" i="43"/>
  <c r="W14" i="43"/>
  <c r="AD15" i="43"/>
  <c r="AA22" i="43"/>
  <c r="AA29" i="43"/>
  <c r="X15" i="43"/>
  <c r="U22" i="43"/>
  <c r="U29" i="43"/>
  <c r="X14" i="43"/>
  <c r="U21" i="43"/>
  <c r="U28" i="43"/>
  <c r="AD14" i="43"/>
  <c r="AA28" i="43"/>
  <c r="AA21" i="43"/>
  <c r="Z29" i="43"/>
  <c r="Z22" i="43"/>
  <c r="AC15" i="43"/>
  <c r="W15" i="43"/>
  <c r="T29" i="43"/>
  <c r="T22" i="43"/>
  <c r="Z21" i="43"/>
  <c r="Z28" i="43"/>
  <c r="AC14" i="43"/>
  <c r="AC24" i="43"/>
  <c r="D39" i="31"/>
  <c r="C61" i="27" s="1"/>
  <c r="D40" i="31"/>
  <c r="C62" i="27" s="1"/>
  <c r="D38" i="31"/>
  <c r="C60" i="27" s="1"/>
  <c r="B60" i="3"/>
  <c r="A60" i="3"/>
  <c r="E59" i="3"/>
  <c r="K59" i="3" s="1"/>
  <c r="B59" i="3"/>
  <c r="A59" i="3"/>
  <c r="E58" i="3"/>
  <c r="K58" i="3" s="1"/>
  <c r="B58" i="3"/>
  <c r="A58" i="3"/>
  <c r="E57" i="3"/>
  <c r="B57" i="3"/>
  <c r="A57" i="3"/>
  <c r="E56" i="3"/>
  <c r="K56" i="3" s="1"/>
  <c r="B56" i="3"/>
  <c r="A56" i="3"/>
  <c r="E55" i="3"/>
  <c r="O55" i="3" s="1"/>
  <c r="B55" i="3"/>
  <c r="A55" i="3"/>
  <c r="T85" i="42" l="1"/>
  <c r="AB23" i="43"/>
  <c r="T87" i="42"/>
  <c r="V85" i="42"/>
  <c r="V87" i="42"/>
  <c r="AB31" i="43"/>
  <c r="W35" i="43"/>
  <c r="W37" i="43"/>
  <c r="X29" i="43"/>
  <c r="X22" i="43"/>
  <c r="W36" i="43"/>
  <c r="W29" i="43"/>
  <c r="W22" i="43"/>
  <c r="W34" i="43"/>
  <c r="W28" i="43"/>
  <c r="W21" i="43"/>
  <c r="AD21" i="43"/>
  <c r="AD28" i="43"/>
  <c r="AD29" i="43"/>
  <c r="AD22" i="43"/>
  <c r="AC22" i="43"/>
  <c r="AC29" i="43"/>
  <c r="X28" i="43"/>
  <c r="X21" i="43"/>
  <c r="AC28" i="43"/>
  <c r="AC21" i="43"/>
  <c r="H55" i="3"/>
  <c r="I55" i="3"/>
  <c r="J55" i="3"/>
  <c r="K55" i="3"/>
  <c r="I57" i="3"/>
  <c r="J57" i="3"/>
  <c r="G55" i="3"/>
  <c r="L56" i="3"/>
  <c r="O56" i="3"/>
  <c r="L55" i="3"/>
  <c r="M57" i="3"/>
  <c r="H56" i="3"/>
  <c r="M55" i="3"/>
  <c r="N57" i="3"/>
  <c r="G57" i="3"/>
  <c r="T36" i="43" l="1"/>
  <c r="R37" i="43"/>
  <c r="R35" i="43"/>
  <c r="T34" i="43"/>
  <c r="T37" i="43"/>
  <c r="R36" i="43"/>
  <c r="T35" i="43"/>
  <c r="R34" i="43"/>
  <c r="F8" i="8"/>
  <c r="F129" i="3" l="1"/>
  <c r="A130" i="3"/>
  <c r="A125" i="3"/>
  <c r="A123" i="3"/>
  <c r="A57" i="27" s="1"/>
  <c r="K8" i="8"/>
  <c r="A37" i="31" l="1"/>
  <c r="A59" i="27"/>
  <c r="A42" i="31"/>
  <c r="A64" i="27"/>
  <c r="E8" i="8"/>
  <c r="B65" i="10"/>
  <c r="B64" i="10"/>
  <c r="B63" i="10"/>
  <c r="B62" i="10"/>
  <c r="B61" i="10"/>
  <c r="B60" i="10"/>
  <c r="B59" i="10"/>
  <c r="B58" i="10"/>
  <c r="B57" i="10"/>
  <c r="B56" i="10"/>
  <c r="B55" i="10"/>
  <c r="B54" i="10"/>
  <c r="B53" i="10"/>
  <c r="B52" i="10"/>
  <c r="B51" i="10"/>
  <c r="B50" i="10"/>
  <c r="B49" i="10"/>
  <c r="B48" i="10"/>
  <c r="B47" i="10"/>
  <c r="B46" i="10"/>
  <c r="B45" i="10"/>
  <c r="B44" i="10"/>
  <c r="B43" i="10"/>
  <c r="X50" i="18" l="1"/>
  <c r="W50" i="18"/>
  <c r="V50" i="18"/>
  <c r="U50" i="18"/>
  <c r="T50" i="18"/>
  <c r="F126" i="3" l="1"/>
  <c r="N51" i="18"/>
  <c r="E44" i="18"/>
  <c r="C45" i="18"/>
  <c r="C44" i="18"/>
  <c r="F128" i="3" l="1"/>
  <c r="F127" i="3"/>
  <c r="D60" i="33"/>
  <c r="D59" i="33"/>
  <c r="D58" i="33"/>
  <c r="D57" i="33"/>
  <c r="D56" i="33"/>
  <c r="D55" i="33"/>
  <c r="D54" i="33"/>
  <c r="D53" i="33"/>
  <c r="D52" i="33"/>
  <c r="D51" i="33"/>
  <c r="D50" i="33"/>
  <c r="D49" i="33"/>
  <c r="D48" i="33"/>
  <c r="D47" i="33"/>
  <c r="D46" i="33"/>
  <c r="D45" i="33"/>
  <c r="D44" i="33"/>
  <c r="D43" i="33"/>
  <c r="D42" i="33"/>
  <c r="D41" i="33"/>
  <c r="D40" i="33"/>
  <c r="D29" i="33"/>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A23" i="28"/>
  <c r="E23" i="28"/>
  <c r="H23" i="28"/>
  <c r="I23" i="28"/>
  <c r="M23" i="28"/>
  <c r="W47" i="4"/>
  <c r="N64" i="3"/>
  <c r="N70" i="3"/>
  <c r="N69" i="3"/>
  <c r="N68" i="3"/>
  <c r="N67" i="3"/>
  <c r="N66" i="3"/>
  <c r="N65" i="3"/>
  <c r="I58" i="27" l="1"/>
  <c r="I62" i="2"/>
  <c r="K62" i="2" s="1"/>
  <c r="I61" i="2"/>
  <c r="K61" i="2" s="1"/>
  <c r="I60" i="2"/>
  <c r="K60" i="2" s="1"/>
  <c r="I59" i="2"/>
  <c r="K59" i="2" s="1"/>
  <c r="I58" i="2"/>
  <c r="K58" i="2" s="1"/>
  <c r="I57" i="2"/>
  <c r="K57" i="2" s="1"/>
  <c r="I56" i="2"/>
  <c r="K56" i="2" s="1"/>
  <c r="I55" i="2"/>
  <c r="K55" i="2" s="1"/>
  <c r="I54" i="2"/>
  <c r="K54" i="2" s="1"/>
  <c r="I53" i="2"/>
  <c r="K53" i="2" s="1"/>
  <c r="I52" i="2"/>
  <c r="K52" i="2" s="1"/>
  <c r="I51" i="2"/>
  <c r="K51" i="2" s="1"/>
  <c r="I50" i="2"/>
  <c r="K50" i="2" s="1"/>
  <c r="I49" i="2"/>
  <c r="K49" i="2" s="1"/>
  <c r="I48" i="2"/>
  <c r="K48" i="2" s="1"/>
  <c r="I47" i="2"/>
  <c r="K47" i="2" s="1"/>
  <c r="I46" i="2"/>
  <c r="K46" i="2" s="1"/>
  <c r="I45" i="2"/>
  <c r="K45" i="2" s="1"/>
  <c r="I44" i="2"/>
  <c r="K44" i="2" s="1"/>
  <c r="I43" i="2"/>
  <c r="K43" i="2" s="1"/>
  <c r="I42" i="2"/>
  <c r="K42" i="2" s="1"/>
  <c r="I41" i="2"/>
  <c r="K41" i="2" s="1"/>
  <c r="I40" i="2"/>
  <c r="K40" i="2" s="1"/>
  <c r="I39" i="2"/>
  <c r="K39" i="2" s="1"/>
  <c r="I38" i="2"/>
  <c r="K38" i="2" s="1"/>
  <c r="I37" i="2"/>
  <c r="K37" i="2" s="1"/>
  <c r="I36" i="2"/>
  <c r="K36" i="2" s="1"/>
  <c r="I35" i="2"/>
  <c r="K35" i="2" s="1"/>
  <c r="I34" i="2"/>
  <c r="K34" i="2" s="1"/>
  <c r="I33" i="2"/>
  <c r="K33" i="2" s="1"/>
  <c r="I32" i="2"/>
  <c r="K32" i="2" s="1"/>
  <c r="I31" i="2"/>
  <c r="K31" i="2" s="1"/>
  <c r="I30" i="2"/>
  <c r="K30" i="2" s="1"/>
  <c r="L23" i="28" s="1"/>
  <c r="H58" i="27" l="1"/>
  <c r="J58" i="27"/>
  <c r="F124" i="3"/>
  <c r="M58" i="27"/>
  <c r="K58" i="27"/>
  <c r="G58" i="27"/>
  <c r="AD39" i="4"/>
  <c r="AD40" i="4"/>
  <c r="AD41" i="4"/>
  <c r="AD42" i="4"/>
  <c r="AD43" i="4"/>
  <c r="AD44" i="4"/>
  <c r="AD45" i="4"/>
  <c r="AD46" i="4"/>
  <c r="AD47" i="4"/>
  <c r="AD48" i="4"/>
  <c r="AD49" i="4"/>
  <c r="AD50" i="4"/>
  <c r="AD51" i="4"/>
  <c r="AD52" i="4"/>
  <c r="AD53" i="4"/>
  <c r="AD54" i="4"/>
  <c r="AD55" i="4"/>
  <c r="AD56" i="4"/>
  <c r="AD57" i="4"/>
  <c r="AD59" i="4"/>
  <c r="AD60" i="4"/>
  <c r="AD61" i="4"/>
  <c r="AD63" i="4"/>
  <c r="AD64" i="4"/>
  <c r="AD65" i="4"/>
  <c r="AD66" i="4"/>
  <c r="AD67" i="4"/>
  <c r="AD68" i="4"/>
  <c r="AD69" i="4"/>
  <c r="AD70"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3" i="4"/>
  <c r="AD104" i="4"/>
  <c r="AD105" i="4"/>
  <c r="AD106" i="4"/>
  <c r="AD107" i="4"/>
  <c r="AD108" i="4"/>
  <c r="AD109" i="4"/>
  <c r="AD110" i="4"/>
  <c r="AD111" i="4"/>
  <c r="AD112" i="4"/>
  <c r="AD113" i="4"/>
  <c r="AD114" i="4"/>
  <c r="AD115" i="4"/>
  <c r="AD116" i="4"/>
  <c r="AD117" i="4"/>
  <c r="AD118" i="4"/>
  <c r="AD119" i="4"/>
  <c r="AD120" i="4"/>
  <c r="AD121" i="4"/>
  <c r="AD122"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50" i="4"/>
  <c r="AD151"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6" i="4"/>
  <c r="AD197" i="4"/>
  <c r="AD198" i="4"/>
  <c r="AD199" i="4"/>
  <c r="AD200" i="4"/>
  <c r="AD201" i="4"/>
  <c r="AD202" i="4"/>
  <c r="AD204" i="4"/>
  <c r="AD206" i="4"/>
  <c r="AD207" i="4"/>
  <c r="AD208" i="4"/>
  <c r="AD209" i="4"/>
  <c r="AD210" i="4"/>
  <c r="AD211" i="4"/>
  <c r="AD212" i="4"/>
  <c r="AD213" i="4"/>
  <c r="AD214" i="4"/>
  <c r="AD216" i="4"/>
  <c r="AD217" i="4"/>
  <c r="AD218" i="4"/>
  <c r="AD219" i="4"/>
  <c r="AD37" i="4"/>
  <c r="L58" i="27" l="1"/>
  <c r="G28" i="39"/>
  <c r="Q28" i="39"/>
  <c r="A25" i="39"/>
  <c r="A34" i="39"/>
  <c r="C57" i="41" l="1"/>
  <c r="C56" i="41"/>
  <c r="C55" i="41"/>
  <c r="C54" i="41"/>
  <c r="C53" i="41"/>
  <c r="C52" i="41"/>
  <c r="C51" i="41"/>
  <c r="C50" i="41"/>
  <c r="C49" i="41"/>
  <c r="C48" i="41"/>
  <c r="C47" i="41"/>
  <c r="C46" i="41"/>
  <c r="C45" i="41"/>
  <c r="C44" i="41"/>
  <c r="C43" i="41"/>
  <c r="C42" i="41"/>
  <c r="C41" i="41"/>
  <c r="C40" i="41"/>
  <c r="C39" i="41"/>
  <c r="C38" i="41"/>
  <c r="C37" i="41"/>
  <c r="C36" i="41"/>
  <c r="C35" i="41"/>
  <c r="S27" i="41"/>
  <c r="S22" i="41" l="1"/>
  <c r="B57" i="41"/>
  <c r="A57" i="41"/>
  <c r="B56" i="41"/>
  <c r="A56" i="41"/>
  <c r="B55" i="41"/>
  <c r="A55" i="41"/>
  <c r="B54" i="41"/>
  <c r="A54" i="41"/>
  <c r="B53" i="41"/>
  <c r="A53" i="41"/>
  <c r="B52" i="41"/>
  <c r="A52" i="41"/>
  <c r="B51" i="41"/>
  <c r="A51" i="41"/>
  <c r="B50" i="41"/>
  <c r="A50" i="41"/>
  <c r="B49" i="41"/>
  <c r="A49" i="41"/>
  <c r="B48" i="41"/>
  <c r="A48" i="41"/>
  <c r="B47" i="41"/>
  <c r="A47" i="41"/>
  <c r="B46" i="41"/>
  <c r="A46" i="41"/>
  <c r="B45" i="41"/>
  <c r="A45" i="41"/>
  <c r="B44" i="41"/>
  <c r="A44" i="41"/>
  <c r="B43" i="41"/>
  <c r="A43" i="41"/>
  <c r="B42" i="41"/>
  <c r="A42" i="41"/>
  <c r="B41" i="41"/>
  <c r="A41" i="41"/>
  <c r="B40" i="41"/>
  <c r="A40" i="41"/>
  <c r="B39" i="41"/>
  <c r="A39" i="41"/>
  <c r="B38" i="41"/>
  <c r="A38" i="41"/>
  <c r="B37" i="41"/>
  <c r="A37" i="41"/>
  <c r="B36" i="41"/>
  <c r="A36" i="41"/>
  <c r="B35" i="41"/>
  <c r="A35" i="41"/>
  <c r="O21" i="26" l="1"/>
  <c r="O16" i="26" l="1"/>
  <c r="O11" i="26"/>
  <c r="O6" i="26"/>
  <c r="O5" i="26"/>
  <c r="A55" i="28" l="1"/>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K27" i="10"/>
  <c r="C26" i="18"/>
  <c r="C23" i="18"/>
  <c r="C22" i="18"/>
  <c r="C21" i="18"/>
  <c r="Q14" i="39"/>
  <c r="C15" i="21"/>
  <c r="C14" i="21"/>
  <c r="C13" i="21"/>
  <c r="A12" i="21"/>
  <c r="E10" i="21"/>
  <c r="A13" i="21"/>
  <c r="G6" i="21"/>
  <c r="G5" i="21"/>
  <c r="F6" i="21"/>
  <c r="F5" i="21"/>
  <c r="E6" i="21"/>
  <c r="E5" i="21"/>
  <c r="D6" i="21"/>
  <c r="D5" i="21"/>
  <c r="C6" i="21"/>
  <c r="C5" i="21"/>
  <c r="B6" i="21"/>
  <c r="B5" i="21"/>
  <c r="F24" i="18" l="1"/>
  <c r="E24" i="18"/>
  <c r="D24" i="18"/>
  <c r="V9" i="39" l="1"/>
  <c r="Q9" i="39"/>
  <c r="Q11" i="39"/>
  <c r="W9" i="39" l="1"/>
  <c r="N13" i="39" s="1"/>
  <c r="A10" i="39"/>
  <c r="A12" i="39"/>
  <c r="A36" i="39"/>
  <c r="G36" i="39" s="1"/>
  <c r="A35" i="39"/>
  <c r="G35" i="39" s="1"/>
  <c r="G34" i="39"/>
  <c r="G33" i="39"/>
  <c r="A32" i="39"/>
  <c r="G32" i="39" s="1"/>
  <c r="A31" i="39"/>
  <c r="G31" i="39" s="1"/>
  <c r="A29" i="39"/>
  <c r="G29" i="39" s="1"/>
  <c r="Q36" i="39"/>
  <c r="Q35" i="39"/>
  <c r="Q34" i="39"/>
  <c r="A27" i="39"/>
  <c r="G27" i="39" s="1"/>
  <c r="A26" i="39"/>
  <c r="G26" i="39" s="1"/>
  <c r="G25" i="39"/>
  <c r="A24" i="39"/>
  <c r="G24" i="39" s="1"/>
  <c r="A23" i="39"/>
  <c r="G23" i="39" s="1"/>
  <c r="A21" i="39"/>
  <c r="G21" i="39" s="1"/>
  <c r="A20" i="39"/>
  <c r="G20" i="39" s="1"/>
  <c r="A19" i="39"/>
  <c r="G19" i="39" s="1"/>
  <c r="A18" i="39"/>
  <c r="G18" i="39" s="1"/>
  <c r="A17" i="39"/>
  <c r="G17" i="39" s="1"/>
  <c r="A16" i="39"/>
  <c r="G16" i="39" s="1"/>
  <c r="A14" i="39"/>
  <c r="G14" i="39" s="1"/>
  <c r="A15" i="39"/>
  <c r="G15" i="39" s="1"/>
  <c r="Q33" i="39"/>
  <c r="Q32" i="39"/>
  <c r="Q31" i="39"/>
  <c r="Q29" i="39"/>
  <c r="Q27" i="39"/>
  <c r="Q26" i="39"/>
  <c r="Q25" i="39"/>
  <c r="Q24" i="39"/>
  <c r="Q23" i="39"/>
  <c r="Q21" i="39"/>
  <c r="Q20" i="39"/>
  <c r="Q19" i="39"/>
  <c r="Q18" i="39"/>
  <c r="Q17" i="39"/>
  <c r="Q16" i="39"/>
  <c r="Q15" i="39"/>
  <c r="Y65" i="18"/>
  <c r="Q61" i="18" l="1"/>
  <c r="N57" i="18"/>
  <c r="G50" i="18"/>
  <c r="N48" i="18"/>
  <c r="D40" i="18"/>
  <c r="U24" i="18"/>
  <c r="Q65" i="18"/>
  <c r="N7" i="21"/>
  <c r="N8" i="21" s="1"/>
  <c r="P43" i="21"/>
  <c r="P35" i="21"/>
  <c r="Q26" i="21"/>
  <c r="Q22" i="21"/>
  <c r="Q18" i="21"/>
  <c r="C178" i="37" l="1"/>
  <c r="C177" i="37"/>
  <c r="C166" i="37"/>
  <c r="C165" i="37"/>
  <c r="C154" i="37"/>
  <c r="C153" i="37"/>
  <c r="C142" i="37"/>
  <c r="C141" i="37"/>
  <c r="C130" i="37"/>
  <c r="C129" i="37"/>
  <c r="C118" i="37"/>
  <c r="C117" i="37"/>
  <c r="C106" i="37"/>
  <c r="C105" i="37"/>
  <c r="C94" i="37"/>
  <c r="C93" i="37"/>
  <c r="C82" i="37"/>
  <c r="C81" i="37"/>
  <c r="C70" i="37"/>
  <c r="C69" i="37"/>
  <c r="C58" i="37"/>
  <c r="C57" i="37"/>
  <c r="C46" i="37"/>
  <c r="C45" i="37"/>
  <c r="C34" i="37"/>
  <c r="C33" i="37"/>
  <c r="C22" i="37"/>
  <c r="C21" i="37"/>
  <c r="C10" i="37"/>
  <c r="C9" i="37"/>
  <c r="P12" i="38"/>
  <c r="B12" i="38" s="1"/>
  <c r="G12" i="38"/>
  <c r="Q33" i="35" l="1"/>
  <c r="E33" i="35" s="1"/>
  <c r="Q34" i="35"/>
  <c r="Q35" i="35"/>
  <c r="Q36" i="35"/>
  <c r="E36" i="35" s="1"/>
  <c r="Q37" i="35"/>
  <c r="E37" i="35" s="1"/>
  <c r="Q38" i="35"/>
  <c r="E38" i="35" s="1"/>
  <c r="Q39" i="35"/>
  <c r="Q26" i="35"/>
  <c r="Q27" i="35"/>
  <c r="Q28" i="35"/>
  <c r="Q29" i="35"/>
  <c r="Q30" i="35"/>
  <c r="Q31" i="35"/>
  <c r="Q32" i="35"/>
  <c r="Q25" i="35"/>
  <c r="E25" i="35" s="1"/>
  <c r="C32" i="33" l="1"/>
  <c r="C40" i="33"/>
  <c r="M19" i="33"/>
  <c r="M18" i="33"/>
  <c r="M17" i="33"/>
  <c r="M16" i="33"/>
  <c r="M15" i="33"/>
  <c r="M14" i="33"/>
  <c r="M13" i="33"/>
  <c r="C29" i="33"/>
  <c r="J69" i="4"/>
  <c r="L69" i="4" s="1"/>
  <c r="J68" i="4"/>
  <c r="L68" i="4" s="1"/>
  <c r="J67" i="4"/>
  <c r="L67" i="4" s="1"/>
  <c r="J66" i="4"/>
  <c r="L66" i="4" s="1"/>
  <c r="J65" i="4"/>
  <c r="L65" i="4" s="1"/>
  <c r="J64" i="4"/>
  <c r="L64" i="4" s="1"/>
  <c r="J63" i="4"/>
  <c r="L63" i="4" s="1"/>
  <c r="J62" i="4"/>
  <c r="L62" i="4" s="1"/>
  <c r="J61" i="4"/>
  <c r="L61" i="4" s="1"/>
  <c r="J60" i="4"/>
  <c r="L60" i="4" s="1"/>
  <c r="J59" i="4"/>
  <c r="L59" i="4" s="1"/>
  <c r="J58" i="4"/>
  <c r="L58" i="4" s="1"/>
  <c r="J57" i="4"/>
  <c r="L57" i="4" s="1"/>
  <c r="J56" i="4"/>
  <c r="L56" i="4" s="1"/>
  <c r="J55" i="4"/>
  <c r="L55" i="4" s="1"/>
  <c r="J54" i="4"/>
  <c r="L54" i="4" s="1"/>
  <c r="J53" i="4"/>
  <c r="L53" i="4" s="1"/>
  <c r="J52" i="4"/>
  <c r="L52" i="4" s="1"/>
  <c r="J51" i="4"/>
  <c r="L51" i="4" s="1"/>
  <c r="J50" i="4"/>
  <c r="L50" i="4" s="1"/>
  <c r="J49" i="4"/>
  <c r="L49" i="4" s="1"/>
  <c r="S49" i="4"/>
  <c r="S50" i="4"/>
  <c r="S51" i="4"/>
  <c r="S52" i="4"/>
  <c r="S53" i="4"/>
  <c r="S54" i="4"/>
  <c r="S55" i="4"/>
  <c r="S56" i="4"/>
  <c r="S57" i="4"/>
  <c r="S58" i="4"/>
  <c r="S59" i="4"/>
  <c r="S60" i="4"/>
  <c r="S61" i="4"/>
  <c r="S62" i="4"/>
  <c r="S63" i="4"/>
  <c r="S64" i="4"/>
  <c r="S65" i="4"/>
  <c r="S66" i="4"/>
  <c r="S67" i="4"/>
  <c r="S68" i="4"/>
  <c r="S69" i="4"/>
  <c r="S38" i="4"/>
  <c r="S39" i="4" s="1"/>
  <c r="S40" i="4" s="1"/>
  <c r="S41" i="4" s="1"/>
  <c r="S42" i="4" s="1"/>
  <c r="S43" i="4" s="1"/>
  <c r="S44" i="4" s="1"/>
  <c r="S45" i="4" s="1"/>
  <c r="S46" i="4" s="1"/>
  <c r="S47" i="4" s="1"/>
  <c r="S48" i="4" s="1"/>
  <c r="R38" i="4"/>
  <c r="Q49" i="4"/>
  <c r="Q50" i="4"/>
  <c r="Q51" i="4"/>
  <c r="Q52" i="4"/>
  <c r="Q53" i="4"/>
  <c r="Q54" i="4"/>
  <c r="Q55" i="4"/>
  <c r="Q56" i="4"/>
  <c r="Q57" i="4"/>
  <c r="Q58" i="4"/>
  <c r="Q59" i="4"/>
  <c r="Q60" i="4"/>
  <c r="Q61" i="4"/>
  <c r="Q62" i="4"/>
  <c r="Q63" i="4"/>
  <c r="Q64" i="4"/>
  <c r="Q65" i="4"/>
  <c r="Q66" i="4"/>
  <c r="Q67" i="4"/>
  <c r="Q68" i="4"/>
  <c r="Q69" i="4"/>
  <c r="Q38" i="4"/>
  <c r="Q39" i="4" s="1"/>
  <c r="P49" i="4"/>
  <c r="P50" i="4"/>
  <c r="P51" i="4"/>
  <c r="P52" i="4"/>
  <c r="P53" i="4"/>
  <c r="P54" i="4"/>
  <c r="P55" i="4"/>
  <c r="P56" i="4"/>
  <c r="P57" i="4"/>
  <c r="P58" i="4"/>
  <c r="P59" i="4"/>
  <c r="P60" i="4"/>
  <c r="P61" i="4"/>
  <c r="P62" i="4"/>
  <c r="P63" i="4"/>
  <c r="P64" i="4"/>
  <c r="P65" i="4"/>
  <c r="P66" i="4"/>
  <c r="P67" i="4"/>
  <c r="P68" i="4"/>
  <c r="P69" i="4"/>
  <c r="C60" i="33"/>
  <c r="C59" i="33"/>
  <c r="C58" i="33"/>
  <c r="C57" i="33"/>
  <c r="C56" i="33"/>
  <c r="C55" i="33"/>
  <c r="C54" i="33"/>
  <c r="C53" i="33"/>
  <c r="C52" i="33"/>
  <c r="C51" i="33"/>
  <c r="C50" i="33"/>
  <c r="C49" i="33"/>
  <c r="C48" i="33"/>
  <c r="C47" i="33"/>
  <c r="C46" i="33"/>
  <c r="C45" i="33"/>
  <c r="C44" i="33"/>
  <c r="C43" i="33"/>
  <c r="C42" i="33"/>
  <c r="C41" i="33"/>
  <c r="C39" i="33"/>
  <c r="C38" i="33"/>
  <c r="C37" i="33"/>
  <c r="C36" i="33"/>
  <c r="C35" i="33"/>
  <c r="C34" i="33"/>
  <c r="C33" i="33"/>
  <c r="C31" i="33"/>
  <c r="C30"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A60" i="33"/>
  <c r="K60" i="33" s="1"/>
  <c r="A59" i="33"/>
  <c r="K59" i="33" s="1"/>
  <c r="A58" i="33"/>
  <c r="K58" i="33" s="1"/>
  <c r="A57" i="33"/>
  <c r="K57" i="33" s="1"/>
  <c r="A56" i="33"/>
  <c r="K56" i="33" s="1"/>
  <c r="A55" i="33"/>
  <c r="K55" i="33" s="1"/>
  <c r="A54" i="33"/>
  <c r="K54" i="33" s="1"/>
  <c r="A53" i="33"/>
  <c r="K53" i="33" s="1"/>
  <c r="A52" i="33"/>
  <c r="K52" i="33" s="1"/>
  <c r="A51" i="33"/>
  <c r="K51" i="33" s="1"/>
  <c r="A50" i="33"/>
  <c r="K50" i="33" s="1"/>
  <c r="A49" i="33"/>
  <c r="K49" i="33" s="1"/>
  <c r="A48" i="33"/>
  <c r="K48" i="33" s="1"/>
  <c r="A47" i="33"/>
  <c r="K47" i="33" s="1"/>
  <c r="A46" i="33"/>
  <c r="K46" i="33" s="1"/>
  <c r="A45" i="33"/>
  <c r="K45" i="33" s="1"/>
  <c r="A44" i="33"/>
  <c r="K44" i="33" s="1"/>
  <c r="A43" i="33"/>
  <c r="K43" i="33" s="1"/>
  <c r="A42" i="33"/>
  <c r="K42" i="33" s="1"/>
  <c r="A41" i="33"/>
  <c r="K41" i="33" s="1"/>
  <c r="A40" i="33"/>
  <c r="K40" i="33" s="1"/>
  <c r="B29" i="33"/>
  <c r="A29" i="33"/>
  <c r="AD31" i="33" l="1"/>
  <c r="AD32" i="33"/>
  <c r="AD33" i="33"/>
  <c r="AD34" i="33"/>
  <c r="AD35" i="33"/>
  <c r="AD36" i="33"/>
  <c r="AD37" i="33"/>
  <c r="AD38" i="33"/>
  <c r="AD39" i="33"/>
  <c r="AD40" i="33"/>
  <c r="AD41" i="33"/>
  <c r="AD42" i="33"/>
  <c r="AD43" i="33"/>
  <c r="AD44" i="33"/>
  <c r="AD45" i="33"/>
  <c r="AD46" i="33"/>
  <c r="AD47" i="33"/>
  <c r="AD48" i="33"/>
  <c r="AD49" i="33"/>
  <c r="AD51" i="33"/>
  <c r="AD52" i="33"/>
  <c r="AD53" i="33"/>
  <c r="AD55" i="33"/>
  <c r="AD56" i="33"/>
  <c r="AD57" i="33"/>
  <c r="AD58" i="33"/>
  <c r="AD59" i="33"/>
  <c r="AD60" i="33"/>
  <c r="AD61" i="33"/>
  <c r="AD62" i="33"/>
  <c r="AD64" i="33"/>
  <c r="AD65" i="33"/>
  <c r="AD66" i="33"/>
  <c r="AD67" i="33"/>
  <c r="AD68" i="33"/>
  <c r="AD69" i="33"/>
  <c r="AD70" i="33"/>
  <c r="AD71" i="33"/>
  <c r="AD72" i="33"/>
  <c r="AD73" i="33"/>
  <c r="AD74" i="33"/>
  <c r="AD75" i="33"/>
  <c r="AD76" i="33"/>
  <c r="AD77" i="33"/>
  <c r="AD78" i="33"/>
  <c r="AD79" i="33"/>
  <c r="AD80" i="33"/>
  <c r="AD81" i="33"/>
  <c r="AD82" i="33"/>
  <c r="AD83" i="33"/>
  <c r="AD84" i="33"/>
  <c r="AD85" i="33"/>
  <c r="AD86" i="33"/>
  <c r="AD87" i="33"/>
  <c r="AD88" i="33"/>
  <c r="AD89" i="33"/>
  <c r="AD90" i="33"/>
  <c r="AD91" i="33"/>
  <c r="AD92" i="33"/>
  <c r="AD93" i="33"/>
  <c r="AD95" i="33"/>
  <c r="AD96" i="33"/>
  <c r="AD97" i="33"/>
  <c r="AD98" i="33"/>
  <c r="AD99" i="33"/>
  <c r="AD100" i="33"/>
  <c r="AD101" i="33"/>
  <c r="AD102" i="33"/>
  <c r="AD103" i="33"/>
  <c r="AD104" i="33"/>
  <c r="AD105" i="33"/>
  <c r="AD106" i="33"/>
  <c r="AD107" i="33"/>
  <c r="AD108" i="33"/>
  <c r="AD109" i="33"/>
  <c r="AD110" i="33"/>
  <c r="AD111" i="33"/>
  <c r="AD112" i="33"/>
  <c r="AD113" i="33"/>
  <c r="AD114" i="33"/>
  <c r="AD116" i="33"/>
  <c r="AD117" i="33"/>
  <c r="AD118" i="33"/>
  <c r="AD119" i="33"/>
  <c r="AD120" i="33"/>
  <c r="AD121" i="33"/>
  <c r="AD122" i="33"/>
  <c r="AD123" i="33"/>
  <c r="AD124" i="33"/>
  <c r="AD125" i="33"/>
  <c r="AD126" i="33"/>
  <c r="AD127" i="33"/>
  <c r="AD128" i="33"/>
  <c r="AD129" i="33"/>
  <c r="AD130" i="33"/>
  <c r="AD131" i="33"/>
  <c r="AD132" i="33"/>
  <c r="AD133" i="33"/>
  <c r="AD134" i="33"/>
  <c r="AD135" i="33"/>
  <c r="AD136" i="33"/>
  <c r="AD137" i="33"/>
  <c r="AD138" i="33"/>
  <c r="AD139" i="33"/>
  <c r="AD140" i="33"/>
  <c r="AD142" i="33"/>
  <c r="AD143" i="33"/>
  <c r="AD145" i="33"/>
  <c r="AD146" i="33"/>
  <c r="AD147" i="33"/>
  <c r="AD148" i="33"/>
  <c r="AD149" i="33"/>
  <c r="AD150" i="33"/>
  <c r="AD151" i="33"/>
  <c r="AD152" i="33"/>
  <c r="AD153" i="33"/>
  <c r="AD154" i="33"/>
  <c r="AD155" i="33"/>
  <c r="AD156" i="33"/>
  <c r="AD157" i="33"/>
  <c r="AD158" i="33"/>
  <c r="AD159" i="33"/>
  <c r="AD160" i="33"/>
  <c r="AD161" i="33"/>
  <c r="AD162" i="33"/>
  <c r="AD163" i="33"/>
  <c r="AD164" i="33"/>
  <c r="AD165" i="33"/>
  <c r="AD166" i="33"/>
  <c r="AD167" i="33"/>
  <c r="AD168" i="33"/>
  <c r="AD169" i="33"/>
  <c r="AD170" i="33"/>
  <c r="AD171" i="33"/>
  <c r="AD172" i="33"/>
  <c r="AD173" i="33"/>
  <c r="AD174" i="33"/>
  <c r="AD175" i="33"/>
  <c r="AD176" i="33"/>
  <c r="AD177" i="33"/>
  <c r="AD178" i="33"/>
  <c r="AD179" i="33"/>
  <c r="AD180" i="33"/>
  <c r="AD181" i="33"/>
  <c r="AD182" i="33"/>
  <c r="AD183" i="33"/>
  <c r="AD184" i="33"/>
  <c r="AD185" i="33"/>
  <c r="AD186" i="33"/>
  <c r="AD188" i="33"/>
  <c r="AD189" i="33"/>
  <c r="AD190" i="33"/>
  <c r="AD191" i="33"/>
  <c r="AD192" i="33"/>
  <c r="AD193" i="33"/>
  <c r="AD194" i="33"/>
  <c r="AD196" i="33"/>
  <c r="AD198" i="33"/>
  <c r="AD199" i="33"/>
  <c r="AD200" i="33"/>
  <c r="AD201" i="33"/>
  <c r="AD202" i="33"/>
  <c r="AD203" i="33"/>
  <c r="AD204" i="33"/>
  <c r="AD205" i="33"/>
  <c r="AD206" i="33"/>
  <c r="AD208" i="33"/>
  <c r="AD209" i="33"/>
  <c r="AD210" i="33"/>
  <c r="AD211" i="33"/>
  <c r="AD29" i="33"/>
  <c r="U29" i="33"/>
  <c r="U30" i="33" s="1"/>
  <c r="U31" i="33" s="1"/>
  <c r="U32" i="33" s="1"/>
  <c r="U33" i="33" s="1"/>
  <c r="U34" i="33" s="1"/>
  <c r="U35" i="33" s="1"/>
  <c r="U36" i="33" s="1"/>
  <c r="U37" i="33" s="1"/>
  <c r="U38" i="33" s="1"/>
  <c r="U39" i="33" s="1"/>
  <c r="T29" i="33"/>
  <c r="T30" i="33" s="1"/>
  <c r="T31" i="33" s="1"/>
  <c r="T32" i="33" s="1"/>
  <c r="T33" i="33" s="1"/>
  <c r="T34" i="33" s="1"/>
  <c r="T35" i="33" s="1"/>
  <c r="T36" i="33" s="1"/>
  <c r="T37" i="33" s="1"/>
  <c r="T38" i="33" s="1"/>
  <c r="T39" i="33" s="1"/>
  <c r="R29" i="33"/>
  <c r="R30" i="33" s="1"/>
  <c r="R31" i="33" s="1"/>
  <c r="R32" i="33" s="1"/>
  <c r="R33" i="33" s="1"/>
  <c r="R34" i="33" s="1"/>
  <c r="R35" i="33" s="1"/>
  <c r="R36" i="33" s="1"/>
  <c r="R37" i="33" s="1"/>
  <c r="R38" i="33" s="1"/>
  <c r="R39" i="33" s="1"/>
  <c r="Q29" i="33"/>
  <c r="Q40" i="33"/>
  <c r="R40" i="33"/>
  <c r="T40" i="33"/>
  <c r="U40" i="33"/>
  <c r="Q41" i="33"/>
  <c r="R41" i="33"/>
  <c r="T41" i="33"/>
  <c r="U41" i="33"/>
  <c r="Q42" i="33"/>
  <c r="R42" i="33"/>
  <c r="T42" i="33"/>
  <c r="U42" i="33"/>
  <c r="Q43" i="33"/>
  <c r="R43" i="33"/>
  <c r="T43" i="33"/>
  <c r="U43" i="33"/>
  <c r="Q44" i="33"/>
  <c r="R44" i="33"/>
  <c r="T44" i="33"/>
  <c r="U44" i="33"/>
  <c r="Q45" i="33"/>
  <c r="R45" i="33"/>
  <c r="T45" i="33"/>
  <c r="U45" i="33"/>
  <c r="Q46" i="33"/>
  <c r="R46" i="33"/>
  <c r="T46" i="33"/>
  <c r="U46" i="33"/>
  <c r="Q47" i="33"/>
  <c r="R47" i="33"/>
  <c r="T47" i="33"/>
  <c r="U47" i="33"/>
  <c r="Q48" i="33"/>
  <c r="R48" i="33"/>
  <c r="T48" i="33"/>
  <c r="U48" i="33"/>
  <c r="Q49" i="33"/>
  <c r="R49" i="33"/>
  <c r="T49" i="33"/>
  <c r="U49" i="33"/>
  <c r="Q50" i="33"/>
  <c r="R50" i="33"/>
  <c r="T50" i="33"/>
  <c r="U50" i="33"/>
  <c r="Q51" i="33"/>
  <c r="R51" i="33"/>
  <c r="T51" i="33"/>
  <c r="U51" i="33"/>
  <c r="Q52" i="33"/>
  <c r="R52" i="33"/>
  <c r="T52" i="33"/>
  <c r="U52" i="33"/>
  <c r="Q53" i="33"/>
  <c r="R53" i="33"/>
  <c r="T53" i="33"/>
  <c r="U53" i="33"/>
  <c r="Q54" i="33"/>
  <c r="R54" i="33"/>
  <c r="T54" i="33"/>
  <c r="U54" i="33"/>
  <c r="Q55" i="33"/>
  <c r="R55" i="33"/>
  <c r="T55" i="33"/>
  <c r="U55" i="33"/>
  <c r="Q56" i="33"/>
  <c r="R56" i="33"/>
  <c r="T56" i="33"/>
  <c r="U56" i="33"/>
  <c r="Q57" i="33"/>
  <c r="R57" i="33"/>
  <c r="T57" i="33"/>
  <c r="U57" i="33"/>
  <c r="Q58" i="33"/>
  <c r="R58" i="33"/>
  <c r="T58" i="33"/>
  <c r="U58" i="33"/>
  <c r="Q59" i="33"/>
  <c r="R59" i="33"/>
  <c r="T59" i="33"/>
  <c r="U59" i="33"/>
  <c r="Q60" i="33"/>
  <c r="R60" i="33"/>
  <c r="T60" i="33"/>
  <c r="U60" i="33"/>
  <c r="G40" i="33"/>
  <c r="S40" i="33" s="1"/>
  <c r="G41" i="33"/>
  <c r="S41" i="33" s="1"/>
  <c r="G42" i="33"/>
  <c r="S42" i="33" s="1"/>
  <c r="G43" i="33"/>
  <c r="S43" i="33" s="1"/>
  <c r="G44" i="33"/>
  <c r="S44" i="33" s="1"/>
  <c r="G45" i="33"/>
  <c r="S45" i="33" s="1"/>
  <c r="G46" i="33"/>
  <c r="S46" i="33" s="1"/>
  <c r="G47" i="33"/>
  <c r="S47" i="33" s="1"/>
  <c r="G48" i="33"/>
  <c r="S48" i="33" s="1"/>
  <c r="G49" i="33"/>
  <c r="S49" i="33" s="1"/>
  <c r="G50" i="33"/>
  <c r="S50" i="33" s="1"/>
  <c r="G51" i="33"/>
  <c r="S51" i="33" s="1"/>
  <c r="G52" i="33"/>
  <c r="S52" i="33" s="1"/>
  <c r="G53" i="33"/>
  <c r="S53" i="33" s="1"/>
  <c r="G54" i="33"/>
  <c r="S54" i="33" s="1"/>
  <c r="G55" i="33"/>
  <c r="S55" i="33" s="1"/>
  <c r="G56" i="33"/>
  <c r="S56" i="33" s="1"/>
  <c r="G57" i="33"/>
  <c r="S57" i="33" s="1"/>
  <c r="G58" i="33"/>
  <c r="S58" i="33" s="1"/>
  <c r="G59" i="33"/>
  <c r="S59" i="33" s="1"/>
  <c r="G60" i="33"/>
  <c r="S60" i="33" s="1"/>
  <c r="H29" i="33"/>
  <c r="H40" i="33"/>
  <c r="H41" i="33"/>
  <c r="H42" i="33"/>
  <c r="H43" i="33"/>
  <c r="H44" i="33"/>
  <c r="H45" i="33"/>
  <c r="H46" i="33"/>
  <c r="H47" i="33"/>
  <c r="H48" i="33"/>
  <c r="H49" i="33"/>
  <c r="H50" i="33"/>
  <c r="H51" i="33"/>
  <c r="H52" i="33"/>
  <c r="H53" i="33"/>
  <c r="H54" i="33"/>
  <c r="H55" i="33"/>
  <c r="H56" i="33"/>
  <c r="H57" i="33"/>
  <c r="H58" i="33"/>
  <c r="H59" i="33"/>
  <c r="H60" i="33"/>
  <c r="Q40" i="4"/>
  <c r="R39" i="4"/>
  <c r="L13" i="28"/>
  <c r="M24" i="28"/>
  <c r="M25" i="28"/>
  <c r="M26" i="28"/>
  <c r="M27" i="28"/>
  <c r="M28" i="28"/>
  <c r="M29" i="28"/>
  <c r="M30" i="28"/>
  <c r="M31" i="28"/>
  <c r="M32" i="28"/>
  <c r="M33" i="28"/>
  <c r="M34" i="28"/>
  <c r="M35" i="28"/>
  <c r="M36" i="28"/>
  <c r="M37" i="28"/>
  <c r="M38" i="28"/>
  <c r="M39" i="28"/>
  <c r="M40" i="28"/>
  <c r="M41" i="28"/>
  <c r="M42" i="28"/>
  <c r="M43" i="28"/>
  <c r="M44" i="28"/>
  <c r="M45" i="28"/>
  <c r="M46" i="28"/>
  <c r="M47" i="28"/>
  <c r="M48" i="28"/>
  <c r="M49" i="28"/>
  <c r="M50" i="28"/>
  <c r="M51" i="28"/>
  <c r="M52" i="28"/>
  <c r="M53" i="28"/>
  <c r="M54" i="28"/>
  <c r="M55" i="28"/>
  <c r="I55" i="28"/>
  <c r="I54" i="28"/>
  <c r="I53" i="28"/>
  <c r="I52" i="28"/>
  <c r="I51" i="28"/>
  <c r="I50" i="28"/>
  <c r="I49" i="28"/>
  <c r="I48" i="28"/>
  <c r="I47" i="28"/>
  <c r="I46" i="28"/>
  <c r="I45" i="28"/>
  <c r="I44" i="28"/>
  <c r="I43" i="28"/>
  <c r="I42" i="28"/>
  <c r="I41" i="28"/>
  <c r="I40" i="28"/>
  <c r="I39" i="28"/>
  <c r="I38" i="28"/>
  <c r="I37" i="28"/>
  <c r="I36" i="28"/>
  <c r="I35" i="28"/>
  <c r="I34" i="28"/>
  <c r="I33" i="28"/>
  <c r="I32" i="28"/>
  <c r="I31" i="28"/>
  <c r="I30" i="28"/>
  <c r="I29" i="28"/>
  <c r="I28" i="28"/>
  <c r="I27" i="28"/>
  <c r="I26" i="28"/>
  <c r="I25" i="28"/>
  <c r="I24" i="28"/>
  <c r="H55" i="28"/>
  <c r="H54" i="28"/>
  <c r="H53" i="28"/>
  <c r="H52" i="28"/>
  <c r="H51" i="28"/>
  <c r="H50" i="28"/>
  <c r="H49" i="28"/>
  <c r="H48" i="28"/>
  <c r="H47" i="28"/>
  <c r="H46" i="28"/>
  <c r="H45" i="28"/>
  <c r="H44" i="28"/>
  <c r="H43" i="28"/>
  <c r="H42" i="28"/>
  <c r="H41" i="28"/>
  <c r="H40" i="28"/>
  <c r="H39" i="28"/>
  <c r="H38" i="28"/>
  <c r="H37" i="28"/>
  <c r="H36" i="28"/>
  <c r="H35" i="28"/>
  <c r="H34" i="28"/>
  <c r="H33" i="28"/>
  <c r="H32" i="28"/>
  <c r="H31" i="28"/>
  <c r="H30" i="28"/>
  <c r="H29" i="28"/>
  <c r="H28" i="28"/>
  <c r="H27" i="28"/>
  <c r="H26" i="28"/>
  <c r="H25" i="28"/>
  <c r="E55" i="28"/>
  <c r="E54" i="28"/>
  <c r="E53" i="28"/>
  <c r="E52" i="28"/>
  <c r="E51" i="28"/>
  <c r="E50" i="28"/>
  <c r="E49" i="28"/>
  <c r="E48" i="28"/>
  <c r="E47" i="28"/>
  <c r="E46" i="28"/>
  <c r="E45" i="28"/>
  <c r="E44" i="28"/>
  <c r="E43" i="28"/>
  <c r="E42" i="28"/>
  <c r="E41" i="28"/>
  <c r="E40" i="28"/>
  <c r="E39" i="28"/>
  <c r="E38" i="28"/>
  <c r="E37" i="28"/>
  <c r="E36" i="28"/>
  <c r="E35" i="28"/>
  <c r="E34" i="28"/>
  <c r="E33" i="28"/>
  <c r="E32" i="28"/>
  <c r="E31" i="28"/>
  <c r="E30" i="28"/>
  <c r="E29" i="28"/>
  <c r="E28" i="28"/>
  <c r="E27" i="28"/>
  <c r="E26" i="28"/>
  <c r="E25" i="28"/>
  <c r="E24" i="28"/>
  <c r="K25" i="31"/>
  <c r="G13" i="43" l="1"/>
  <c r="M13" i="43"/>
  <c r="I13" i="43"/>
  <c r="H13" i="43"/>
  <c r="L13" i="43"/>
  <c r="K13" i="43"/>
  <c r="J13" i="43"/>
  <c r="L15" i="43"/>
  <c r="J15" i="43"/>
  <c r="M15" i="43"/>
  <c r="F16" i="43"/>
  <c r="I15" i="43"/>
  <c r="K14" i="43"/>
  <c r="H15" i="43"/>
  <c r="L14" i="43"/>
  <c r="M14" i="43"/>
  <c r="E16" i="43"/>
  <c r="G14" i="43"/>
  <c r="H14" i="43"/>
  <c r="L16" i="43"/>
  <c r="H16" i="43"/>
  <c r="G16" i="43"/>
  <c r="K16" i="43"/>
  <c r="G15" i="43"/>
  <c r="I16" i="43"/>
  <c r="M16" i="43"/>
  <c r="K15" i="43"/>
  <c r="J14" i="43"/>
  <c r="I14" i="43"/>
  <c r="J16" i="43"/>
  <c r="F17" i="43"/>
  <c r="E18" i="43"/>
  <c r="K17" i="43"/>
  <c r="L20" i="43"/>
  <c r="M18" i="43"/>
  <c r="G18" i="43"/>
  <c r="J18" i="43"/>
  <c r="L19" i="43"/>
  <c r="H20" i="43"/>
  <c r="I17" i="43"/>
  <c r="I18" i="43"/>
  <c r="K19" i="43"/>
  <c r="M22" i="43"/>
  <c r="I23" i="43"/>
  <c r="G20" i="43"/>
  <c r="I20" i="43"/>
  <c r="M19" i="43"/>
  <c r="E19" i="43"/>
  <c r="K22" i="43"/>
  <c r="J17" i="43"/>
  <c r="L18" i="43"/>
  <c r="J19" i="43"/>
  <c r="M17" i="43"/>
  <c r="K20" i="43"/>
  <c r="G23" i="43"/>
  <c r="L21" i="43"/>
  <c r="M20" i="43"/>
  <c r="H21" i="43"/>
  <c r="L22" i="43"/>
  <c r="L17" i="43"/>
  <c r="K18" i="43"/>
  <c r="L23" i="43"/>
  <c r="M21" i="43"/>
  <c r="G17" i="43"/>
  <c r="K21" i="43"/>
  <c r="H18" i="43"/>
  <c r="J23" i="43"/>
  <c r="F20" i="43"/>
  <c r="I19" i="43"/>
  <c r="H23" i="43"/>
  <c r="E22" i="43"/>
  <c r="F21" i="43"/>
  <c r="G21" i="43"/>
  <c r="I21" i="43"/>
  <c r="H19" i="43"/>
  <c r="H17" i="43"/>
  <c r="H22" i="43"/>
  <c r="G22" i="43"/>
  <c r="J20" i="43"/>
  <c r="G19" i="43"/>
  <c r="K23" i="43"/>
  <c r="J22" i="43"/>
  <c r="I22" i="43"/>
  <c r="M23" i="43"/>
  <c r="J21" i="43"/>
  <c r="F19" i="43"/>
  <c r="F18" i="43"/>
  <c r="E20" i="43"/>
  <c r="E17" i="43"/>
  <c r="E21" i="43"/>
  <c r="F22" i="43"/>
  <c r="L60" i="33"/>
  <c r="N60" i="33" s="1"/>
  <c r="L59" i="33"/>
  <c r="L58" i="33"/>
  <c r="L57" i="33"/>
  <c r="L56" i="33"/>
  <c r="L55" i="33"/>
  <c r="L54" i="33"/>
  <c r="L53" i="33"/>
  <c r="L52" i="33"/>
  <c r="L51" i="33"/>
  <c r="L50" i="33"/>
  <c r="L49" i="33"/>
  <c r="L48" i="33"/>
  <c r="L47" i="33"/>
  <c r="L46" i="33"/>
  <c r="L45" i="33"/>
  <c r="L44" i="33"/>
  <c r="L43" i="33"/>
  <c r="L42" i="33"/>
  <c r="L41" i="33"/>
  <c r="L40" i="33"/>
  <c r="Q30" i="33"/>
  <c r="Q41" i="4"/>
  <c r="R40" i="4"/>
  <c r="N58" i="33" l="1"/>
  <c r="N59" i="33"/>
  <c r="N42" i="33"/>
  <c r="N50" i="33"/>
  <c r="N52" i="33"/>
  <c r="N45" i="33"/>
  <c r="N53" i="33"/>
  <c r="N51" i="33"/>
  <c r="N46" i="33"/>
  <c r="N47" i="33"/>
  <c r="N55" i="33"/>
  <c r="N44" i="33"/>
  <c r="N40" i="33"/>
  <c r="N48" i="33"/>
  <c r="N56" i="33"/>
  <c r="N43" i="33"/>
  <c r="N54" i="33"/>
  <c r="N41" i="33"/>
  <c r="N49" i="33"/>
  <c r="N57" i="33"/>
  <c r="Q42" i="4"/>
  <c r="Q31" i="33"/>
  <c r="R41" i="4"/>
  <c r="F65" i="31"/>
  <c r="F64" i="31"/>
  <c r="F63" i="31"/>
  <c r="F62" i="31"/>
  <c r="F61" i="31"/>
  <c r="F60" i="31"/>
  <c r="F59" i="31"/>
  <c r="F58" i="31"/>
  <c r="F57" i="31"/>
  <c r="F56" i="31"/>
  <c r="F55" i="31"/>
  <c r="F54" i="31"/>
  <c r="F53" i="31"/>
  <c r="F52" i="31"/>
  <c r="F51" i="31"/>
  <c r="F50" i="31"/>
  <c r="F49" i="31"/>
  <c r="F48" i="31"/>
  <c r="F47" i="31"/>
  <c r="F46" i="31"/>
  <c r="F45" i="31"/>
  <c r="F44" i="31"/>
  <c r="F43" i="31"/>
  <c r="Q32" i="33" l="1"/>
  <c r="Q43" i="4"/>
  <c r="Q44" i="4" s="1"/>
  <c r="Q45" i="4" s="1"/>
  <c r="Q46" i="4" s="1"/>
  <c r="Q47" i="4" s="1"/>
  <c r="Q48" i="4" s="1"/>
  <c r="R42" i="4"/>
  <c r="A51" i="3"/>
  <c r="A50" i="3"/>
  <c r="A49" i="3"/>
  <c r="A48" i="3"/>
  <c r="A47" i="3"/>
  <c r="A46" i="3"/>
  <c r="B51" i="3"/>
  <c r="B50" i="3"/>
  <c r="B49" i="3"/>
  <c r="B48" i="3"/>
  <c r="B47" i="3"/>
  <c r="B46" i="3"/>
  <c r="E46" i="3"/>
  <c r="E50" i="3"/>
  <c r="E48" i="3"/>
  <c r="E47" i="3"/>
  <c r="Q33" i="33" l="1"/>
  <c r="Q34" i="33" s="1"/>
  <c r="Q35" i="33" s="1"/>
  <c r="Q36" i="33" s="1"/>
  <c r="E63" i="27"/>
  <c r="J63" i="27"/>
  <c r="I63" i="27"/>
  <c r="F63" i="27"/>
  <c r="H63" i="27"/>
  <c r="G63" i="27"/>
  <c r="E62" i="27"/>
  <c r="J62" i="27"/>
  <c r="I62" i="27"/>
  <c r="F62" i="27"/>
  <c r="H62" i="27"/>
  <c r="G62" i="27"/>
  <c r="J61" i="27"/>
  <c r="I61" i="27"/>
  <c r="F61" i="27"/>
  <c r="H61" i="27"/>
  <c r="G61" i="27"/>
  <c r="E61" i="27"/>
  <c r="G46" i="3"/>
  <c r="K46" i="3"/>
  <c r="I46" i="3"/>
  <c r="H46" i="3"/>
  <c r="O46" i="3"/>
  <c r="L46" i="3"/>
  <c r="M46" i="3"/>
  <c r="J46" i="3"/>
  <c r="O47" i="3"/>
  <c r="G47" i="3"/>
  <c r="K47" i="3"/>
  <c r="N47" i="3"/>
  <c r="J47" i="3"/>
  <c r="I47" i="3"/>
  <c r="M47" i="3"/>
  <c r="L47" i="3"/>
  <c r="H47" i="3"/>
  <c r="J48" i="3"/>
  <c r="I48" i="3"/>
  <c r="H48" i="3"/>
  <c r="G48" i="3"/>
  <c r="O48" i="3"/>
  <c r="N48" i="3"/>
  <c r="L48" i="3"/>
  <c r="M48" i="3"/>
  <c r="K48" i="3"/>
  <c r="AD58" i="4"/>
  <c r="R43" i="4"/>
  <c r="B65" i="31"/>
  <c r="A65" i="31"/>
  <c r="D65" i="31" s="1"/>
  <c r="B64" i="31"/>
  <c r="A64" i="31"/>
  <c r="D64" i="31" s="1"/>
  <c r="B63" i="31"/>
  <c r="A63" i="31"/>
  <c r="D63" i="31" s="1"/>
  <c r="B62" i="31"/>
  <c r="A62" i="31"/>
  <c r="D62" i="31" s="1"/>
  <c r="B61" i="31"/>
  <c r="A61" i="31"/>
  <c r="D61" i="31" s="1"/>
  <c r="B60" i="31"/>
  <c r="A60" i="31"/>
  <c r="D60" i="31" s="1"/>
  <c r="B59" i="31"/>
  <c r="A59" i="31"/>
  <c r="D59" i="31" s="1"/>
  <c r="B58" i="31"/>
  <c r="A58" i="31"/>
  <c r="D58" i="31" s="1"/>
  <c r="B57" i="31"/>
  <c r="A57" i="31"/>
  <c r="D57" i="31" s="1"/>
  <c r="B56" i="31"/>
  <c r="A56" i="31"/>
  <c r="D56" i="31" s="1"/>
  <c r="B55" i="31"/>
  <c r="A55" i="31"/>
  <c r="D55" i="31" s="1"/>
  <c r="B54" i="31"/>
  <c r="A54" i="31"/>
  <c r="D54" i="31" s="1"/>
  <c r="B53" i="31"/>
  <c r="A53" i="31"/>
  <c r="D53" i="31" s="1"/>
  <c r="B52" i="31"/>
  <c r="A52" i="31"/>
  <c r="D52" i="31" s="1"/>
  <c r="B51" i="31"/>
  <c r="A51" i="31"/>
  <c r="D51" i="31" s="1"/>
  <c r="B50" i="31"/>
  <c r="A50" i="31"/>
  <c r="D50" i="31" s="1"/>
  <c r="B49" i="31"/>
  <c r="A49" i="31"/>
  <c r="D49" i="31" s="1"/>
  <c r="B48" i="31"/>
  <c r="A48" i="31"/>
  <c r="D48" i="31" s="1"/>
  <c r="B47" i="31"/>
  <c r="A47" i="31"/>
  <c r="D47" i="31" s="1"/>
  <c r="B46" i="31"/>
  <c r="A46" i="31"/>
  <c r="D46" i="31" s="1"/>
  <c r="B45" i="31"/>
  <c r="A45" i="31"/>
  <c r="D45" i="31" s="1"/>
  <c r="B44" i="31"/>
  <c r="A44" i="31"/>
  <c r="D44" i="31" s="1"/>
  <c r="B43" i="31"/>
  <c r="A43" i="31"/>
  <c r="D43" i="31" s="1"/>
  <c r="Q37" i="33" l="1"/>
  <c r="I60" i="27"/>
  <c r="E60" i="27"/>
  <c r="H60" i="27"/>
  <c r="G60" i="27"/>
  <c r="F60" i="27"/>
  <c r="J60" i="27"/>
  <c r="G90" i="27"/>
  <c r="F90" i="27"/>
  <c r="E90" i="27"/>
  <c r="J90" i="27"/>
  <c r="I90" i="27"/>
  <c r="L61" i="27"/>
  <c r="K62" i="27"/>
  <c r="M63" i="27"/>
  <c r="M62" i="27"/>
  <c r="L63" i="27"/>
  <c r="K61" i="27"/>
  <c r="L62" i="27"/>
  <c r="M61" i="27"/>
  <c r="K63" i="27"/>
  <c r="AD50" i="33"/>
  <c r="R44" i="4"/>
  <c r="O27" i="26"/>
  <c r="G11" i="26"/>
  <c r="Q38" i="33" l="1"/>
  <c r="K60" i="27"/>
  <c r="L60" i="27"/>
  <c r="M60" i="27"/>
  <c r="H90" i="27"/>
  <c r="K90" i="27"/>
  <c r="R45" i="4"/>
  <c r="Q39" i="33" l="1"/>
  <c r="L90" i="27"/>
  <c r="M90" i="27"/>
  <c r="R46" i="4"/>
  <c r="L29" i="4"/>
  <c r="L28" i="4"/>
  <c r="J20" i="2"/>
  <c r="J21" i="2"/>
  <c r="J19" i="2"/>
  <c r="I15" i="2"/>
  <c r="K15" i="2" s="1"/>
  <c r="I14" i="2"/>
  <c r="K14" i="2" s="1"/>
  <c r="H24" i="28"/>
  <c r="R47" i="4" l="1"/>
  <c r="R48" i="4" l="1"/>
  <c r="R49" i="4" l="1"/>
  <c r="R50" i="4" l="1"/>
  <c r="K28" i="10"/>
  <c r="K26" i="10"/>
  <c r="K25" i="10"/>
  <c r="K24" i="10"/>
  <c r="K23" i="10"/>
  <c r="R51" i="4" l="1"/>
  <c r="N55" i="18"/>
  <c r="A48" i="18"/>
  <c r="G44" i="18"/>
  <c r="A44" i="18"/>
  <c r="G47" i="18"/>
  <c r="A46" i="18"/>
  <c r="G43" i="18"/>
  <c r="D41" i="18"/>
  <c r="A41" i="18"/>
  <c r="A40" i="18"/>
  <c r="A39" i="18"/>
  <c r="A38" i="18"/>
  <c r="C30" i="18"/>
  <c r="A30" i="18"/>
  <c r="A29" i="18"/>
  <c r="A28" i="18"/>
  <c r="D36" i="18"/>
  <c r="E30" i="18"/>
  <c r="C24" i="18"/>
  <c r="C14" i="18"/>
  <c r="S8" i="18"/>
  <c r="F26" i="21"/>
  <c r="F22" i="21"/>
  <c r="F18" i="21"/>
  <c r="E4" i="21"/>
  <c r="N17" i="21"/>
  <c r="N28" i="21" s="1"/>
  <c r="N16" i="18" l="1"/>
  <c r="R52" i="4"/>
  <c r="G51" i="18"/>
  <c r="B20" i="10"/>
  <c r="A20" i="10"/>
  <c r="B19" i="10"/>
  <c r="A19" i="10"/>
  <c r="B18" i="10"/>
  <c r="A18" i="10"/>
  <c r="B17" i="10"/>
  <c r="A17" i="10"/>
  <c r="B16" i="10"/>
  <c r="A16" i="10"/>
  <c r="B15" i="10"/>
  <c r="A15" i="10"/>
  <c r="A65" i="10"/>
  <c r="A64" i="10"/>
  <c r="A63" i="10"/>
  <c r="A62" i="10"/>
  <c r="A61" i="10"/>
  <c r="A60" i="10"/>
  <c r="A59" i="10"/>
  <c r="A58" i="10"/>
  <c r="A57" i="10"/>
  <c r="A56" i="10"/>
  <c r="A55" i="10"/>
  <c r="A54" i="10"/>
  <c r="A53" i="10"/>
  <c r="A52" i="10"/>
  <c r="A51" i="10"/>
  <c r="A50" i="10"/>
  <c r="A49" i="10"/>
  <c r="A48" i="10"/>
  <c r="A47" i="10"/>
  <c r="A46" i="10"/>
  <c r="A45" i="10"/>
  <c r="A44" i="10"/>
  <c r="A43" i="10"/>
  <c r="J20" i="10"/>
  <c r="J19" i="10"/>
  <c r="J18" i="10"/>
  <c r="J17" i="10"/>
  <c r="J16" i="10"/>
  <c r="J15" i="10"/>
  <c r="N23" i="18" l="1"/>
  <c r="N31" i="18" s="1"/>
  <c r="R53" i="4"/>
  <c r="N35" i="18" l="1"/>
  <c r="N41" i="18"/>
  <c r="R54" i="4"/>
  <c r="N45" i="18" l="1"/>
  <c r="N46" i="18" s="1"/>
  <c r="N42" i="18"/>
  <c r="R55" i="4"/>
  <c r="N53" i="18" l="1"/>
  <c r="G45" i="18"/>
  <c r="R56" i="4"/>
  <c r="J65" i="10"/>
  <c r="J64" i="10"/>
  <c r="J63" i="10"/>
  <c r="J62" i="10"/>
  <c r="J61" i="10"/>
  <c r="J60" i="10"/>
  <c r="J59" i="10"/>
  <c r="J58" i="10"/>
  <c r="J57" i="10"/>
  <c r="J56" i="10"/>
  <c r="J55" i="10"/>
  <c r="J54" i="10"/>
  <c r="J53" i="10"/>
  <c r="J52" i="10"/>
  <c r="J51" i="10"/>
  <c r="J50" i="10"/>
  <c r="J49" i="10"/>
  <c r="J48" i="10"/>
  <c r="J47" i="10"/>
  <c r="J46" i="10"/>
  <c r="J45" i="10"/>
  <c r="J44" i="10"/>
  <c r="J43" i="10"/>
  <c r="R57" i="4" l="1"/>
  <c r="R58" i="4" l="1"/>
  <c r="R59" i="4" l="1"/>
  <c r="R60" i="4" l="1"/>
  <c r="L55" i="28"/>
  <c r="L54"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R61" i="4" l="1"/>
  <c r="R62" i="4" l="1"/>
  <c r="R63" i="4" l="1"/>
  <c r="R64" i="4" l="1"/>
  <c r="R65" i="4" l="1"/>
  <c r="R66" i="4" l="1"/>
  <c r="A21" i="26" l="1"/>
  <c r="R67" i="4"/>
  <c r="R68" i="4" l="1"/>
  <c r="R69" i="4" l="1"/>
  <c r="E49" i="3" l="1"/>
  <c r="AS79" i="3" l="1"/>
  <c r="AT78" i="3"/>
  <c r="C86" i="3" l="1"/>
  <c r="D86" i="3" s="1"/>
  <c r="D20" i="27" s="1"/>
  <c r="C112" i="3"/>
  <c r="C99" i="3"/>
  <c r="D99" i="3" s="1"/>
  <c r="D33" i="27" s="1"/>
  <c r="C104" i="3"/>
  <c r="C117" i="3"/>
  <c r="C103" i="3"/>
  <c r="C115" i="3"/>
  <c r="C116" i="3"/>
  <c r="C102" i="3"/>
  <c r="C89" i="3"/>
  <c r="C91" i="3"/>
  <c r="C90" i="3"/>
  <c r="D91" i="3" l="1"/>
  <c r="D25" i="27" s="1"/>
  <c r="D103" i="3"/>
  <c r="D37" i="27" s="1"/>
  <c r="D89" i="3"/>
  <c r="D23" i="27" s="1"/>
  <c r="D90" i="3"/>
  <c r="D24" i="27" s="1"/>
  <c r="D104" i="3"/>
  <c r="D38" i="27" s="1"/>
  <c r="D102" i="3"/>
  <c r="D36" i="27" s="1"/>
  <c r="D116" i="3"/>
  <c r="D50" i="27" s="1"/>
  <c r="D115" i="3"/>
  <c r="D49" i="27" s="1"/>
  <c r="D117" i="3"/>
  <c r="D51" i="27" s="1"/>
  <c r="D112" i="3"/>
  <c r="D46" i="27" s="1"/>
  <c r="E99" i="3"/>
  <c r="J99" i="3"/>
  <c r="E112" i="3"/>
  <c r="K112" i="3"/>
  <c r="H112" i="3"/>
  <c r="N112" i="3"/>
  <c r="M112" i="3"/>
  <c r="I112" i="3"/>
  <c r="G112" i="3"/>
  <c r="L112" i="3"/>
  <c r="E86" i="3"/>
  <c r="J112" i="3" l="1"/>
  <c r="E110" i="3"/>
  <c r="E109" i="3"/>
  <c r="E107" i="3"/>
  <c r="E116" i="3"/>
  <c r="L116" i="3" s="1"/>
  <c r="E106" i="3"/>
  <c r="E115" i="3"/>
  <c r="C49" i="27" s="1"/>
  <c r="E108" i="3"/>
  <c r="E105" i="3"/>
  <c r="E117" i="3"/>
  <c r="E95" i="3"/>
  <c r="E94" i="3"/>
  <c r="E93" i="3"/>
  <c r="E97" i="3"/>
  <c r="E103" i="3"/>
  <c r="E102" i="3"/>
  <c r="I102" i="3" s="1"/>
  <c r="E104" i="3"/>
  <c r="E96" i="3"/>
  <c r="E92" i="3"/>
  <c r="AP43" i="4"/>
  <c r="AL44" i="4"/>
  <c r="AU43" i="4"/>
  <c r="AR44" i="4"/>
  <c r="AT44" i="4"/>
  <c r="AS44" i="4"/>
  <c r="AR43" i="4"/>
  <c r="AO43" i="4"/>
  <c r="AL43" i="4"/>
  <c r="AS43" i="4"/>
  <c r="AK44" i="4"/>
  <c r="AM44" i="4"/>
  <c r="AM43" i="4"/>
  <c r="AP44" i="4"/>
  <c r="AN43" i="4"/>
  <c r="AO44" i="4"/>
  <c r="AT43" i="4"/>
  <c r="AQ44" i="4"/>
  <c r="AN44" i="4"/>
  <c r="AQ43" i="4"/>
  <c r="AK43" i="4"/>
  <c r="AU44" i="4"/>
  <c r="I86" i="3"/>
  <c r="E80" i="3"/>
  <c r="E91" i="3"/>
  <c r="E79" i="3"/>
  <c r="E84" i="3"/>
  <c r="E89" i="3"/>
  <c r="J89" i="3" s="1"/>
  <c r="E83" i="3"/>
  <c r="E82" i="3"/>
  <c r="E81" i="3"/>
  <c r="E90" i="3"/>
  <c r="C24" i="27" s="1"/>
  <c r="S29" i="27" s="1"/>
  <c r="V29" i="27" s="1"/>
  <c r="AN40" i="4"/>
  <c r="AR40" i="4"/>
  <c r="AK40" i="4"/>
  <c r="AP40" i="4"/>
  <c r="AO40" i="4"/>
  <c r="AL40" i="4"/>
  <c r="AT40" i="4"/>
  <c r="AQ40" i="4"/>
  <c r="AU40" i="4"/>
  <c r="AS40" i="4"/>
  <c r="AM40" i="4"/>
  <c r="J86" i="3"/>
  <c r="N86" i="3"/>
  <c r="H86" i="3"/>
  <c r="G86" i="3"/>
  <c r="AK126" i="3"/>
  <c r="AE124" i="3"/>
  <c r="AE122" i="3"/>
  <c r="AE125" i="3"/>
  <c r="AK125" i="3"/>
  <c r="AE123" i="3"/>
  <c r="AE121" i="3"/>
  <c r="AE126" i="3"/>
  <c r="AG126" i="3"/>
  <c r="AM126" i="3"/>
  <c r="AM125" i="3"/>
  <c r="AG122" i="3"/>
  <c r="AG125" i="3"/>
  <c r="AG124" i="3"/>
  <c r="AG123" i="3"/>
  <c r="AG121" i="3"/>
  <c r="L99" i="3"/>
  <c r="AF126" i="3"/>
  <c r="AF123" i="3"/>
  <c r="AF121" i="3"/>
  <c r="AL125" i="3"/>
  <c r="AF125" i="3"/>
  <c r="AF124" i="3"/>
  <c r="AF122" i="3"/>
  <c r="AL126" i="3"/>
  <c r="K90" i="3"/>
  <c r="I24" i="27" s="1"/>
  <c r="M90" i="3"/>
  <c r="K24" i="27" s="1"/>
  <c r="G117" i="3"/>
  <c r="L117" i="3"/>
  <c r="K117" i="3"/>
  <c r="J117" i="3"/>
  <c r="H117" i="3"/>
  <c r="N117" i="3"/>
  <c r="K99" i="3"/>
  <c r="G99" i="3"/>
  <c r="M99" i="3"/>
  <c r="N99" i="3"/>
  <c r="H99" i="3"/>
  <c r="I99" i="3"/>
  <c r="AP42" i="4"/>
  <c r="AO42" i="4"/>
  <c r="AU42" i="4"/>
  <c r="AK42" i="4"/>
  <c r="AR42" i="4"/>
  <c r="AT42" i="4"/>
  <c r="AS42" i="4"/>
  <c r="AQ42" i="4"/>
  <c r="AL42" i="4"/>
  <c r="AM42" i="4"/>
  <c r="AN42" i="4"/>
  <c r="C33" i="27"/>
  <c r="AN39" i="4"/>
  <c r="AT39" i="4"/>
  <c r="AR39" i="4"/>
  <c r="AU39" i="4"/>
  <c r="AS39" i="4"/>
  <c r="AO39" i="4"/>
  <c r="AP39" i="4"/>
  <c r="AQ39" i="4"/>
  <c r="AM39" i="4"/>
  <c r="AL39" i="4"/>
  <c r="AK39" i="4"/>
  <c r="AL47" i="4"/>
  <c r="AS46" i="4"/>
  <c r="AU46" i="4"/>
  <c r="AM47" i="4"/>
  <c r="AN46" i="4"/>
  <c r="AM46" i="4"/>
  <c r="AL46" i="4"/>
  <c r="AQ46" i="4"/>
  <c r="AT47" i="4"/>
  <c r="AO46" i="4"/>
  <c r="AP47" i="4"/>
  <c r="AR47" i="4"/>
  <c r="AS47" i="4"/>
  <c r="AK47" i="4"/>
  <c r="AU47" i="4"/>
  <c r="AQ47" i="4"/>
  <c r="AN47" i="4"/>
  <c r="AR46" i="4"/>
  <c r="AK46" i="4"/>
  <c r="AP46" i="4"/>
  <c r="AO47" i="4"/>
  <c r="AT46" i="4"/>
  <c r="C46" i="27"/>
  <c r="E46" i="27" s="1"/>
  <c r="E38" i="4"/>
  <c r="AT38" i="4"/>
  <c r="AM38" i="4"/>
  <c r="AN38" i="4"/>
  <c r="AP38" i="4"/>
  <c r="AK38" i="4"/>
  <c r="AU38" i="4"/>
  <c r="AO38" i="4"/>
  <c r="AL38" i="4"/>
  <c r="AS38" i="4"/>
  <c r="AR38" i="4"/>
  <c r="AQ38" i="4"/>
  <c r="C20" i="27"/>
  <c r="K86" i="3"/>
  <c r="M86" i="3"/>
  <c r="L86" i="3"/>
  <c r="L90" i="3" l="1"/>
  <c r="J24" i="27" s="1"/>
  <c r="G89" i="3"/>
  <c r="Y31" i="27"/>
  <c r="AB31" i="27" s="1"/>
  <c r="S26" i="27"/>
  <c r="V26" i="27" s="1"/>
  <c r="G90" i="3"/>
  <c r="E24" i="27" s="1"/>
  <c r="O90" i="3"/>
  <c r="M24" i="27" s="1"/>
  <c r="H89" i="3"/>
  <c r="AO59" i="4"/>
  <c r="J116" i="3"/>
  <c r="H116" i="3"/>
  <c r="G116" i="3"/>
  <c r="AS59" i="4"/>
  <c r="N115" i="3"/>
  <c r="L49" i="27" s="1"/>
  <c r="O115" i="3"/>
  <c r="M49" i="27" s="1"/>
  <c r="M115" i="3"/>
  <c r="K49" i="27" s="1"/>
  <c r="AP59" i="4"/>
  <c r="AN59" i="4"/>
  <c r="AU59" i="4"/>
  <c r="AL59" i="4"/>
  <c r="L103" i="3"/>
  <c r="M103" i="3"/>
  <c r="J103" i="3"/>
  <c r="C37" i="27"/>
  <c r="T29" i="27" s="1"/>
  <c r="W29" i="27" s="1"/>
  <c r="G103" i="3"/>
  <c r="O103" i="3"/>
  <c r="K103" i="3"/>
  <c r="N103" i="3"/>
  <c r="L89" i="3"/>
  <c r="N106" i="3"/>
  <c r="L106" i="3"/>
  <c r="M106" i="3"/>
  <c r="H106" i="3"/>
  <c r="G106" i="3"/>
  <c r="O106" i="3"/>
  <c r="I106" i="3"/>
  <c r="J106" i="3"/>
  <c r="C40" i="27"/>
  <c r="K106" i="3"/>
  <c r="G115" i="3"/>
  <c r="E49" i="27" s="1"/>
  <c r="I103" i="3"/>
  <c r="M89" i="3"/>
  <c r="I89" i="3"/>
  <c r="O79" i="3"/>
  <c r="K79" i="3"/>
  <c r="C13" i="27"/>
  <c r="M79" i="3"/>
  <c r="H79" i="3"/>
  <c r="G79" i="3"/>
  <c r="J79" i="3"/>
  <c r="I79" i="3"/>
  <c r="L79" i="3"/>
  <c r="N79" i="3"/>
  <c r="H93" i="3"/>
  <c r="O93" i="3"/>
  <c r="N93" i="3"/>
  <c r="G93" i="3"/>
  <c r="J93" i="3"/>
  <c r="I93" i="3"/>
  <c r="L93" i="3"/>
  <c r="C27" i="27"/>
  <c r="K93" i="3"/>
  <c r="M93" i="3"/>
  <c r="C50" i="27"/>
  <c r="H50" i="27" s="1"/>
  <c r="N116" i="3"/>
  <c r="O116" i="3"/>
  <c r="AQ59" i="4"/>
  <c r="L115" i="3"/>
  <c r="J49" i="27" s="1"/>
  <c r="N90" i="3"/>
  <c r="L24" i="27" s="1"/>
  <c r="H103" i="3"/>
  <c r="M116" i="3"/>
  <c r="C25" i="27"/>
  <c r="I91" i="3"/>
  <c r="G25" i="27" s="1"/>
  <c r="K91" i="3"/>
  <c r="H91" i="3"/>
  <c r="O91" i="3"/>
  <c r="J91" i="3"/>
  <c r="M91" i="3"/>
  <c r="L91" i="3"/>
  <c r="G91" i="3"/>
  <c r="E25" i="27" s="1"/>
  <c r="N91" i="3"/>
  <c r="L25" i="27" s="1"/>
  <c r="K94" i="3"/>
  <c r="N94" i="3"/>
  <c r="G94" i="3"/>
  <c r="C28" i="27"/>
  <c r="I28" i="27" s="1"/>
  <c r="J94" i="3"/>
  <c r="I94" i="3"/>
  <c r="O94" i="3"/>
  <c r="H94" i="3"/>
  <c r="L94" i="3"/>
  <c r="M94" i="3"/>
  <c r="L107" i="3"/>
  <c r="K107" i="3"/>
  <c r="H107" i="3"/>
  <c r="N107" i="3"/>
  <c r="G107" i="3"/>
  <c r="C41" i="27"/>
  <c r="M107" i="3"/>
  <c r="I107" i="3"/>
  <c r="O107" i="3"/>
  <c r="J107" i="3"/>
  <c r="C36" i="27"/>
  <c r="G36" i="27" s="1"/>
  <c r="J102" i="3"/>
  <c r="O102" i="3"/>
  <c r="K89" i="3"/>
  <c r="C23" i="27"/>
  <c r="H23" i="27" s="1"/>
  <c r="N89" i="3"/>
  <c r="L23" i="27" s="1"/>
  <c r="AM59" i="4"/>
  <c r="C18" i="27"/>
  <c r="N84" i="3"/>
  <c r="H84" i="3"/>
  <c r="K84" i="3"/>
  <c r="J84" i="3"/>
  <c r="L84" i="3"/>
  <c r="G84" i="3"/>
  <c r="O84" i="3"/>
  <c r="I84" i="3"/>
  <c r="G18" i="27" s="1"/>
  <c r="M84" i="3"/>
  <c r="O97" i="3"/>
  <c r="I97" i="3"/>
  <c r="N97" i="3"/>
  <c r="H97" i="3"/>
  <c r="J97" i="3"/>
  <c r="G97" i="3"/>
  <c r="K97" i="3"/>
  <c r="L97" i="3"/>
  <c r="C31" i="27"/>
  <c r="M97" i="3"/>
  <c r="K31" i="27" s="1"/>
  <c r="H102" i="3"/>
  <c r="C26" i="27"/>
  <c r="H92" i="3"/>
  <c r="K92" i="3"/>
  <c r="L92" i="3"/>
  <c r="N92" i="3"/>
  <c r="M92" i="3"/>
  <c r="O92" i="3"/>
  <c r="G92" i="3"/>
  <c r="I92" i="3"/>
  <c r="G26" i="27" s="1"/>
  <c r="J92" i="3"/>
  <c r="C29" i="27"/>
  <c r="G95" i="3"/>
  <c r="L95" i="3"/>
  <c r="I95" i="3"/>
  <c r="O95" i="3"/>
  <c r="N95" i="3"/>
  <c r="J95" i="3"/>
  <c r="M95" i="3"/>
  <c r="H95" i="3"/>
  <c r="K95" i="3"/>
  <c r="AT59" i="4"/>
  <c r="I115" i="3"/>
  <c r="G49" i="27" s="1"/>
  <c r="H90" i="3"/>
  <c r="F24" i="27" s="1"/>
  <c r="K102" i="3"/>
  <c r="I116" i="3"/>
  <c r="G102" i="3"/>
  <c r="O81" i="3"/>
  <c r="I81" i="3"/>
  <c r="G15" i="27" s="1"/>
  <c r="M81" i="3"/>
  <c r="H81" i="3"/>
  <c r="G81" i="3"/>
  <c r="N81" i="3"/>
  <c r="K81" i="3"/>
  <c r="L81" i="3"/>
  <c r="J81" i="3"/>
  <c r="C15" i="27"/>
  <c r="O96" i="3"/>
  <c r="H96" i="3"/>
  <c r="G96" i="3"/>
  <c r="K96" i="3"/>
  <c r="C30" i="27"/>
  <c r="J96" i="3"/>
  <c r="L96" i="3"/>
  <c r="N96" i="3"/>
  <c r="I96" i="3"/>
  <c r="M96" i="3"/>
  <c r="C51" i="27"/>
  <c r="E51" i="27" s="1"/>
  <c r="O117" i="3"/>
  <c r="M117" i="3"/>
  <c r="I117" i="3"/>
  <c r="C44" i="27"/>
  <c r="G110" i="3"/>
  <c r="E44" i="27" s="1"/>
  <c r="L110" i="3"/>
  <c r="K110" i="3"/>
  <c r="I44" i="27" s="1"/>
  <c r="M110" i="3"/>
  <c r="K44" i="27" s="1"/>
  <c r="N110" i="3"/>
  <c r="L44" i="27" s="1"/>
  <c r="H110" i="3"/>
  <c r="I110" i="3"/>
  <c r="O110" i="3"/>
  <c r="M44" i="27" s="1"/>
  <c r="J110" i="3"/>
  <c r="H44" i="27" s="1"/>
  <c r="N83" i="3"/>
  <c r="L83" i="3"/>
  <c r="H83" i="3"/>
  <c r="G83" i="3"/>
  <c r="O83" i="3"/>
  <c r="M83" i="3"/>
  <c r="C17" i="27"/>
  <c r="J83" i="3"/>
  <c r="I83" i="3"/>
  <c r="K83" i="3"/>
  <c r="I17" i="27" s="1"/>
  <c r="H108" i="3"/>
  <c r="F42" i="27" s="1"/>
  <c r="M108" i="3"/>
  <c r="N108" i="3"/>
  <c r="J108" i="3"/>
  <c r="G108" i="3"/>
  <c r="C42" i="27"/>
  <c r="K108" i="3"/>
  <c r="O108" i="3"/>
  <c r="L108" i="3"/>
  <c r="J42" i="27" s="1"/>
  <c r="I108" i="3"/>
  <c r="J115" i="3"/>
  <c r="H49" i="27" s="1"/>
  <c r="K115" i="3"/>
  <c r="I49" i="27" s="1"/>
  <c r="O89" i="3"/>
  <c r="N102" i="3"/>
  <c r="C14" i="27"/>
  <c r="K80" i="3"/>
  <c r="N80" i="3"/>
  <c r="J80" i="3"/>
  <c r="G80" i="3"/>
  <c r="M80" i="3"/>
  <c r="O80" i="3"/>
  <c r="H80" i="3"/>
  <c r="L80" i="3"/>
  <c r="I80" i="3"/>
  <c r="G109" i="3"/>
  <c r="K109" i="3"/>
  <c r="M109" i="3"/>
  <c r="I109" i="3"/>
  <c r="O109" i="3"/>
  <c r="H109" i="3"/>
  <c r="L109" i="3"/>
  <c r="J109" i="3"/>
  <c r="N109" i="3"/>
  <c r="C43" i="27"/>
  <c r="AR59" i="4"/>
  <c r="H115" i="3"/>
  <c r="F49" i="27" s="1"/>
  <c r="I90" i="3"/>
  <c r="G24" i="27" s="1"/>
  <c r="J90" i="3"/>
  <c r="H24" i="27" s="1"/>
  <c r="L102" i="3"/>
  <c r="J36" i="27" s="1"/>
  <c r="K116" i="3"/>
  <c r="M102" i="3"/>
  <c r="G82" i="3"/>
  <c r="O82" i="3"/>
  <c r="M82" i="3"/>
  <c r="J82" i="3"/>
  <c r="C16" i="27"/>
  <c r="K82" i="3"/>
  <c r="N82" i="3"/>
  <c r="L82" i="3"/>
  <c r="I82" i="3"/>
  <c r="H82" i="3"/>
  <c r="C38" i="27"/>
  <c r="M104" i="3"/>
  <c r="N104" i="3"/>
  <c r="J104" i="3"/>
  <c r="H38" i="27" s="1"/>
  <c r="L104" i="3"/>
  <c r="K104" i="3"/>
  <c r="I38" i="27" s="1"/>
  <c r="H104" i="3"/>
  <c r="G104" i="3"/>
  <c r="I104" i="3"/>
  <c r="G38" i="27" s="1"/>
  <c r="O104" i="3"/>
  <c r="M38" i="27" s="1"/>
  <c r="L105" i="3"/>
  <c r="H105" i="3"/>
  <c r="O105" i="3"/>
  <c r="C39" i="27"/>
  <c r="I105" i="3"/>
  <c r="G39" i="27" s="1"/>
  <c r="M105" i="3"/>
  <c r="K105" i="3"/>
  <c r="J105" i="3"/>
  <c r="N105" i="3"/>
  <c r="G105" i="3"/>
  <c r="H33" i="27"/>
  <c r="AL34" i="33"/>
  <c r="AP35" i="33"/>
  <c r="AR34" i="33"/>
  <c r="AN35" i="33"/>
  <c r="AQ34" i="33"/>
  <c r="AN34" i="33"/>
  <c r="AK34" i="33"/>
  <c r="AO35" i="33"/>
  <c r="AM35" i="33"/>
  <c r="AO34" i="33"/>
  <c r="AK35" i="33"/>
  <c r="AR35" i="33"/>
  <c r="AQ35" i="33"/>
  <c r="AP34" i="33"/>
  <c r="AL35" i="33"/>
  <c r="AM34" i="33"/>
  <c r="AT34" i="33"/>
  <c r="AT35" i="33"/>
  <c r="AS34" i="33"/>
  <c r="AU34" i="33"/>
  <c r="AS35" i="33"/>
  <c r="AU35" i="33"/>
  <c r="AO31" i="33"/>
  <c r="AN31" i="33"/>
  <c r="AM31" i="33"/>
  <c r="AL31" i="33"/>
  <c r="AK31" i="33"/>
  <c r="AR31" i="33"/>
  <c r="AQ31" i="33"/>
  <c r="AP31" i="33"/>
  <c r="AT31" i="33"/>
  <c r="AU31" i="33"/>
  <c r="AS31" i="33"/>
  <c r="F33" i="27"/>
  <c r="AG130" i="3"/>
  <c r="AG139" i="3"/>
  <c r="AJ121" i="3"/>
  <c r="AI121" i="3"/>
  <c r="AF139" i="3"/>
  <c r="AF130" i="3"/>
  <c r="AJ125" i="3"/>
  <c r="AG134" i="3"/>
  <c r="AG143" i="3"/>
  <c r="AN125" i="3"/>
  <c r="AK143" i="3"/>
  <c r="AK134" i="3"/>
  <c r="AE144" i="3"/>
  <c r="AH126" i="3"/>
  <c r="AE135" i="3"/>
  <c r="AE139" i="3"/>
  <c r="AE130" i="3"/>
  <c r="AH121" i="3"/>
  <c r="AE132" i="3"/>
  <c r="AE141" i="3"/>
  <c r="AH123" i="3"/>
  <c r="S28" i="27"/>
  <c r="V28" i="27" s="1"/>
  <c r="AJ122" i="3"/>
  <c r="AG140" i="3"/>
  <c r="AG131" i="3"/>
  <c r="L33" i="27"/>
  <c r="AI126" i="3"/>
  <c r="AF135" i="3"/>
  <c r="AF144" i="3"/>
  <c r="AM134" i="3"/>
  <c r="AM143" i="3"/>
  <c r="AP125" i="3"/>
  <c r="AE140" i="3"/>
  <c r="AE131" i="3"/>
  <c r="AH122" i="3"/>
  <c r="S27" i="27"/>
  <c r="V27" i="27" s="1"/>
  <c r="AF142" i="3"/>
  <c r="AI124" i="3"/>
  <c r="AF133" i="3"/>
  <c r="AG132" i="3"/>
  <c r="AG141" i="3"/>
  <c r="AJ123" i="3"/>
  <c r="AG133" i="3"/>
  <c r="AJ124" i="3"/>
  <c r="AG142" i="3"/>
  <c r="AE143" i="3"/>
  <c r="AH125" i="3"/>
  <c r="AE134" i="3"/>
  <c r="AO126" i="3"/>
  <c r="AL144" i="3"/>
  <c r="AL135" i="3"/>
  <c r="AM144" i="3"/>
  <c r="AM135" i="3"/>
  <c r="AP126" i="3"/>
  <c r="AE133" i="3"/>
  <c r="S38" i="27" s="1"/>
  <c r="AH124" i="3"/>
  <c r="AE142" i="3"/>
  <c r="S47" i="27" s="1"/>
  <c r="S31" i="27"/>
  <c r="AF143" i="3"/>
  <c r="AI125" i="3"/>
  <c r="AF134" i="3"/>
  <c r="AO125" i="3"/>
  <c r="AL143" i="3"/>
  <c r="AL134" i="3"/>
  <c r="AF132" i="3"/>
  <c r="AI123" i="3"/>
  <c r="AF141" i="3"/>
  <c r="S30" i="27"/>
  <c r="V30" i="27" s="1"/>
  <c r="Y30" i="27"/>
  <c r="AB30" i="27" s="1"/>
  <c r="AF140" i="3"/>
  <c r="AF131" i="3"/>
  <c r="AI122" i="3"/>
  <c r="AG144" i="3"/>
  <c r="AG135" i="3"/>
  <c r="AJ126" i="3"/>
  <c r="AN126" i="3"/>
  <c r="AK135" i="3"/>
  <c r="AK144" i="3"/>
  <c r="E33" i="27"/>
  <c r="AN57" i="4"/>
  <c r="AP57" i="4"/>
  <c r="AM61" i="4"/>
  <c r="AR61" i="4"/>
  <c r="AM57" i="4"/>
  <c r="AO57" i="4"/>
  <c r="AL61" i="4"/>
  <c r="AT61" i="4"/>
  <c r="AS57" i="4"/>
  <c r="K33" i="27"/>
  <c r="AN61" i="4"/>
  <c r="AT57" i="4"/>
  <c r="AL57" i="4"/>
  <c r="L46" i="27"/>
  <c r="AU57" i="4"/>
  <c r="I46" i="27"/>
  <c r="G33" i="27"/>
  <c r="AP61" i="4"/>
  <c r="K46" i="27"/>
  <c r="I33" i="27"/>
  <c r="AO61" i="4"/>
  <c r="AS61" i="4"/>
  <c r="AR38" i="33"/>
  <c r="AQ38" i="33"/>
  <c r="AP38" i="33"/>
  <c r="AO38" i="33"/>
  <c r="AN38" i="33"/>
  <c r="AL38" i="33"/>
  <c r="AK38" i="33"/>
  <c r="AM38" i="33"/>
  <c r="AT38" i="33"/>
  <c r="AS38" i="33"/>
  <c r="AU38" i="33"/>
  <c r="AK37" i="33"/>
  <c r="AT37" i="33"/>
  <c r="AM37" i="33"/>
  <c r="AP37" i="33"/>
  <c r="AN37" i="33"/>
  <c r="AL37" i="33"/>
  <c r="AS37" i="33"/>
  <c r="AR37" i="33"/>
  <c r="AU37" i="33"/>
  <c r="AQ37" i="33"/>
  <c r="AO37" i="33"/>
  <c r="AQ57" i="4"/>
  <c r="G46" i="27"/>
  <c r="H46" i="27"/>
  <c r="O112" i="3"/>
  <c r="AK61" i="4"/>
  <c r="AU61" i="4"/>
  <c r="AO33" i="33"/>
  <c r="AU33" i="33"/>
  <c r="AP33" i="33"/>
  <c r="AN33" i="33"/>
  <c r="AS33" i="33"/>
  <c r="AT33" i="33"/>
  <c r="AM33" i="33"/>
  <c r="AL33" i="33"/>
  <c r="AQ33" i="33"/>
  <c r="AK33" i="33"/>
  <c r="AR33" i="33"/>
  <c r="O99" i="3"/>
  <c r="AK59" i="4"/>
  <c r="AR57" i="4"/>
  <c r="F46" i="27"/>
  <c r="J33" i="27"/>
  <c r="AQ61" i="4"/>
  <c r="J46" i="27"/>
  <c r="G20" i="27"/>
  <c r="AM30" i="33"/>
  <c r="AR30" i="33"/>
  <c r="AL30" i="33"/>
  <c r="AK30" i="33"/>
  <c r="AQ30" i="33"/>
  <c r="AP30" i="33"/>
  <c r="AO30" i="33"/>
  <c r="AN30" i="33"/>
  <c r="AT30" i="33"/>
  <c r="AU30" i="33"/>
  <c r="AS30" i="33"/>
  <c r="K20" i="27"/>
  <c r="J20" i="27"/>
  <c r="H20" i="27"/>
  <c r="R33" i="4"/>
  <c r="P38" i="4"/>
  <c r="L20" i="27"/>
  <c r="E20" i="27"/>
  <c r="I20" i="27"/>
  <c r="AK57" i="4"/>
  <c r="O86" i="3"/>
  <c r="AK29" i="33"/>
  <c r="AM29" i="33"/>
  <c r="AS29" i="33"/>
  <c r="AP29" i="33"/>
  <c r="AR29" i="33"/>
  <c r="AT29" i="33"/>
  <c r="AL29" i="33"/>
  <c r="AN29" i="33"/>
  <c r="AO29" i="33"/>
  <c r="AU29" i="33"/>
  <c r="AQ29" i="33"/>
  <c r="F20" i="27"/>
  <c r="K30" i="27" l="1"/>
  <c r="I30" i="27"/>
  <c r="L29" i="27"/>
  <c r="L31" i="27"/>
  <c r="J40" i="27"/>
  <c r="K38" i="27"/>
  <c r="J14" i="27"/>
  <c r="F17" i="27"/>
  <c r="E30" i="27"/>
  <c r="M29" i="27"/>
  <c r="G42" i="27"/>
  <c r="J17" i="27"/>
  <c r="L30" i="27"/>
  <c r="F30" i="27"/>
  <c r="I29" i="27"/>
  <c r="G29" i="27"/>
  <c r="I31" i="27"/>
  <c r="H18" i="27"/>
  <c r="J30" i="27"/>
  <c r="E15" i="27"/>
  <c r="F29" i="27"/>
  <c r="I18" i="27"/>
  <c r="K42" i="27"/>
  <c r="E29" i="27"/>
  <c r="I40" i="27"/>
  <c r="M39" i="27"/>
  <c r="M42" i="27"/>
  <c r="E39" i="27"/>
  <c r="F39" i="27"/>
  <c r="I16" i="27"/>
  <c r="J43" i="27"/>
  <c r="I42" i="27"/>
  <c r="J29" i="27"/>
  <c r="J31" i="27"/>
  <c r="K18" i="27"/>
  <c r="L18" i="27"/>
  <c r="I27" i="27"/>
  <c r="M13" i="27"/>
  <c r="K40" i="27"/>
  <c r="E16" i="27"/>
  <c r="F43" i="27"/>
  <c r="I41" i="27"/>
  <c r="H39" i="27"/>
  <c r="J41" i="27"/>
  <c r="H42" i="27"/>
  <c r="K29" i="27"/>
  <c r="L39" i="27"/>
  <c r="H41" i="27"/>
  <c r="M43" i="27"/>
  <c r="E42" i="27"/>
  <c r="M41" i="27"/>
  <c r="K39" i="27"/>
  <c r="K43" i="27"/>
  <c r="L42" i="27"/>
  <c r="M30" i="27"/>
  <c r="H29" i="27"/>
  <c r="F31" i="27"/>
  <c r="J18" i="27"/>
  <c r="M25" i="27"/>
  <c r="H25" i="27"/>
  <c r="S44" i="27"/>
  <c r="S35" i="27"/>
  <c r="L38" i="27"/>
  <c r="L36" i="27"/>
  <c r="K36" i="27"/>
  <c r="M36" i="27"/>
  <c r="J38" i="27"/>
  <c r="H36" i="27"/>
  <c r="E36" i="27"/>
  <c r="F38" i="27"/>
  <c r="I36" i="27"/>
  <c r="F36" i="27"/>
  <c r="Z30" i="27"/>
  <c r="AC30" i="27" s="1"/>
  <c r="Z31" i="27"/>
  <c r="AC31" i="27" s="1"/>
  <c r="E38" i="27"/>
  <c r="U31" i="27"/>
  <c r="U49" i="27" s="1"/>
  <c r="AA31" i="27"/>
  <c r="AA49" i="27" s="1"/>
  <c r="G50" i="27"/>
  <c r="M50" i="27"/>
  <c r="J155" i="3"/>
  <c r="J157" i="3" s="1"/>
  <c r="J158" i="3" s="1"/>
  <c r="G163" i="3" s="1"/>
  <c r="B16" i="12" s="1"/>
  <c r="D16" i="12" s="1"/>
  <c r="M51" i="27"/>
  <c r="N155" i="3"/>
  <c r="N157" i="3" s="1"/>
  <c r="N158" i="3" s="1"/>
  <c r="G166" i="3" s="1"/>
  <c r="B19" i="12" s="1"/>
  <c r="F19" i="12" s="1"/>
  <c r="L50" i="27"/>
  <c r="I50" i="27"/>
  <c r="AA30" i="27"/>
  <c r="AD30" i="27" s="1"/>
  <c r="U28" i="27"/>
  <c r="U37" i="27" s="1"/>
  <c r="F50" i="27"/>
  <c r="K155" i="3"/>
  <c r="K157" i="3" s="1"/>
  <c r="K158" i="3" s="1"/>
  <c r="G164" i="3" s="1"/>
  <c r="B17" i="12" s="1"/>
  <c r="D17" i="12" s="1"/>
  <c r="U27" i="27"/>
  <c r="U36" i="27" s="1"/>
  <c r="U26" i="27"/>
  <c r="U44" i="27" s="1"/>
  <c r="K50" i="27"/>
  <c r="U30" i="27"/>
  <c r="X30" i="27" s="1"/>
  <c r="J50" i="27"/>
  <c r="U29" i="27"/>
  <c r="X29" i="27" s="1"/>
  <c r="E50" i="27"/>
  <c r="AM50" i="33"/>
  <c r="E28" i="27"/>
  <c r="F27" i="27"/>
  <c r="L13" i="27"/>
  <c r="I13" i="27"/>
  <c r="L40" i="27"/>
  <c r="H37" i="27"/>
  <c r="M155" i="3"/>
  <c r="M157" i="3" s="1"/>
  <c r="M158" i="3" s="1"/>
  <c r="G167" i="3" s="1"/>
  <c r="B20" i="12" s="1"/>
  <c r="T31" i="27"/>
  <c r="W31" i="27" s="1"/>
  <c r="H16" i="27"/>
  <c r="M14" i="27"/>
  <c r="M23" i="27"/>
  <c r="G17" i="27"/>
  <c r="L17" i="27"/>
  <c r="F15" i="27"/>
  <c r="M26" i="27"/>
  <c r="I23" i="27"/>
  <c r="G41" i="27"/>
  <c r="K28" i="27"/>
  <c r="L28" i="27"/>
  <c r="F25" i="27"/>
  <c r="F51" i="27"/>
  <c r="J27" i="27"/>
  <c r="J13" i="27"/>
  <c r="H40" i="27"/>
  <c r="J23" i="27"/>
  <c r="K37" i="27"/>
  <c r="I39" i="27"/>
  <c r="K16" i="27"/>
  <c r="G43" i="27"/>
  <c r="K14" i="27"/>
  <c r="H17" i="27"/>
  <c r="J44" i="27"/>
  <c r="G30" i="27"/>
  <c r="K15" i="27"/>
  <c r="H51" i="27"/>
  <c r="K26" i="27"/>
  <c r="G31" i="27"/>
  <c r="M31" i="27"/>
  <c r="F18" i="27"/>
  <c r="I51" i="27"/>
  <c r="K41" i="27"/>
  <c r="J28" i="27"/>
  <c r="I25" i="27"/>
  <c r="G27" i="27"/>
  <c r="G13" i="27"/>
  <c r="G23" i="27"/>
  <c r="G40" i="27"/>
  <c r="J37" i="27"/>
  <c r="L155" i="3"/>
  <c r="L157" i="3" s="1"/>
  <c r="L158" i="3" s="1"/>
  <c r="G165" i="3" s="1"/>
  <c r="B18" i="12" s="1"/>
  <c r="D18" i="12" s="1"/>
  <c r="F14" i="27"/>
  <c r="E26" i="27"/>
  <c r="T28" i="27"/>
  <c r="W28" i="27" s="1"/>
  <c r="T26" i="27"/>
  <c r="W26" i="27" s="1"/>
  <c r="M16" i="27"/>
  <c r="E14" i="27"/>
  <c r="L15" i="27"/>
  <c r="L26" i="27"/>
  <c r="H13" i="27"/>
  <c r="M40" i="27"/>
  <c r="I155" i="3"/>
  <c r="I157" i="3" s="1"/>
  <c r="I158" i="3" s="1"/>
  <c r="G162" i="3" s="1"/>
  <c r="B15" i="12" s="1"/>
  <c r="D15" i="12" s="1"/>
  <c r="G16" i="27"/>
  <c r="I43" i="27"/>
  <c r="K17" i="27"/>
  <c r="H15" i="27"/>
  <c r="J26" i="27"/>
  <c r="E41" i="27"/>
  <c r="E27" i="27"/>
  <c r="G37" i="27"/>
  <c r="I37" i="27"/>
  <c r="T27" i="27"/>
  <c r="W27" i="27" s="1"/>
  <c r="J39" i="27"/>
  <c r="J16" i="27"/>
  <c r="L43" i="27"/>
  <c r="E43" i="27"/>
  <c r="L14" i="27"/>
  <c r="L51" i="27"/>
  <c r="M17" i="27"/>
  <c r="G44" i="27"/>
  <c r="G51" i="27"/>
  <c r="H30" i="27"/>
  <c r="J15" i="27"/>
  <c r="I26" i="27"/>
  <c r="E31" i="27"/>
  <c r="M18" i="27"/>
  <c r="J51" i="27"/>
  <c r="L41" i="27"/>
  <c r="G28" i="27"/>
  <c r="J25" i="27"/>
  <c r="L27" i="27"/>
  <c r="F13" i="27"/>
  <c r="F40" i="27"/>
  <c r="M37" i="27"/>
  <c r="T30" i="27"/>
  <c r="W30" i="27" s="1"/>
  <c r="F16" i="27"/>
  <c r="F28" i="27"/>
  <c r="H27" i="27"/>
  <c r="K23" i="27"/>
  <c r="L37" i="27"/>
  <c r="H14" i="27"/>
  <c r="M15" i="27"/>
  <c r="M28" i="27"/>
  <c r="E13" i="27"/>
  <c r="E40" i="27"/>
  <c r="E23" i="27"/>
  <c r="E120" i="3"/>
  <c r="D34" i="31" s="1"/>
  <c r="L16" i="27"/>
  <c r="H43" i="27"/>
  <c r="G14" i="27"/>
  <c r="I14" i="27"/>
  <c r="E17" i="27"/>
  <c r="F44" i="27"/>
  <c r="K51" i="27"/>
  <c r="I15" i="27"/>
  <c r="H26" i="27"/>
  <c r="F26" i="27"/>
  <c r="H31" i="27"/>
  <c r="E18" i="27"/>
  <c r="F23" i="27"/>
  <c r="F41" i="27"/>
  <c r="H28" i="27"/>
  <c r="K25" i="27"/>
  <c r="F37" i="27"/>
  <c r="K27" i="27"/>
  <c r="M27" i="27"/>
  <c r="K13" i="27"/>
  <c r="E37" i="27"/>
  <c r="AN50" i="33"/>
  <c r="AP50" i="33"/>
  <c r="AR50" i="33"/>
  <c r="AO50" i="33"/>
  <c r="AT50" i="33"/>
  <c r="AO48" i="33"/>
  <c r="AQ50" i="33"/>
  <c r="AU50" i="33"/>
  <c r="AL50" i="33"/>
  <c r="AS50" i="33"/>
  <c r="U45" i="27"/>
  <c r="E119" i="3"/>
  <c r="C119" i="3" s="1"/>
  <c r="E121" i="3"/>
  <c r="D35" i="31" s="1"/>
  <c r="S40" i="27"/>
  <c r="T47" i="27"/>
  <c r="AO66" i="4"/>
  <c r="J42" i="4" s="1"/>
  <c r="L42" i="4" s="1"/>
  <c r="AD152" i="4" s="1"/>
  <c r="V31" i="27"/>
  <c r="S49" i="27"/>
  <c r="Z49" i="27"/>
  <c r="AH139" i="3"/>
  <c r="V44" i="27" s="1"/>
  <c r="AH130" i="3"/>
  <c r="V35" i="27" s="1"/>
  <c r="AO135" i="3"/>
  <c r="AO144" i="3"/>
  <c r="AC49" i="27" s="1"/>
  <c r="U46" i="27"/>
  <c r="X28" i="27"/>
  <c r="AJ131" i="3"/>
  <c r="AJ140" i="3"/>
  <c r="Y48" i="27"/>
  <c r="S39" i="27"/>
  <c r="AJ141" i="3"/>
  <c r="AJ132" i="3"/>
  <c r="AN134" i="3"/>
  <c r="AB39" i="27" s="1"/>
  <c r="AN143" i="3"/>
  <c r="AB48" i="27" s="1"/>
  <c r="AI130" i="3"/>
  <c r="AI139" i="3"/>
  <c r="X31" i="27"/>
  <c r="AJ133" i="3"/>
  <c r="AJ142" i="3"/>
  <c r="AI142" i="3"/>
  <c r="W47" i="27" s="1"/>
  <c r="AI133" i="3"/>
  <c r="W38" i="27" s="1"/>
  <c r="AJ144" i="3"/>
  <c r="AJ135" i="3"/>
  <c r="AO134" i="3"/>
  <c r="AO143" i="3"/>
  <c r="E122" i="3"/>
  <c r="AP135" i="3"/>
  <c r="AP144" i="3"/>
  <c r="AH141" i="3"/>
  <c r="V46" i="27" s="1"/>
  <c r="AH132" i="3"/>
  <c r="V37" i="27" s="1"/>
  <c r="U48" i="27"/>
  <c r="AI141" i="3"/>
  <c r="AI132" i="3"/>
  <c r="W37" i="27" s="1"/>
  <c r="AI143" i="3"/>
  <c r="AI134" i="3"/>
  <c r="S48" i="27"/>
  <c r="S36" i="27"/>
  <c r="AI144" i="3"/>
  <c r="AI135" i="3"/>
  <c r="S46" i="27"/>
  <c r="AJ139" i="3"/>
  <c r="AJ130" i="3"/>
  <c r="D33" i="31"/>
  <c r="Y39" i="27"/>
  <c r="U40" i="27"/>
  <c r="AH131" i="3"/>
  <c r="V36" i="27" s="1"/>
  <c r="AH140" i="3"/>
  <c r="V45" i="27" s="1"/>
  <c r="AI131" i="3"/>
  <c r="AI140" i="3"/>
  <c r="S45" i="27"/>
  <c r="S37" i="27"/>
  <c r="AH144" i="3"/>
  <c r="AH135" i="3"/>
  <c r="U39" i="27"/>
  <c r="AH133" i="3"/>
  <c r="V38" i="27" s="1"/>
  <c r="AH142" i="3"/>
  <c r="V47" i="27" s="1"/>
  <c r="AH143" i="3"/>
  <c r="V48" i="27" s="1"/>
  <c r="AH134" i="3"/>
  <c r="V39" i="27" s="1"/>
  <c r="Y49" i="27"/>
  <c r="AN135" i="3"/>
  <c r="AB40" i="27" s="1"/>
  <c r="AN144" i="3"/>
  <c r="AB49" i="27" s="1"/>
  <c r="T38" i="27"/>
  <c r="AP134" i="3"/>
  <c r="AP143" i="3"/>
  <c r="AD48" i="27" s="1"/>
  <c r="Y40" i="27"/>
  <c r="AJ134" i="3"/>
  <c r="AJ143" i="3"/>
  <c r="AN66" i="4"/>
  <c r="J41" i="4" s="1"/>
  <c r="L41" i="4" s="1"/>
  <c r="AD149" i="4" s="1"/>
  <c r="AP66" i="4"/>
  <c r="J43" i="4" s="1"/>
  <c r="L43" i="4" s="1"/>
  <c r="AD102" i="4" s="1"/>
  <c r="AM66" i="4"/>
  <c r="J40" i="4" s="1"/>
  <c r="L40" i="4" s="1"/>
  <c r="AD123" i="4" s="1"/>
  <c r="AR66" i="4"/>
  <c r="J45" i="4" s="1"/>
  <c r="L45" i="4" s="1"/>
  <c r="AD71" i="4" s="1"/>
  <c r="AS52" i="33"/>
  <c r="AL66" i="4"/>
  <c r="J39" i="4" s="1"/>
  <c r="L39" i="4" s="1"/>
  <c r="AD195" i="4" s="1"/>
  <c r="AT66" i="4"/>
  <c r="J47" i="4" s="1"/>
  <c r="L47" i="4" s="1"/>
  <c r="AD215" i="4" s="1"/>
  <c r="AS66" i="4"/>
  <c r="J46" i="4" s="1"/>
  <c r="L46" i="4" s="1"/>
  <c r="AD205" i="4" s="1"/>
  <c r="AN52" i="33"/>
  <c r="AL52" i="33"/>
  <c r="AK66" i="4"/>
  <c r="J38" i="4" s="1"/>
  <c r="L38" i="4" s="1"/>
  <c r="AD38" i="4" s="1"/>
  <c r="AU52" i="33"/>
  <c r="M46" i="27"/>
  <c r="AK52" i="33"/>
  <c r="AR52" i="33"/>
  <c r="AQ66" i="4"/>
  <c r="J44" i="4" s="1"/>
  <c r="L44" i="4" s="1"/>
  <c r="AD62" i="4" s="1"/>
  <c r="AP52" i="33"/>
  <c r="AU66" i="4"/>
  <c r="J48" i="4" s="1"/>
  <c r="L48" i="4" s="1"/>
  <c r="AD203" i="4" s="1"/>
  <c r="AN48" i="33"/>
  <c r="M33" i="27"/>
  <c r="AK50" i="33"/>
  <c r="AO52" i="33"/>
  <c r="AM52" i="33"/>
  <c r="O155" i="3"/>
  <c r="O157" i="3" s="1"/>
  <c r="O158" i="3" s="1"/>
  <c r="G170" i="3" s="1"/>
  <c r="B26" i="12" s="1"/>
  <c r="F26" i="12" s="1"/>
  <c r="AR48" i="33"/>
  <c r="AQ52" i="33"/>
  <c r="AT52" i="33"/>
  <c r="AL48" i="33"/>
  <c r="AT48" i="33"/>
  <c r="AM48" i="33"/>
  <c r="AU48" i="33"/>
  <c r="AP48" i="33"/>
  <c r="AQ48" i="33"/>
  <c r="AS48" i="33"/>
  <c r="AK48" i="33"/>
  <c r="M20" i="27"/>
  <c r="P39" i="4"/>
  <c r="P40" i="4" s="1"/>
  <c r="P41" i="4" s="1"/>
  <c r="P42" i="4" s="1"/>
  <c r="P43" i="4" s="1"/>
  <c r="P44" i="4" s="1"/>
  <c r="P45" i="4" s="1"/>
  <c r="P46" i="4" s="1"/>
  <c r="P47" i="4" s="1"/>
  <c r="P48" i="4" s="1"/>
  <c r="G29" i="33"/>
  <c r="S29" i="33" s="1"/>
  <c r="S30" i="33" s="1"/>
  <c r="S31" i="33" s="1"/>
  <c r="S32" i="33" s="1"/>
  <c r="S33" i="33" s="1"/>
  <c r="S34" i="33" s="1"/>
  <c r="S35" i="33" s="1"/>
  <c r="S36" i="33" s="1"/>
  <c r="S37" i="33" s="1"/>
  <c r="S38" i="33" s="1"/>
  <c r="S39" i="33" s="1"/>
  <c r="W54" i="27" l="1"/>
  <c r="C54" i="27" s="1"/>
  <c r="G54" i="27" s="1"/>
  <c r="C120" i="3"/>
  <c r="AC48" i="27"/>
  <c r="AD31" i="27"/>
  <c r="AD40" i="27" s="1"/>
  <c r="W35" i="27"/>
  <c r="T39" i="27"/>
  <c r="X27" i="27"/>
  <c r="X45" i="27" s="1"/>
  <c r="AA40" i="27"/>
  <c r="Z48" i="27"/>
  <c r="T48" i="27"/>
  <c r="T37" i="27"/>
  <c r="W39" i="27"/>
  <c r="AC40" i="27"/>
  <c r="Z40" i="27"/>
  <c r="AC39" i="27"/>
  <c r="Z39" i="27"/>
  <c r="T36" i="27"/>
  <c r="W48" i="27"/>
  <c r="D19" i="12"/>
  <c r="T35" i="27"/>
  <c r="W44" i="27"/>
  <c r="T44" i="27"/>
  <c r="W45" i="27"/>
  <c r="W40" i="27"/>
  <c r="W46" i="27"/>
  <c r="T40" i="27"/>
  <c r="F18" i="12"/>
  <c r="U38" i="27"/>
  <c r="AA39" i="27"/>
  <c r="AA48" i="27"/>
  <c r="T54" i="27" s="1"/>
  <c r="F54" i="27" s="1"/>
  <c r="AD39" i="27"/>
  <c r="F16" i="12"/>
  <c r="F17" i="12"/>
  <c r="X26" i="27"/>
  <c r="X35" i="27" s="1"/>
  <c r="U35" i="27"/>
  <c r="X47" i="27"/>
  <c r="U47" i="27"/>
  <c r="X38" i="27"/>
  <c r="T122" i="3"/>
  <c r="G122" i="3" s="1"/>
  <c r="T49" i="27"/>
  <c r="C121" i="3"/>
  <c r="T45" i="27"/>
  <c r="W49" i="27"/>
  <c r="T46" i="27"/>
  <c r="W36" i="27"/>
  <c r="F15" i="12"/>
  <c r="V49" i="27"/>
  <c r="AO57" i="33"/>
  <c r="L33" i="33" s="1"/>
  <c r="AD144" i="33" s="1"/>
  <c r="V40" i="27"/>
  <c r="V122" i="3"/>
  <c r="H122" i="3" s="1"/>
  <c r="X46" i="27"/>
  <c r="T120" i="3"/>
  <c r="G120" i="3" s="1"/>
  <c r="X48" i="27"/>
  <c r="X49" i="27"/>
  <c r="I54" i="27"/>
  <c r="J54" i="27"/>
  <c r="K54" i="27"/>
  <c r="H54" i="27"/>
  <c r="L54" i="27"/>
  <c r="M54" i="27"/>
  <c r="AD49" i="27"/>
  <c r="T56" i="27" s="1"/>
  <c r="F56" i="27" s="1"/>
  <c r="W56" i="27"/>
  <c r="C56" i="27" s="1"/>
  <c r="T121" i="3"/>
  <c r="G121" i="3" s="1"/>
  <c r="C122" i="3"/>
  <c r="D36" i="31"/>
  <c r="V121" i="3"/>
  <c r="H121" i="3" s="1"/>
  <c r="X39" i="27"/>
  <c r="X37" i="27"/>
  <c r="T119" i="3"/>
  <c r="G119" i="3" s="1"/>
  <c r="V120" i="3"/>
  <c r="H120" i="3" s="1"/>
  <c r="X40" i="27"/>
  <c r="V119" i="3"/>
  <c r="H119" i="3" s="1"/>
  <c r="AM57" i="33"/>
  <c r="L31" i="33" s="1"/>
  <c r="AD115" i="33" s="1"/>
  <c r="AS57" i="33"/>
  <c r="L37" i="33" s="1"/>
  <c r="AD197" i="33" s="1"/>
  <c r="AL57" i="33"/>
  <c r="L30" i="33" s="1"/>
  <c r="N30" i="33" s="1"/>
  <c r="AN57" i="33"/>
  <c r="L32" i="33" s="1"/>
  <c r="AP57" i="33"/>
  <c r="L34" i="33" s="1"/>
  <c r="N34" i="33" s="1"/>
  <c r="AU57" i="33"/>
  <c r="L39" i="33" s="1"/>
  <c r="AD195" i="33" s="1"/>
  <c r="AK57" i="33"/>
  <c r="L29" i="33" s="1"/>
  <c r="N29" i="33" s="1"/>
  <c r="AR57" i="33"/>
  <c r="L36" i="33" s="1"/>
  <c r="AD63" i="33" s="1"/>
  <c r="B25" i="12"/>
  <c r="G169" i="3" s="1"/>
  <c r="D26" i="12"/>
  <c r="AQ57" i="33"/>
  <c r="L35" i="33" s="1"/>
  <c r="N35" i="33" s="1"/>
  <c r="AT57" i="33"/>
  <c r="L38" i="33" s="1"/>
  <c r="X36" i="27" l="1"/>
  <c r="W55" i="27"/>
  <c r="C55" i="27" s="1"/>
  <c r="I55" i="27" s="1"/>
  <c r="R54" i="27"/>
  <c r="E54" i="27" s="1"/>
  <c r="R56" i="27"/>
  <c r="E56" i="27" s="1"/>
  <c r="X44" i="27"/>
  <c r="W53" i="27"/>
  <c r="C53" i="27" s="1"/>
  <c r="H53" i="27" s="1"/>
  <c r="N33" i="33"/>
  <c r="T53" i="27"/>
  <c r="F53" i="27" s="1"/>
  <c r="R55" i="27"/>
  <c r="E55" i="27" s="1"/>
  <c r="T55" i="27"/>
  <c r="F55" i="27" s="1"/>
  <c r="R53" i="27"/>
  <c r="E53" i="27" s="1"/>
  <c r="H155" i="3"/>
  <c r="H157" i="3" s="1"/>
  <c r="H158" i="3" s="1"/>
  <c r="G161" i="3" s="1"/>
  <c r="B14" i="12" s="1"/>
  <c r="D14" i="12" s="1"/>
  <c r="N31" i="33"/>
  <c r="J55" i="27"/>
  <c r="M55" i="27"/>
  <c r="H55" i="27"/>
  <c r="L55" i="27"/>
  <c r="K55" i="27"/>
  <c r="G56" i="27"/>
  <c r="I56" i="27"/>
  <c r="K56" i="27"/>
  <c r="J56" i="27"/>
  <c r="H56" i="27"/>
  <c r="L56" i="27"/>
  <c r="M56" i="27"/>
  <c r="G155" i="3"/>
  <c r="G157" i="3" s="1"/>
  <c r="G158" i="3" s="1"/>
  <c r="G160" i="3" s="1"/>
  <c r="B13" i="12" s="1"/>
  <c r="N37" i="33"/>
  <c r="AD187" i="33"/>
  <c r="AD30" i="33"/>
  <c r="AD94" i="33"/>
  <c r="N39" i="33"/>
  <c r="N32" i="33"/>
  <c r="AD141" i="33"/>
  <c r="D25" i="12"/>
  <c r="F25" i="12"/>
  <c r="N36" i="33"/>
  <c r="AD207" i="33"/>
  <c r="N38" i="33"/>
  <c r="AD54" i="33"/>
  <c r="G55" i="27" l="1"/>
  <c r="I53" i="27"/>
  <c r="L53" i="27"/>
  <c r="L89" i="27" s="1"/>
  <c r="L91" i="27" s="1"/>
  <c r="L92" i="27" s="1"/>
  <c r="E100" i="27" s="1"/>
  <c r="B20" i="30" s="1"/>
  <c r="D20" i="30" s="1"/>
  <c r="K53" i="27"/>
  <c r="K89" i="27" s="1"/>
  <c r="K91" i="27" s="1"/>
  <c r="K92" i="27" s="1"/>
  <c r="E101" i="27" s="1"/>
  <c r="B21" i="30" s="1"/>
  <c r="G53" i="27"/>
  <c r="G89" i="27" s="1"/>
  <c r="G91" i="27" s="1"/>
  <c r="G92" i="27" s="1"/>
  <c r="E96" i="27" s="1"/>
  <c r="B16" i="30" s="1"/>
  <c r="J53" i="27"/>
  <c r="J89" i="27" s="1"/>
  <c r="J91" i="27" s="1"/>
  <c r="J92" i="27" s="1"/>
  <c r="E99" i="27" s="1"/>
  <c r="B19" i="30" s="1"/>
  <c r="M53" i="27"/>
  <c r="M89" i="27" s="1"/>
  <c r="M91" i="27" s="1"/>
  <c r="M92" i="27" s="1"/>
  <c r="E104" i="27" s="1"/>
  <c r="B27" i="30" s="1"/>
  <c r="F27" i="30" s="1"/>
  <c r="E89" i="27"/>
  <c r="E91" i="27" s="1"/>
  <c r="E92" i="27" s="1"/>
  <c r="E94" i="27" s="1"/>
  <c r="B14" i="30" s="1"/>
  <c r="D14" i="30" s="1"/>
  <c r="F89" i="27"/>
  <c r="F91" i="27" s="1"/>
  <c r="F92" i="27" s="1"/>
  <c r="E95" i="27" s="1"/>
  <c r="B15" i="30" s="1"/>
  <c r="D15" i="30" s="1"/>
  <c r="I89" i="27"/>
  <c r="I91" i="27" s="1"/>
  <c r="I92" i="27" s="1"/>
  <c r="E98" i="27" s="1"/>
  <c r="B18" i="30" s="1"/>
  <c r="D18" i="30" s="1"/>
  <c r="H89" i="27"/>
  <c r="H91" i="27" s="1"/>
  <c r="H92" i="27" s="1"/>
  <c r="E97" i="27" s="1"/>
  <c r="B17" i="30" s="1"/>
  <c r="D13" i="12"/>
  <c r="S11" i="26" s="1" a="1"/>
  <c r="S11" i="26" s="1"/>
  <c r="F13" i="12"/>
  <c r="S4" i="26" s="1" a="1"/>
  <c r="S4" i="26" s="1"/>
  <c r="B26" i="30"/>
  <c r="D26" i="30" s="1"/>
  <c r="S10" i="26" a="1"/>
  <c r="S10" i="26" s="1"/>
  <c r="F14" i="30" l="1"/>
  <c r="D27" i="30"/>
  <c r="F20" i="30"/>
  <c r="F18" i="30"/>
  <c r="S6" i="26" a="1"/>
  <c r="S6" i="26" s="1"/>
  <c r="A26" i="26" s="1"/>
  <c r="F16" i="30"/>
  <c r="D16" i="30"/>
  <c r="F19" i="30"/>
  <c r="D19" i="30"/>
  <c r="S9" i="26" a="1"/>
  <c r="S9" i="26" s="1"/>
  <c r="S15" i="26" s="1"/>
  <c r="F17" i="30"/>
  <c r="D17" i="30"/>
  <c r="E103" i="27"/>
  <c r="F26" i="30"/>
  <c r="S24" i="26"/>
  <c r="A16" i="26"/>
  <c r="S23" i="26"/>
  <c r="S20" i="26"/>
  <c r="S5" i="26" a="1"/>
  <c r="S5" i="26" s="1"/>
  <c r="S13" i="26"/>
  <c r="S19" i="26"/>
  <c r="A28" i="26" l="1"/>
  <c r="A25" i="26"/>
  <c r="A29" i="26"/>
  <c r="A6" i="26"/>
  <c r="A27" i="26"/>
  <c r="S8" i="26" a="1"/>
  <c r="S8" i="26" s="1"/>
  <c r="S17" i="26" s="1"/>
  <c r="G17" i="26" s="1"/>
  <c r="S14" i="26"/>
  <c r="S16" i="26"/>
  <c r="A15" i="26" s="1"/>
  <c r="A17" i="26"/>
  <c r="S22" i="26"/>
  <c r="S21" i="26"/>
  <c r="B12" i="26"/>
  <c r="A12" i="26"/>
  <c r="A10" i="26"/>
  <c r="A13" i="26"/>
  <c r="B11" i="26"/>
  <c r="A11" i="26"/>
  <c r="S18" i="26" l="1"/>
  <c r="A7" i="26" s="1"/>
  <c r="A4" i="26"/>
  <c r="A5" i="26"/>
  <c r="O19" i="26" l="1" a="1"/>
  <c r="O19" i="26" s="1"/>
  <c r="A20" i="26" s="1"/>
</calcChain>
</file>

<file path=xl/sharedStrings.xml><?xml version="1.0" encoding="utf-8"?>
<sst xmlns="http://schemas.openxmlformats.org/spreadsheetml/2006/main" count="4879" uniqueCount="2538">
  <si>
    <t>VOC</t>
  </si>
  <si>
    <t>Toluene</t>
  </si>
  <si>
    <t>Perchloroethylene</t>
  </si>
  <si>
    <t>NOx</t>
  </si>
  <si>
    <t>SOx</t>
  </si>
  <si>
    <t>CO</t>
  </si>
  <si>
    <t>Material Name</t>
  </si>
  <si>
    <t>Manufacturer</t>
  </si>
  <si>
    <t>Material Purpose</t>
  </si>
  <si>
    <t>Product Density</t>
  </si>
  <si>
    <t>(lbs/gallon)</t>
  </si>
  <si>
    <t>Total VOC</t>
  </si>
  <si>
    <t>Release Factor</t>
  </si>
  <si>
    <t>Total VOC Emissions</t>
  </si>
  <si>
    <t>(gallons)</t>
  </si>
  <si>
    <t>(pounds)</t>
  </si>
  <si>
    <t>(weight %)</t>
  </si>
  <si>
    <t>(% release)</t>
  </si>
  <si>
    <t>Please list the maximum throughput of all materials used that contain Volatile Organic Compounds, and show amount of VOC emitted.</t>
  </si>
  <si>
    <r>
      <t xml:space="preserve">VOC Content           </t>
    </r>
    <r>
      <rPr>
        <i/>
        <sz val="10"/>
        <color theme="1"/>
        <rFont val="Arial"/>
        <family val="2"/>
      </rPr>
      <t>(select one)</t>
    </r>
  </si>
  <si>
    <t>HAP Name</t>
  </si>
  <si>
    <t>Total HAP Emissions</t>
  </si>
  <si>
    <t>Individual HAP Throughput</t>
  </si>
  <si>
    <t>Process Rate Units</t>
  </si>
  <si>
    <t>LEAD</t>
  </si>
  <si>
    <t>Total HAP</t>
  </si>
  <si>
    <r>
      <t>PM</t>
    </r>
    <r>
      <rPr>
        <b/>
        <vertAlign val="subscript"/>
        <sz val="11"/>
        <color theme="1"/>
        <rFont val="Arial"/>
        <family val="2"/>
      </rPr>
      <t>10</t>
    </r>
  </si>
  <si>
    <t>Diethanolamine</t>
  </si>
  <si>
    <t>Insignificant Activity Type</t>
  </si>
  <si>
    <t>Description of Insignificant Activity</t>
  </si>
  <si>
    <r>
      <t>PM</t>
    </r>
    <r>
      <rPr>
        <b/>
        <vertAlign val="subscript"/>
        <sz val="11"/>
        <color theme="1"/>
        <rFont val="Arial"/>
        <family val="2"/>
      </rPr>
      <t>2.5</t>
    </r>
  </si>
  <si>
    <t>Perfluorocarbons (PFCs)</t>
  </si>
  <si>
    <t>Hydrofluorocarbons (HFCs)</t>
  </si>
  <si>
    <t>GHG Pollutant Name</t>
  </si>
  <si>
    <t>Chemical Formula</t>
  </si>
  <si>
    <t>Aliases</t>
  </si>
  <si>
    <t>R-23, Trifluoromethane, or Fluoroform</t>
  </si>
  <si>
    <t>R-32, or Difluoromethane</t>
  </si>
  <si>
    <t>R-41, or Fluoromethane</t>
  </si>
  <si>
    <t>HFC-23</t>
  </si>
  <si>
    <t>HFC-32</t>
  </si>
  <si>
    <t>HFC-41</t>
  </si>
  <si>
    <t>HFC-43-10mee</t>
  </si>
  <si>
    <t>HFC-125</t>
  </si>
  <si>
    <t>HFC-134</t>
  </si>
  <si>
    <t>1,1,2,2-Tetrafluoroethane</t>
  </si>
  <si>
    <t>HFC-134a</t>
  </si>
  <si>
    <t>HFC-152a</t>
  </si>
  <si>
    <t>HFC-143a</t>
  </si>
  <si>
    <t>HFC-227ea</t>
  </si>
  <si>
    <t>HFC-236fa</t>
  </si>
  <si>
    <t>1,1,1,2,2,3,4,5,5,5-Decafluoropentane, and Decafluoropentane</t>
  </si>
  <si>
    <t>1,1,1,2,2-Pentafluoroethane, and Pentafluoroethane</t>
  </si>
  <si>
    <t>R-134a, Genetron 134a, Suva 134a, and 1,1,1,2-Tetrafluoroethane</t>
  </si>
  <si>
    <t>R-152a, Freon 152a, 1,1-Difluoroethane, and Difluoroethane</t>
  </si>
  <si>
    <t>R-143a, 1,1,1-Trifluoroethane, and Trifluoroethane</t>
  </si>
  <si>
    <t>1,1,1,2,3,3,3-Heptafluoropropane, and Heptafluoropropane</t>
  </si>
  <si>
    <t>HFC-143</t>
  </si>
  <si>
    <t>1,1,2-Trifluoroethane and 112TFA</t>
  </si>
  <si>
    <t>FE-36, 1,1,1,3,3,3-Hexafluoropropane, and Hexafluoropropane</t>
  </si>
  <si>
    <t>HFC-245ca</t>
  </si>
  <si>
    <t>1,1,2,2,3-Pentafluoropropane</t>
  </si>
  <si>
    <t>Carbon Dioxide</t>
  </si>
  <si>
    <t>Methane</t>
  </si>
  <si>
    <t>Nitrous Oxide</t>
  </si>
  <si>
    <t>Sulfur Hexafluoride</t>
  </si>
  <si>
    <t>Greenhouse Gas (GHG) and their Global Warming Potentials (GWP)</t>
  </si>
  <si>
    <t>Please list the maximum throughput of all materials used that contain Hazardous Air Pollutants (HAP) and show amount of HAP emitted.</t>
  </si>
  <si>
    <t>Material Throughput</t>
  </si>
  <si>
    <t>CAS #</t>
  </si>
  <si>
    <t>Pollutant Name</t>
  </si>
  <si>
    <t>VOC (Yes or No)</t>
  </si>
  <si>
    <t>Glycol ethers</t>
  </si>
  <si>
    <t>No</t>
  </si>
  <si>
    <t>Formaldehyde</t>
  </si>
  <si>
    <t>Yes</t>
  </si>
  <si>
    <t>2,4-Dinitrophenol</t>
  </si>
  <si>
    <t>Ethyl carbamate</t>
  </si>
  <si>
    <t>2-Acetylaminofluorene</t>
  </si>
  <si>
    <t>Carbon tetrachloride</t>
  </si>
  <si>
    <t>Parathion</t>
  </si>
  <si>
    <t>Cyanide</t>
  </si>
  <si>
    <t>1,1-Dimethyl hydrazine</t>
  </si>
  <si>
    <t>beta-Propiolactone</t>
  </si>
  <si>
    <t>Chlordane</t>
  </si>
  <si>
    <t>Lindane (all isomers)</t>
  </si>
  <si>
    <t>N-Nitrosomorpholine</t>
  </si>
  <si>
    <t>Dimethyl aminoazobenzene</t>
  </si>
  <si>
    <t>Methyl hydrazine</t>
  </si>
  <si>
    <t>Acetamide</t>
  </si>
  <si>
    <t>Aniline</t>
  </si>
  <si>
    <t>Dichlorvos</t>
  </si>
  <si>
    <t>N-Nitrosodimethylamine</t>
  </si>
  <si>
    <t>Carbaryl</t>
  </si>
  <si>
    <t>Diethyl sulfate</t>
  </si>
  <si>
    <t>Methanol</t>
  </si>
  <si>
    <t>Chloroform</t>
  </si>
  <si>
    <t>Hexachloroethane</t>
  </si>
  <si>
    <t>Dimethyl formamide</t>
  </si>
  <si>
    <t>Benzene</t>
  </si>
  <si>
    <t>1,1,1-Trichloroethane</t>
  </si>
  <si>
    <t>Methoxychlor</t>
  </si>
  <si>
    <t>Methyl bromide</t>
  </si>
  <si>
    <t>Chloromethane</t>
  </si>
  <si>
    <t>Methyl iodide</t>
  </si>
  <si>
    <t>Ethyl chloride</t>
  </si>
  <si>
    <t>Vinyl chloride</t>
  </si>
  <si>
    <t>Acetonitrile</t>
  </si>
  <si>
    <t>Acetaldehyde</t>
  </si>
  <si>
    <t>Methylene chloride</t>
  </si>
  <si>
    <t>Carbon disulfide</t>
  </si>
  <si>
    <t>Ethylene oxide</t>
  </si>
  <si>
    <t>Bromoform</t>
  </si>
  <si>
    <t>1,1-Dichloroethane</t>
  </si>
  <si>
    <t>1,1-Dichloroethylene</t>
  </si>
  <si>
    <t>Phosgene</t>
  </si>
  <si>
    <t>1,2-Propylenimine</t>
  </si>
  <si>
    <t>Propylene oxide</t>
  </si>
  <si>
    <t>Heptachlor</t>
  </si>
  <si>
    <t>Hexachlorocyclopentadiene</t>
  </si>
  <si>
    <t>Dimethyl sulfate</t>
  </si>
  <si>
    <t>Isophorone</t>
  </si>
  <si>
    <t>1,2-Dichloropropane</t>
  </si>
  <si>
    <t>1,1,2-Trichloroethane</t>
  </si>
  <si>
    <t>Trichloroethylene</t>
  </si>
  <si>
    <t>Acrylamide</t>
  </si>
  <si>
    <t>Acrylic acid</t>
  </si>
  <si>
    <t>Chloroacetic acid</t>
  </si>
  <si>
    <t>1,1,2,2-Tetrachloroethane</t>
  </si>
  <si>
    <t>Dimethyl carbamoyl chloride</t>
  </si>
  <si>
    <t>2-Nitropropane</t>
  </si>
  <si>
    <t>Methyl methacrylate</t>
  </si>
  <si>
    <t>Pentachloronitrobenzene</t>
  </si>
  <si>
    <t>Dibutylphthalate</t>
  </si>
  <si>
    <t>Phthalic anhydride</t>
  </si>
  <si>
    <t>Hexachlorobutadiene</t>
  </si>
  <si>
    <t>Pentachlorophenol</t>
  </si>
  <si>
    <t>2,4,6-Trichlorophenol</t>
  </si>
  <si>
    <t>o-Anisidine</t>
  </si>
  <si>
    <t>Naphthalene</t>
  </si>
  <si>
    <t>Quinoline</t>
  </si>
  <si>
    <t>3,3-Dichlorobenzidene</t>
  </si>
  <si>
    <t>Biphenyl</t>
  </si>
  <si>
    <t>4-Aminobiphenyl</t>
  </si>
  <si>
    <t>Benzidine</t>
  </si>
  <si>
    <t>4-Nitrobiphenyl</t>
  </si>
  <si>
    <t>2,4-D (salts and esters)</t>
  </si>
  <si>
    <t>o-Xylenes</t>
  </si>
  <si>
    <t>o-Cresol</t>
  </si>
  <si>
    <t>o-Toluidine</t>
  </si>
  <si>
    <t>2,4-Toluene diamine</t>
  </si>
  <si>
    <t>2,4,5-Trichlorophenol</t>
  </si>
  <si>
    <t>Styrene oxide</t>
  </si>
  <si>
    <t>1,2-Dibromo-3-chloropropane</t>
  </si>
  <si>
    <t>Ethylene thiourea</t>
  </si>
  <si>
    <t>Benzotrichloride</t>
  </si>
  <si>
    <t>Cumene</t>
  </si>
  <si>
    <t>Acetophenone</t>
  </si>
  <si>
    <t>Nitrobenzene</t>
  </si>
  <si>
    <t>4-Nitrophenol</t>
  </si>
  <si>
    <t>Ethyl benzene</t>
  </si>
  <si>
    <t>Styrene</t>
  </si>
  <si>
    <t>Benzyl chloride</t>
  </si>
  <si>
    <t>4,4-Methylene bis(2-chloroaniline)</t>
  </si>
  <si>
    <t>Methylene diphenyl diisocyanate</t>
  </si>
  <si>
    <t>4,4'-Methylenedianiline</t>
  </si>
  <si>
    <t>p-Xylenes</t>
  </si>
  <si>
    <t>p-Cresol</t>
  </si>
  <si>
    <t>1,4-Dichlorobenzene(p)</t>
  </si>
  <si>
    <t>p-Phenylenediamine</t>
  </si>
  <si>
    <t>Quinone</t>
  </si>
  <si>
    <t>1,2-Epoxybutane</t>
  </si>
  <si>
    <t>Epichlorohydrin</t>
  </si>
  <si>
    <t>Ethylene dibromide</t>
  </si>
  <si>
    <t>1,3-Butadiene</t>
  </si>
  <si>
    <t>Acrolein</t>
  </si>
  <si>
    <t>Allyl chloride</t>
  </si>
  <si>
    <t>Ethylene dichloride</t>
  </si>
  <si>
    <t>Acrylonitrile</t>
  </si>
  <si>
    <t>Ethylene glycol</t>
  </si>
  <si>
    <t>Chloromethyl methyl ether</t>
  </si>
  <si>
    <t>Vinyl acetate</t>
  </si>
  <si>
    <t>Methyl isobutyl ketone</t>
  </si>
  <si>
    <t>Maleic anhydride</t>
  </si>
  <si>
    <t>m-Xylenes</t>
  </si>
  <si>
    <t>m-Cresol</t>
  </si>
  <si>
    <t>Chlorobenzene</t>
  </si>
  <si>
    <t>Phenol</t>
  </si>
  <si>
    <t>Hexane</t>
  </si>
  <si>
    <t>Dichloroethyl ether</t>
  </si>
  <si>
    <t>Propoxur</t>
  </si>
  <si>
    <t>Diethylhexylphthalate</t>
  </si>
  <si>
    <t>Hexachlorobenzene</t>
  </si>
  <si>
    <t>3,3-Dimethoxybenzidine</t>
  </si>
  <si>
    <t>3,3'-Dimethyl benzidine</t>
  </si>
  <si>
    <t>Catechol</t>
  </si>
  <si>
    <t>1,2,4-Trichlorobenzene</t>
  </si>
  <si>
    <t>2,4-Dinitrotoluene</t>
  </si>
  <si>
    <t>Triethylamine</t>
  </si>
  <si>
    <t>N,N-Dimethylaniline</t>
  </si>
  <si>
    <t>1,2-Diphenylhydrazine</t>
  </si>
  <si>
    <t>Hydroquinone</t>
  </si>
  <si>
    <t>Propionaldehyde</t>
  </si>
  <si>
    <t>1,4-Dioxane</t>
  </si>
  <si>
    <t>Chloroprene</t>
  </si>
  <si>
    <t>Dimethyl phthalate</t>
  </si>
  <si>
    <t>Dibenzofurans</t>
  </si>
  <si>
    <t>Captan</t>
  </si>
  <si>
    <t>Chloramben</t>
  </si>
  <si>
    <t>Ethyl acrylate</t>
  </si>
  <si>
    <t>Ethylene imine</t>
  </si>
  <si>
    <t>Calcium cyanamide</t>
  </si>
  <si>
    <t>Hydrazine</t>
  </si>
  <si>
    <t>Diazomethane</t>
  </si>
  <si>
    <t>Carbonyl sulfide</t>
  </si>
  <si>
    <t>Chlorobenzilate</t>
  </si>
  <si>
    <t>2-Chloroacetophenone</t>
  </si>
  <si>
    <t>4,6-Dinitro-o-cresol, and salts</t>
  </si>
  <si>
    <t>2,2,4-Trimethylpentane</t>
  </si>
  <si>
    <t>1,3-Dichloropropene</t>
  </si>
  <si>
    <t>Bis(chloromethyl)ether</t>
  </si>
  <si>
    <t>2,4-Toluene diisocyanate</t>
  </si>
  <si>
    <t>Vinyl bromide</t>
  </si>
  <si>
    <t>Methyl isocyanate</t>
  </si>
  <si>
    <t>Hexamethylphosphoramide</t>
  </si>
  <si>
    <t>N-Nitroso-N-methylurea</t>
  </si>
  <si>
    <t>Hexamethylene-1,6-diisocyanate</t>
  </si>
  <si>
    <t>1,3-Propane sultone</t>
  </si>
  <si>
    <t>Cresols/Cresylic acid</t>
  </si>
  <si>
    <t>Xylenes (isomers and mixture)</t>
  </si>
  <si>
    <t>Asbestos</t>
  </si>
  <si>
    <t>Polychlorinated biphenyls</t>
  </si>
  <si>
    <t>Trifluralin</t>
  </si>
  <si>
    <t>Methyl tert butyl ether</t>
  </si>
  <si>
    <t>2,3,7,8-Tetrachlorodibenzo-p-dioxin</t>
  </si>
  <si>
    <t>DDE</t>
  </si>
  <si>
    <t>Lead</t>
  </si>
  <si>
    <t>Manganese</t>
  </si>
  <si>
    <t>Mercury</t>
  </si>
  <si>
    <t>Nickel</t>
  </si>
  <si>
    <t>Antimony</t>
  </si>
  <si>
    <t>Arsenic</t>
  </si>
  <si>
    <t>Beryllium</t>
  </si>
  <si>
    <t>Cadmium</t>
  </si>
  <si>
    <t>Chromium</t>
  </si>
  <si>
    <t>Cobalt</t>
  </si>
  <si>
    <t>Titanium tetrachloride</t>
  </si>
  <si>
    <t>Hydrochloric acid</t>
  </si>
  <si>
    <t>Hydrogen fluoride</t>
  </si>
  <si>
    <t>Phosphorus</t>
  </si>
  <si>
    <t>Selenium</t>
  </si>
  <si>
    <t>Chlorine</t>
  </si>
  <si>
    <t>Phosphine</t>
  </si>
  <si>
    <t>Toxaphene</t>
  </si>
  <si>
    <t>For a complete list of EPA regulated Hazardous Air Pollutants, including CAS Numbers, click here.</t>
  </si>
  <si>
    <t>Hazardous Air Pollutants and CAS Numbers</t>
  </si>
  <si>
    <t>Emissions</t>
  </si>
  <si>
    <t>Meet or Exceed?</t>
  </si>
  <si>
    <r>
      <t>PM</t>
    </r>
    <r>
      <rPr>
        <vertAlign val="subscript"/>
        <sz val="12"/>
        <color theme="1"/>
        <rFont val="Arial"/>
        <family val="2"/>
      </rPr>
      <t>10</t>
    </r>
  </si>
  <si>
    <r>
      <t>PM</t>
    </r>
    <r>
      <rPr>
        <vertAlign val="subscript"/>
        <sz val="12"/>
        <color theme="1"/>
        <rFont val="Arial"/>
        <family val="2"/>
      </rPr>
      <t>2.5</t>
    </r>
  </si>
  <si>
    <t>GHGs</t>
  </si>
  <si>
    <t>(tons per year)</t>
  </si>
  <si>
    <t>Greatest Single HAP</t>
  </si>
  <si>
    <t>Total Combined HAP</t>
  </si>
  <si>
    <t xml:space="preserve">Emission Unit # </t>
  </si>
  <si>
    <t>Point #</t>
  </si>
  <si>
    <t>Segment #</t>
  </si>
  <si>
    <t>Emission Point Description</t>
  </si>
  <si>
    <t>Emission Segment Description</t>
  </si>
  <si>
    <t>Source Classification          Code # (SCC)</t>
  </si>
  <si>
    <t>Emission       Unit #</t>
  </si>
  <si>
    <t>SCC Code</t>
  </si>
  <si>
    <t>Latitude</t>
  </si>
  <si>
    <t>Longitude</t>
  </si>
  <si>
    <t>Elevation</t>
  </si>
  <si>
    <t>Stack Height</t>
  </si>
  <si>
    <t>Stack Inside Diameter</t>
  </si>
  <si>
    <t>Exhaust Exit Velocity</t>
  </si>
  <si>
    <t>Exhaust Flow Rate</t>
  </si>
  <si>
    <t>(feet a.s.l.)</t>
  </si>
  <si>
    <t>(feet)</t>
  </si>
  <si>
    <r>
      <rPr>
        <sz val="11"/>
        <color theme="1"/>
        <rFont val="Arial"/>
        <family val="2"/>
      </rPr>
      <t>(</t>
    </r>
    <r>
      <rPr>
        <vertAlign val="superscript"/>
        <sz val="11"/>
        <color theme="1"/>
        <rFont val="Arial"/>
        <family val="2"/>
      </rPr>
      <t>o</t>
    </r>
    <r>
      <rPr>
        <sz val="11"/>
        <color theme="1"/>
        <rFont val="Arial"/>
        <family val="2"/>
      </rPr>
      <t>F)</t>
    </r>
  </si>
  <si>
    <t>(feet/sec)</t>
  </si>
  <si>
    <t>(cu. feet/sec)</t>
  </si>
  <si>
    <t>Vertical</t>
  </si>
  <si>
    <t>Horizontal</t>
  </si>
  <si>
    <t>Raincap Present?</t>
  </si>
  <si>
    <t>(decimal deg.)</t>
  </si>
  <si>
    <t>Exhaust Temp.</t>
  </si>
  <si>
    <t>Breweries</t>
  </si>
  <si>
    <t>Marinas</t>
  </si>
  <si>
    <t>Caterers</t>
  </si>
  <si>
    <t>Facility Name:</t>
  </si>
  <si>
    <t>LLCHD Facility ID #:</t>
  </si>
  <si>
    <t>Facility Physical Address:</t>
  </si>
  <si>
    <t>Facility City:</t>
  </si>
  <si>
    <t>Facility State:</t>
  </si>
  <si>
    <t>Facility ZIP:</t>
  </si>
  <si>
    <t>Facility NAICS Code(s):</t>
  </si>
  <si>
    <t>2012 NAICS Code</t>
  </si>
  <si>
    <t>2012 NAICS Title</t>
  </si>
  <si>
    <t>Soybean Farming</t>
  </si>
  <si>
    <t xml:space="preserve">Oilseed (except Soybean) Farming </t>
  </si>
  <si>
    <t xml:space="preserve">Dry Pea and Bean Farming </t>
  </si>
  <si>
    <t>Wheat Farming</t>
  </si>
  <si>
    <t xml:space="preserve">Corn Farming </t>
  </si>
  <si>
    <t>Rice Farming</t>
  </si>
  <si>
    <t xml:space="preserve">Oilseed and Grain Combination Farming </t>
  </si>
  <si>
    <t xml:space="preserve">All Other Grain Farming </t>
  </si>
  <si>
    <t xml:space="preserve">Potato Farming </t>
  </si>
  <si>
    <t xml:space="preserve">Other Vegetable (except Potato) and Melon Farming </t>
  </si>
  <si>
    <t>Orange Groves</t>
  </si>
  <si>
    <t xml:space="preserve">Citrus (except Orange) Groves </t>
  </si>
  <si>
    <t xml:space="preserve">Apple Orchards </t>
  </si>
  <si>
    <t xml:space="preserve">Grape Vineyards </t>
  </si>
  <si>
    <t xml:space="preserve">Strawberry Farming </t>
  </si>
  <si>
    <t xml:space="preserve">Berry (except Strawberry) Farming </t>
  </si>
  <si>
    <t xml:space="preserve">Tree Nut Farming </t>
  </si>
  <si>
    <t xml:space="preserve">Fruit and Tree Nut Combination Farming </t>
  </si>
  <si>
    <t xml:space="preserve">Other Noncitrus Fruit Farming </t>
  </si>
  <si>
    <t xml:space="preserve">Mushroom Production </t>
  </si>
  <si>
    <t xml:space="preserve">Other Food Crops Grown Under Cover </t>
  </si>
  <si>
    <t xml:space="preserve">Nursery and Tree Production </t>
  </si>
  <si>
    <t xml:space="preserve">Floriculture Production </t>
  </si>
  <si>
    <t>Tobacco Farming</t>
  </si>
  <si>
    <t>Cotton Farming</t>
  </si>
  <si>
    <t>Sugarcane Farming</t>
  </si>
  <si>
    <t xml:space="preserve">Hay Farming </t>
  </si>
  <si>
    <t xml:space="preserve">Sugar Beet Farming </t>
  </si>
  <si>
    <t xml:space="preserve">Peanut Farming </t>
  </si>
  <si>
    <t xml:space="preserve">All Other Miscellaneous Crop Farming </t>
  </si>
  <si>
    <t xml:space="preserve">Beef Cattle Ranching and Farming </t>
  </si>
  <si>
    <t xml:space="preserve">Cattle Feedlots </t>
  </si>
  <si>
    <t>Dairy Cattle and Milk Production</t>
  </si>
  <si>
    <t xml:space="preserve">Dual-Purpose Cattle Ranching and Farming </t>
  </si>
  <si>
    <t xml:space="preserve">Hog and Pig Farming </t>
  </si>
  <si>
    <t xml:space="preserve">Chicken Egg Production </t>
  </si>
  <si>
    <r>
      <t>Broilers and Other Meat Type Chicken Production</t>
    </r>
    <r>
      <rPr>
        <sz val="10"/>
        <color indexed="8"/>
        <rFont val="Arial"/>
        <family val="2"/>
      </rPr>
      <t xml:space="preserve"> </t>
    </r>
  </si>
  <si>
    <t>Turkey Production</t>
  </si>
  <si>
    <t>Poultry Hatcheries</t>
  </si>
  <si>
    <t xml:space="preserve">Other Poultry Production </t>
  </si>
  <si>
    <t>Sheep Farming</t>
  </si>
  <si>
    <t>Goat Farming</t>
  </si>
  <si>
    <t xml:space="preserve">Finfish Farming and Fish Hatcheries </t>
  </si>
  <si>
    <t xml:space="preserve">Shellfish Farming </t>
  </si>
  <si>
    <t xml:space="preserve">Other Aquaculture </t>
  </si>
  <si>
    <t>Apiculture</t>
  </si>
  <si>
    <t>Horses and Other Equine Production</t>
  </si>
  <si>
    <t>Fur-Bearing Animal and Rabbit Production</t>
  </si>
  <si>
    <t xml:space="preserve">All Other Animal Production </t>
  </si>
  <si>
    <t>Timber Tract Operations</t>
  </si>
  <si>
    <t xml:space="preserve">Forest Nurseries and Gathering of Forest Products </t>
  </si>
  <si>
    <t xml:space="preserve">Logging </t>
  </si>
  <si>
    <t xml:space="preserve">Finfish Fishing </t>
  </si>
  <si>
    <t xml:space="preserve">Shellfish Fishing </t>
  </si>
  <si>
    <t xml:space="preserve">Other Marine Fishing </t>
  </si>
  <si>
    <t>Hunting and Trapping</t>
  </si>
  <si>
    <t xml:space="preserve">Cotton Ginning </t>
  </si>
  <si>
    <t xml:space="preserve">Soil Preparation, Planting, and Cultivating </t>
  </si>
  <si>
    <t xml:space="preserve">Crop Harvesting, Primarily by Machine </t>
  </si>
  <si>
    <t xml:space="preserve">Postharvest Crop Activities (except Cotton Ginning) </t>
  </si>
  <si>
    <t xml:space="preserve">Farm Labor Contractors and Crew Leaders </t>
  </si>
  <si>
    <t xml:space="preserve">Farm Management Services </t>
  </si>
  <si>
    <t>Support Activities for Animal Production</t>
  </si>
  <si>
    <t>Support Activities for Forestry</t>
  </si>
  <si>
    <t xml:space="preserve">Crude Petroleum and Natural Gas Extraction </t>
  </si>
  <si>
    <t xml:space="preserve">Natural Gas Liquid Extraction </t>
  </si>
  <si>
    <t xml:space="preserve">Bituminous Coal and Lignite Surface Mining </t>
  </si>
  <si>
    <t xml:space="preserve">Bituminous Coal Underground Mining </t>
  </si>
  <si>
    <t xml:space="preserve">Anthracite Mining </t>
  </si>
  <si>
    <t>Iron Ore Mining</t>
  </si>
  <si>
    <t xml:space="preserve">Gold Ore Mining </t>
  </si>
  <si>
    <t xml:space="preserve">Silver Ore Mining </t>
  </si>
  <si>
    <t xml:space="preserve">Lead Ore and Zinc Ore Mining </t>
  </si>
  <si>
    <t xml:space="preserve">Copper Ore and Nickel Ore Mining </t>
  </si>
  <si>
    <t xml:space="preserve">Uranium-Radium-Vanadium Ore Mining </t>
  </si>
  <si>
    <t xml:space="preserve">All Other Metal Ore Mining </t>
  </si>
  <si>
    <t xml:space="preserve">Dimension Stone Mining and Quarrying </t>
  </si>
  <si>
    <t xml:space="preserve">Crushed and Broken Limestone Mining and Quarrying </t>
  </si>
  <si>
    <t xml:space="preserve">Crushed and Broken Granite Mining and Quarrying </t>
  </si>
  <si>
    <t xml:space="preserve">Other Crushed and Broken Stone Mining and Quarrying </t>
  </si>
  <si>
    <t xml:space="preserve">Construction Sand and Gravel Mining </t>
  </si>
  <si>
    <t xml:space="preserve">Industrial Sand Mining </t>
  </si>
  <si>
    <t xml:space="preserve">Kaolin and Ball Clay Mining </t>
  </si>
  <si>
    <t xml:space="preserve">Clay and Ceramic and Refractory Minerals Mining </t>
  </si>
  <si>
    <t xml:space="preserve">Potash, Soda, and Borate Mineral Mining </t>
  </si>
  <si>
    <t xml:space="preserve">Phosphate Rock Mining </t>
  </si>
  <si>
    <t xml:space="preserve">Other Chemical and Fertilizer Mineral Mining </t>
  </si>
  <si>
    <t xml:space="preserve">All Other Nonmetallic Mineral Mining </t>
  </si>
  <si>
    <t>Drilling Oil and Gas Wells</t>
  </si>
  <si>
    <t xml:space="preserve">Support Activities for Oil and Gas Operations </t>
  </si>
  <si>
    <t xml:space="preserve">Support Activities for Coal Mining </t>
  </si>
  <si>
    <t xml:space="preserve">Support Activities for Metal Mining </t>
  </si>
  <si>
    <t xml:space="preserve">Support Activities for Nonmetallic Minerals (except Fuels) Mining </t>
  </si>
  <si>
    <t xml:space="preserve">Hydroelectric Power Generation </t>
  </si>
  <si>
    <t xml:space="preserve">Fossil Fuel Electric Power Generation </t>
  </si>
  <si>
    <t xml:space="preserve">Nuclear Electric Power Generation </t>
  </si>
  <si>
    <t xml:space="preserve">Solar Electric Power Generation </t>
  </si>
  <si>
    <t xml:space="preserve">Wind Electric Power Generation </t>
  </si>
  <si>
    <t xml:space="preserve">Geothermal Electric Power Generation </t>
  </si>
  <si>
    <t xml:space="preserve">Biomass Electric Power Generation </t>
  </si>
  <si>
    <t xml:space="preserve">Other Electric Power Generation </t>
  </si>
  <si>
    <t xml:space="preserve">Electric Bulk Power Transmission and Control </t>
  </si>
  <si>
    <t xml:space="preserve">Electric Power Distribution </t>
  </si>
  <si>
    <t xml:space="preserve">Natural Gas Distribution </t>
  </si>
  <si>
    <t xml:space="preserve">Water Supply and Irrigation Systems </t>
  </si>
  <si>
    <t xml:space="preserve">Sewage Treatment Facilities </t>
  </si>
  <si>
    <t xml:space="preserve">Steam and Air-Conditioning Supply </t>
  </si>
  <si>
    <t xml:space="preserve">New Single-Family Housing Construction (except For-Sale Builders) </t>
  </si>
  <si>
    <t xml:space="preserve">New Multifamily Housing Construction (except For-Sale Builders) </t>
  </si>
  <si>
    <t xml:space="preserve">New Housing For-Sale Builders </t>
  </si>
  <si>
    <t xml:space="preserve">Residential Remodelers </t>
  </si>
  <si>
    <t xml:space="preserve">Industrial Building Construction </t>
  </si>
  <si>
    <t xml:space="preserve">Commercial and Institutional Building Construction </t>
  </si>
  <si>
    <t xml:space="preserve">Water and Sewer Line and Related Structures Construction </t>
  </si>
  <si>
    <t xml:space="preserve">Oil and Gas Pipeline and Related Structures Construction </t>
  </si>
  <si>
    <t xml:space="preserve">Power and Communication Line and Related Structures Construction </t>
  </si>
  <si>
    <t xml:space="preserve">Land Subdivision </t>
  </si>
  <si>
    <t xml:space="preserve">Highway, Street, and Bridge Construction </t>
  </si>
  <si>
    <t xml:space="preserve">Other Heavy and Civil Engineering Construction </t>
  </si>
  <si>
    <t xml:space="preserve">Poured Concrete Foundation and Structure Contractors </t>
  </si>
  <si>
    <t xml:space="preserve">Structural Steel and Precast Concrete Contractors </t>
  </si>
  <si>
    <t xml:space="preserve">Framing Contractors </t>
  </si>
  <si>
    <t xml:space="preserve">Masonry Contractors </t>
  </si>
  <si>
    <t xml:space="preserve">Glass and Glazing Contractors </t>
  </si>
  <si>
    <t xml:space="preserve">Roofing Contractors </t>
  </si>
  <si>
    <t xml:space="preserve">Siding Contractors </t>
  </si>
  <si>
    <t xml:space="preserve">Other Foundation, Structure, and Building Exterior Contractors </t>
  </si>
  <si>
    <t>Electrical Contractors and Other Wiring Installation Contractors</t>
  </si>
  <si>
    <t xml:space="preserve">Plumbing, Heating, and Air-Conditioning Contractors </t>
  </si>
  <si>
    <t xml:space="preserve">Other Building Equipment Contractors </t>
  </si>
  <si>
    <t xml:space="preserve">Drywall and Insulation Contractors </t>
  </si>
  <si>
    <t>Painting and Wall Covering Contractors</t>
  </si>
  <si>
    <t>Flooring Contractors</t>
  </si>
  <si>
    <t>Tile and Terrazzo Contractors</t>
  </si>
  <si>
    <t>Finish Carpentry Contractors</t>
  </si>
  <si>
    <t>Other Building Finishing Contractors</t>
  </si>
  <si>
    <t>Site Preparation Contractors</t>
  </si>
  <si>
    <t>All Other Specialty Trade Contractors</t>
  </si>
  <si>
    <t xml:space="preserve">Dog and Cat Food Manufacturing </t>
  </si>
  <si>
    <t xml:space="preserve">Other Animal Food Manufacturing </t>
  </si>
  <si>
    <t xml:space="preserve">Flour Milling </t>
  </si>
  <si>
    <t xml:space="preserve">Rice Milling </t>
  </si>
  <si>
    <t xml:space="preserve">Malt Manufacturing </t>
  </si>
  <si>
    <t xml:space="preserve">Wet Corn Milling </t>
  </si>
  <si>
    <t xml:space="preserve">Soybean and Other Oilseed Processing </t>
  </si>
  <si>
    <t xml:space="preserve">Fats and Oils Refining and Blending </t>
  </si>
  <si>
    <t>Breakfast Cereal Manufacturing</t>
  </si>
  <si>
    <t xml:space="preserve">Beet Sugar Manufacturing </t>
  </si>
  <si>
    <t xml:space="preserve">Cane Sugar Manufacturing </t>
  </si>
  <si>
    <t>Nonchocolate Confectionery Manufacturing</t>
  </si>
  <si>
    <t xml:space="preserve">Chocolate and Confectionery Manufacturing from Cacao Beans </t>
  </si>
  <si>
    <t xml:space="preserve">Confectionery Manufacturing from Purchased Chocolate </t>
  </si>
  <si>
    <t xml:space="preserve">Frozen Fruit, Juice, and Vegetable Manufacturing </t>
  </si>
  <si>
    <t xml:space="preserve">Frozen Specialty Food Manufacturing </t>
  </si>
  <si>
    <t xml:space="preserve">Fruit and Vegetable Canning </t>
  </si>
  <si>
    <t xml:space="preserve">Specialty Canning </t>
  </si>
  <si>
    <t xml:space="preserve">Dried and Dehydrated Food Manufacturing </t>
  </si>
  <si>
    <t xml:space="preserve">Fluid Milk Manufacturing </t>
  </si>
  <si>
    <t xml:space="preserve">Creamery Butter Manufacturing </t>
  </si>
  <si>
    <t xml:space="preserve">Cheese Manufacturing </t>
  </si>
  <si>
    <t xml:space="preserve">Dry, Condensed, and Evaporated Dairy Product Manufacturing </t>
  </si>
  <si>
    <t>Ice Cream and Frozen Dessert Manufacturing</t>
  </si>
  <si>
    <t xml:space="preserve">Animal (except Poultry) Slaughtering </t>
  </si>
  <si>
    <t xml:space="preserve">Meat Processed from Carcasses </t>
  </si>
  <si>
    <t xml:space="preserve">Rendering and Meat Byproduct Processing </t>
  </si>
  <si>
    <t xml:space="preserve">Poultry Processing </t>
  </si>
  <si>
    <t>Seafood Product Preparation and Packaging</t>
  </si>
  <si>
    <t xml:space="preserve">Retail Bakeries </t>
  </si>
  <si>
    <t xml:space="preserve">Commercial Bakeries </t>
  </si>
  <si>
    <t xml:space="preserve">Frozen Cakes, Pies, and Other Pastries Manufacturing </t>
  </si>
  <si>
    <t xml:space="preserve">Cookie and Cracker Manufacturing </t>
  </si>
  <si>
    <t xml:space="preserve">Dry Pasta, Dough, and Flour Mixes Manufacturing from Purchased Flour </t>
  </si>
  <si>
    <t>Tortilla Manufacturing</t>
  </si>
  <si>
    <t xml:space="preserve">Roasted Nuts and Peanut Butter Manufacturing </t>
  </si>
  <si>
    <t xml:space="preserve">Other Snack Food Manufacturing </t>
  </si>
  <si>
    <t xml:space="preserve">Coffee and Tea Manufacturing </t>
  </si>
  <si>
    <t>Flavoring Syrup and Concentrate Manufacturing</t>
  </si>
  <si>
    <t xml:space="preserve">Mayonnaise, Dressing, and Other Prepared Sauce Manufacturing </t>
  </si>
  <si>
    <t xml:space="preserve">Spice and Extract Manufacturing </t>
  </si>
  <si>
    <t xml:space="preserve">Perishable Prepared Food Manufacturing </t>
  </si>
  <si>
    <t xml:space="preserve">All Other Miscellaneous Food Manufacturing </t>
  </si>
  <si>
    <t xml:space="preserve">Soft Drink Manufacturing </t>
  </si>
  <si>
    <t xml:space="preserve">Bottled Water Manufacturing </t>
  </si>
  <si>
    <t xml:space="preserve">Ice Manufacturing </t>
  </si>
  <si>
    <t xml:space="preserve">Wineries </t>
  </si>
  <si>
    <t xml:space="preserve">Distilleries </t>
  </si>
  <si>
    <t xml:space="preserve">Tobacco Manufacturing </t>
  </si>
  <si>
    <t xml:space="preserve">Fiber, Yarn, and Thread Mills </t>
  </si>
  <si>
    <t>Broadwoven Fabric Mills</t>
  </si>
  <si>
    <t>Narrow Fabric Mills and Schiffli Machine Embroidery</t>
  </si>
  <si>
    <t>Nonwoven Fabric Mills</t>
  </si>
  <si>
    <t>Knit Fabric Mills</t>
  </si>
  <si>
    <r>
      <t>Textile and Fabric Finishing Mills</t>
    </r>
    <r>
      <rPr>
        <sz val="10"/>
        <color indexed="8"/>
        <rFont val="Arial"/>
        <family val="2"/>
      </rPr>
      <t xml:space="preserve"> </t>
    </r>
  </si>
  <si>
    <t>Fabric Coating Mills</t>
  </si>
  <si>
    <t>Carpet and Rug Mills</t>
  </si>
  <si>
    <t>Curtain and Linen Mills</t>
  </si>
  <si>
    <t xml:space="preserve">Textile Bag and Canvas Mills </t>
  </si>
  <si>
    <t xml:space="preserve">Rope, Cordage, Twine, Tire Cord, and Tire Fabric Mills </t>
  </si>
  <si>
    <t xml:space="preserve">All Other Miscellaneous Textile Product Mills </t>
  </si>
  <si>
    <t>Hosiery and Sock Mills</t>
  </si>
  <si>
    <t xml:space="preserve">Other Apparel Knitting Mills </t>
  </si>
  <si>
    <t xml:space="preserve">Cut and Sew Apparel Contractors </t>
  </si>
  <si>
    <t xml:space="preserve">Men’s and Boys’ Cut and Sew Apparel Manufacturing </t>
  </si>
  <si>
    <t xml:space="preserve">Women’s, Girls’, and Infants’ Cut and Sew Apparel Manufacturing </t>
  </si>
  <si>
    <t xml:space="preserve">Other Cut and Sew Apparel Manufacturing </t>
  </si>
  <si>
    <t xml:space="preserve">Apparel Accessories and Other Apparel Manufacturing </t>
  </si>
  <si>
    <t>Leather and Hide Tanning and Finishing</t>
  </si>
  <si>
    <t xml:space="preserve">Footwear Manufacturing </t>
  </si>
  <si>
    <t xml:space="preserve">Women's Handbag and Purse Manufacturing </t>
  </si>
  <si>
    <t xml:space="preserve">All Other Leather Good and Allied Product Manufacturing </t>
  </si>
  <si>
    <t xml:space="preserve">Sawmills </t>
  </si>
  <si>
    <t xml:space="preserve">Wood Preservation </t>
  </si>
  <si>
    <t xml:space="preserve">Hardwood Veneer and Plywood Manufacturing </t>
  </si>
  <si>
    <t xml:space="preserve">Softwood Veneer and Plywood Manufacturing </t>
  </si>
  <si>
    <t xml:space="preserve">Engineered Wood Member (except Truss) Manufacturing </t>
  </si>
  <si>
    <t xml:space="preserve">Truss Manufacturing </t>
  </si>
  <si>
    <t xml:space="preserve">Reconstituted Wood Product Manufacturing </t>
  </si>
  <si>
    <t xml:space="preserve">Wood Window and Door Manufacturing </t>
  </si>
  <si>
    <t xml:space="preserve">Cut Stock, Resawing Lumber, and Planing </t>
  </si>
  <si>
    <t xml:space="preserve">Other Millwork (including Flooring) </t>
  </si>
  <si>
    <t>Wood Container and Pallet Manufacturing</t>
  </si>
  <si>
    <t xml:space="preserve">Manufactured Home (Mobile Home) Manufacturing </t>
  </si>
  <si>
    <t xml:space="preserve">Prefabricated Wood Building Manufacturing </t>
  </si>
  <si>
    <t xml:space="preserve">All Other Miscellaneous Wood Product Manufacturing </t>
  </si>
  <si>
    <t xml:space="preserve">Pulp Mills </t>
  </si>
  <si>
    <t xml:space="preserve">Paper (except Newsprint) Mills </t>
  </si>
  <si>
    <t xml:space="preserve">Newsprint Mills </t>
  </si>
  <si>
    <t xml:space="preserve">Paperboard Mills </t>
  </si>
  <si>
    <t xml:space="preserve">Corrugated and Solid Fiber Box Manufacturing </t>
  </si>
  <si>
    <t xml:space="preserve">Folding Paperboard Box Manufacturing </t>
  </si>
  <si>
    <t xml:space="preserve">Other Paperboard Container Manufacturing </t>
  </si>
  <si>
    <t>Paper Bag and Coated and Treated Paper Manufacturing</t>
  </si>
  <si>
    <t>Stationery Product Manufacturing</t>
  </si>
  <si>
    <t xml:space="preserve">Sanitary Paper Product Manufacturing </t>
  </si>
  <si>
    <t xml:space="preserve">All Other Converted Paper Product Manufacturing </t>
  </si>
  <si>
    <t xml:space="preserve">Commercial Printing (except Screen and Books) </t>
  </si>
  <si>
    <t xml:space="preserve">Commercial Screen Printing </t>
  </si>
  <si>
    <t xml:space="preserve">Books Printing </t>
  </si>
  <si>
    <t>Support Activities for Printing</t>
  </si>
  <si>
    <t>Petroleum Refineries</t>
  </si>
  <si>
    <t xml:space="preserve">Asphalt Paving Mixture and Block Manufacturing </t>
  </si>
  <si>
    <t xml:space="preserve">Asphalt Shingle and Coating Materials Manufacturing </t>
  </si>
  <si>
    <t xml:space="preserve">Petroleum Lubricating Oil and Grease Manufacturing </t>
  </si>
  <si>
    <t xml:space="preserve">All Other Petroleum and Coal Products Manufacturing </t>
  </si>
  <si>
    <t>Petrochemical Manufacturing</t>
  </si>
  <si>
    <t>Industrial Gas Manufacturing</t>
  </si>
  <si>
    <t>Synthetic Dye and Pigment Manufacturing</t>
  </si>
  <si>
    <t xml:space="preserve">Other Basic Inorganic Chemical Manufacturing </t>
  </si>
  <si>
    <t xml:space="preserve">Ethyl Alcohol Manufacturing </t>
  </si>
  <si>
    <t xml:space="preserve">Cyclic Crude, Intermediate, and Gum and Wood Chemical Manufacturing </t>
  </si>
  <si>
    <t xml:space="preserve">All Other Basic Organic Chemical Manufacturing </t>
  </si>
  <si>
    <t xml:space="preserve">Plastics Material and Resin Manufacturing </t>
  </si>
  <si>
    <t xml:space="preserve">Synthetic Rubber Manufacturing </t>
  </si>
  <si>
    <t>Artificial and Synthetic Fibers and Filaments Manufacturing</t>
  </si>
  <si>
    <t xml:space="preserve">Nitrogenous Fertilizer Manufacturing </t>
  </si>
  <si>
    <t xml:space="preserve">Phosphatic Fertilizer Manufacturing </t>
  </si>
  <si>
    <t xml:space="preserve">Fertilizer (Mixing Only) Manufacturing </t>
  </si>
  <si>
    <t>Pesticide and Other Agricultural Chemical Manufacturing</t>
  </si>
  <si>
    <t xml:space="preserve">Medicinal and Botanical Manufacturing </t>
  </si>
  <si>
    <t xml:space="preserve">Pharmaceutical Preparation Manufacturing </t>
  </si>
  <si>
    <t xml:space="preserve">In-Vitro Diagnostic Substance Manufacturing </t>
  </si>
  <si>
    <t xml:space="preserve">Biological Product (except Diagnostic) Manufacturing </t>
  </si>
  <si>
    <t>Paint and Coating Manufacturing</t>
  </si>
  <si>
    <t>Adhesive Manufacturing</t>
  </si>
  <si>
    <t xml:space="preserve">Soap and Other Detergent Manufacturing </t>
  </si>
  <si>
    <t xml:space="preserve">Polish and Other Sanitation Good Manufacturing </t>
  </si>
  <si>
    <t xml:space="preserve">Surface Active Agent Manufacturing </t>
  </si>
  <si>
    <t>Toilet Preparation Manufacturing</t>
  </si>
  <si>
    <t>Printing Ink Manufacturing</t>
  </si>
  <si>
    <t>Explosives Manufacturing</t>
  </si>
  <si>
    <t xml:space="preserve">Custom Compounding of Purchased Resins </t>
  </si>
  <si>
    <t xml:space="preserve">Photographic Film, Paper, Plate, and Chemical Manufacturing </t>
  </si>
  <si>
    <t xml:space="preserve">All Other Miscellaneous Chemical Product and Preparation Manufacturing </t>
  </si>
  <si>
    <t xml:space="preserve">Plastics Bag and Pouch Manufacturing </t>
  </si>
  <si>
    <t xml:space="preserve">Plastics Packaging Film and Sheet (including Laminated) Manufacturing </t>
  </si>
  <si>
    <t xml:space="preserve">Unlaminated Plastics Film and Sheet (except Packaging) Manufacturing </t>
  </si>
  <si>
    <t xml:space="preserve">Unlaminated Plastics Profile Shape Manufacturing </t>
  </si>
  <si>
    <t xml:space="preserve">Plastics Pipe and Pipe Fitting Manufacturing </t>
  </si>
  <si>
    <t>Laminated Plastics Plate, Sheet (except Packaging), and Shape Manufacturing</t>
  </si>
  <si>
    <t>Polystyrene Foam Product Manufacturing</t>
  </si>
  <si>
    <t>Urethane and Other Foam Product (except Polystyrene) Manufacturing</t>
  </si>
  <si>
    <t>Plastics Bottle Manufacturing</t>
  </si>
  <si>
    <t xml:space="preserve">Plastics Plumbing Fixture Manufacturing </t>
  </si>
  <si>
    <t xml:space="preserve">All Other Plastics Product Manufacturing </t>
  </si>
  <si>
    <t xml:space="preserve">Tire Manufacturing (except Retreading) </t>
  </si>
  <si>
    <t xml:space="preserve">Tire Retreading </t>
  </si>
  <si>
    <t>Rubber and Plastics Hoses and Belting Manufacturing</t>
  </si>
  <si>
    <t xml:space="preserve">Rubber Product Manufacturing for Mechanical Use </t>
  </si>
  <si>
    <t xml:space="preserve">All Other Rubber Product Manufacturing </t>
  </si>
  <si>
    <t xml:space="preserve">Pottery, Ceramics, and Plumbing Fixture Manufacturing </t>
  </si>
  <si>
    <t xml:space="preserve">Clay Building Material and Refractories Manufacturing </t>
  </si>
  <si>
    <t xml:space="preserve">Flat Glass Manufacturing </t>
  </si>
  <si>
    <t xml:space="preserve">Other Pressed and Blown Glass and Glassware Manufacturing </t>
  </si>
  <si>
    <t xml:space="preserve">Glass Container Manufacturing </t>
  </si>
  <si>
    <t xml:space="preserve">Glass Product Manufacturing Made of Purchased Glass </t>
  </si>
  <si>
    <t>Cement Manufacturing</t>
  </si>
  <si>
    <t>Ready-Mix Concrete Manufacturing</t>
  </si>
  <si>
    <t xml:space="preserve">Concrete Block and Brick Manufacturing </t>
  </si>
  <si>
    <t xml:space="preserve">Concrete Pipe Manufacturing </t>
  </si>
  <si>
    <t xml:space="preserve">Other Concrete Product Manufacturing </t>
  </si>
  <si>
    <t>Lime Manufacturing</t>
  </si>
  <si>
    <t>Gypsum Product Manufacturing</t>
  </si>
  <si>
    <t>Abrasive Product Manufacturing</t>
  </si>
  <si>
    <t xml:space="preserve">Cut Stone and Stone Product Manufacturing </t>
  </si>
  <si>
    <t xml:space="preserve">Ground or Treated Mineral and Earth Manufacturing </t>
  </si>
  <si>
    <t xml:space="preserve">Mineral Wool Manufacturing </t>
  </si>
  <si>
    <t xml:space="preserve">All Other Miscellaneous Nonmetallic Mineral Product Manufacturing </t>
  </si>
  <si>
    <t xml:space="preserve">Iron and Steel Mills and Ferroalloy Manufacturing </t>
  </si>
  <si>
    <t>Iron and Steel Pipe and Tube Manufacturing from Purchased Steel</t>
  </si>
  <si>
    <t xml:space="preserve">Rolled Steel Shape Manufacturing </t>
  </si>
  <si>
    <t xml:space="preserve">Steel Wire Drawing </t>
  </si>
  <si>
    <t xml:space="preserve">Alumina Refining and Primary Aluminum Production </t>
  </si>
  <si>
    <t xml:space="preserve">Secondary Smelting and Alloying of Aluminum </t>
  </si>
  <si>
    <t xml:space="preserve">Aluminum Sheet, Plate, and Foil Manufacturing </t>
  </si>
  <si>
    <t xml:space="preserve">Other Aluminum Rolling, Drawing, and Extruding </t>
  </si>
  <si>
    <t xml:space="preserve">Nonferrous Metal (except Aluminum) Smelting and Refining </t>
  </si>
  <si>
    <t>Copper Rolling, Drawing, Extruding, and Alloying</t>
  </si>
  <si>
    <t xml:space="preserve">Nonferrous Metal (except Copper and Aluminum) Rolling, Drawing, and Extruding </t>
  </si>
  <si>
    <t xml:space="preserve">Secondary Smelting, Refining, and Alloying of Nonferrous Metal (except Copper and Aluminum) </t>
  </si>
  <si>
    <t xml:space="preserve">Iron Foundries </t>
  </si>
  <si>
    <t xml:space="preserve">Steel Investment Foundries </t>
  </si>
  <si>
    <t xml:space="preserve">Steel Foundries (except Investment) </t>
  </si>
  <si>
    <t xml:space="preserve">Nonferrous Metal Die-Casting Foundries </t>
  </si>
  <si>
    <t xml:space="preserve">Aluminum Foundries (except Die-Casting) </t>
  </si>
  <si>
    <t xml:space="preserve">Other Nonferrous Metal Foundries (except Die-Casting) </t>
  </si>
  <si>
    <t xml:space="preserve">Iron and Steel Forging </t>
  </si>
  <si>
    <t xml:space="preserve">Nonferrous Forging </t>
  </si>
  <si>
    <t xml:space="preserve">Custom Roll Forming </t>
  </si>
  <si>
    <t xml:space="preserve">Powder Metallurgy Part Manufacturing </t>
  </si>
  <si>
    <t xml:space="preserve">Metal Crown, Closure, and Other Metal Stamping (except Automotive) </t>
  </si>
  <si>
    <t xml:space="preserve">Metal Kitchen Cookware, Utensil, Cutlery, and Flatware (except Precious) Manufacturing </t>
  </si>
  <si>
    <t xml:space="preserve">Saw Blade and Handtool Manufacturing </t>
  </si>
  <si>
    <t xml:space="preserve">Prefabricated Metal Building and Component Manufacturing </t>
  </si>
  <si>
    <t xml:space="preserve">Fabricated Structural Metal Manufacturing </t>
  </si>
  <si>
    <t xml:space="preserve">Plate Work Manufacturing </t>
  </si>
  <si>
    <t xml:space="preserve">Metal Window and Door Manufacturing </t>
  </si>
  <si>
    <t xml:space="preserve">Sheet Metal Work Manufacturing </t>
  </si>
  <si>
    <t xml:space="preserve">Ornamental and Architectural Metal Work Manufacturing </t>
  </si>
  <si>
    <t>Power Boiler and Heat Exchanger Manufacturing</t>
  </si>
  <si>
    <t>Metal Tank (Heavy Gauge) Manufacturing</t>
  </si>
  <si>
    <t xml:space="preserve">Metal Can Manufacturing </t>
  </si>
  <si>
    <t xml:space="preserve">Other Metal Container Manufacturing </t>
  </si>
  <si>
    <t>Hardware Manufacturing</t>
  </si>
  <si>
    <t xml:space="preserve">Spring Manufacturing </t>
  </si>
  <si>
    <t xml:space="preserve">Other Fabricated Wire Product Manufacturing </t>
  </si>
  <si>
    <t>Machine Shops</t>
  </si>
  <si>
    <t xml:space="preserve">Precision Turned Product Manufacturing </t>
  </si>
  <si>
    <t xml:space="preserve">Bolt, Nut, Screw, Rivet, and Washer Manufacturing </t>
  </si>
  <si>
    <t xml:space="preserve">Metal Heat Treating </t>
  </si>
  <si>
    <t xml:space="preserve">Metal Coating, Engraving (except Jewelry and Silverware), and Allied Services to Manufacturers </t>
  </si>
  <si>
    <t xml:space="preserve">Electroplating, Plating, Polishing, Anodizing, and Coloring </t>
  </si>
  <si>
    <t xml:space="preserve">Industrial Valve Manufacturing </t>
  </si>
  <si>
    <t xml:space="preserve">Fluid Power Valve and Hose Fitting Manufacturing </t>
  </si>
  <si>
    <t xml:space="preserve">Plumbing Fixture Fitting and Trim Manufacturing </t>
  </si>
  <si>
    <t xml:space="preserve">Other Metal Valve and Pipe Fitting Manufacturing </t>
  </si>
  <si>
    <t>Ball and Roller Bearing Manufacturing</t>
  </si>
  <si>
    <t xml:space="preserve">Small Arms Ammunition Manufacturing </t>
  </si>
  <si>
    <t xml:space="preserve">Ammunition (except Small Arms) Manufacturing </t>
  </si>
  <si>
    <t xml:space="preserve">Small Arms, Ordnance, and Ordnance Accessories Manufacturing </t>
  </si>
  <si>
    <t xml:space="preserve">Fabricated Pipe and Pipe Fitting Manufacturing </t>
  </si>
  <si>
    <t xml:space="preserve">All Other Miscellaneous Fabricated Metal Product Manufacturing </t>
  </si>
  <si>
    <t xml:space="preserve">Farm Machinery and Equipment Manufacturing </t>
  </si>
  <si>
    <t xml:space="preserve">Lawn and Garden Tractor and Home Lawn and Garden Equipment Manufacturing </t>
  </si>
  <si>
    <t>Construction Machinery Manufacturing</t>
  </si>
  <si>
    <t xml:space="preserve">Mining Machinery and Equipment Manufacturing </t>
  </si>
  <si>
    <t xml:space="preserve">Oil and Gas Field Machinery and Equipment Manufacturing </t>
  </si>
  <si>
    <t xml:space="preserve">Food Product Machinery Manufacturing </t>
  </si>
  <si>
    <t xml:space="preserve">Semiconductor Machinery Manufacturing </t>
  </si>
  <si>
    <t xml:space="preserve">Sawmill, Woodworking, and Paper Machinery Manufacturing </t>
  </si>
  <si>
    <t xml:space="preserve">Printing Machinery and Equipment Manufacturing </t>
  </si>
  <si>
    <t xml:space="preserve">Other Industrial Machinery Manufacturing </t>
  </si>
  <si>
    <t xml:space="preserve">Optical Instrument and Lens Manufacturing </t>
  </si>
  <si>
    <t xml:space="preserve">Photographic and Photocopying Equipment Manufacturing </t>
  </si>
  <si>
    <t xml:space="preserve">Other Commercial and Service Industry Machinery Manufacturing </t>
  </si>
  <si>
    <t xml:space="preserve">Industrial and Commercial Fan and Blower and Air Purification Equipment Manufacturing </t>
  </si>
  <si>
    <t xml:space="preserve">Heating Equipment (except Warm Air Furnaces) Manufacturing </t>
  </si>
  <si>
    <t xml:space="preserve">Air-Conditioning and Warm Air Heating Equipment and Commercial and Industrial Refrigeration Equipment Manufacturing </t>
  </si>
  <si>
    <t xml:space="preserve">Industrial Mold Manufacturing </t>
  </si>
  <si>
    <t xml:space="preserve">Special Die and Tool, Die Set, Jig, and Fixture Manufacturing </t>
  </si>
  <si>
    <t xml:space="preserve">Cutting Tool and Machine Tool Accessory Manufacturing </t>
  </si>
  <si>
    <t xml:space="preserve">Machine Tool Manufacturing </t>
  </si>
  <si>
    <t xml:space="preserve">Rolling Mill and Other Metalworking Machinery Manufacturing </t>
  </si>
  <si>
    <t xml:space="preserve">Turbine and Turbine Generator Set Units Manufacturing </t>
  </si>
  <si>
    <t xml:space="preserve">Speed Changer, Industrial High-Speed Drive, and Gear Manufacturing </t>
  </si>
  <si>
    <t xml:space="preserve">Mechanical Power Transmission Equipment Manufacturing </t>
  </si>
  <si>
    <t xml:space="preserve">Other Engine Equipment Manufacturing </t>
  </si>
  <si>
    <t xml:space="preserve">Pump and Pumping Equipment Manufacturing </t>
  </si>
  <si>
    <t xml:space="preserve">Air and Gas Compressor Manufacturing </t>
  </si>
  <si>
    <t xml:space="preserve">Measuring and Dispensing Pump Manufacturing </t>
  </si>
  <si>
    <t xml:space="preserve">Elevator and Moving Stairway Manufacturing </t>
  </si>
  <si>
    <t xml:space="preserve">Conveyor and Conveying Equipment Manufacturing </t>
  </si>
  <si>
    <t xml:space="preserve">Overhead Traveling Crane, Hoist, and Monorail System Manufacturing </t>
  </si>
  <si>
    <t xml:space="preserve">Industrial Truck, Tractor, Trailer, and Stacker Machinery Manufacturing </t>
  </si>
  <si>
    <t xml:space="preserve">Power-Driven Handtool Manufacturing </t>
  </si>
  <si>
    <t xml:space="preserve">Welding and Soldering Equipment Manufacturing </t>
  </si>
  <si>
    <t xml:space="preserve">Packaging Machinery Manufacturing </t>
  </si>
  <si>
    <t xml:space="preserve">Industrial Process Furnace and Oven Manufacturing </t>
  </si>
  <si>
    <t xml:space="preserve">Fluid Power Cylinder and Actuator Manufacturing </t>
  </si>
  <si>
    <t xml:space="preserve">Fluid Power Pump and Motor Manufacturing </t>
  </si>
  <si>
    <t xml:space="preserve">Scale and Balance Manufacturing </t>
  </si>
  <si>
    <t xml:space="preserve">All Other Miscellaneous General Purpose Machinery Manufacturing </t>
  </si>
  <si>
    <t xml:space="preserve">Electronic Computer Manufacturing </t>
  </si>
  <si>
    <t xml:space="preserve">Computer Storage Device Manufacturing </t>
  </si>
  <si>
    <t xml:space="preserve">Computer Terminal and Other Computer Peripheral Equipment Manufacturing </t>
  </si>
  <si>
    <t>Telephone Apparatus Manufacturing</t>
  </si>
  <si>
    <t>Radio and Television Broadcasting and Wireless Communications Equipment Manufacturing</t>
  </si>
  <si>
    <t>Other Communications Equipment Manufacturing</t>
  </si>
  <si>
    <t>Audio and Video Equipment Manufacturing</t>
  </si>
  <si>
    <t xml:space="preserve">Bare Printed Circuit Board Manufacturing  </t>
  </si>
  <si>
    <t xml:space="preserve">Semiconductor and Related Device Manufacturing </t>
  </si>
  <si>
    <t xml:space="preserve">Capacitor, Resistor, Coil, Transformer, and Other Inductor Manufacturing </t>
  </si>
  <si>
    <t xml:space="preserve">Electronic Connector Manufacturing </t>
  </si>
  <si>
    <t xml:space="preserve">Printed Circuit Assembly (Electronic Assembly) Manufacturing </t>
  </si>
  <si>
    <t xml:space="preserve">Other Electronic Component Manufacturing </t>
  </si>
  <si>
    <t xml:space="preserve">Electromedical and Electrotherapeutic Apparatus Manufacturing </t>
  </si>
  <si>
    <t xml:space="preserve">Search, Detection, Navigation, Guidance, Aeronautical, and Nautical System and Instrument Manufacturing </t>
  </si>
  <si>
    <t xml:space="preserve">Automatic Environmental Control Manufacturing for Residential, Commercial, and Appliance Use </t>
  </si>
  <si>
    <t xml:space="preserve">Instruments and Related Products Manufacturing for Measuring, Displaying, and Controlling Industrial Process Variables </t>
  </si>
  <si>
    <t xml:space="preserve">Totalizing Fluid Meter and Counting Device Manufacturing </t>
  </si>
  <si>
    <t xml:space="preserve">Instrument Manufacturing for Measuring and Testing Electricity and Electrical Signals </t>
  </si>
  <si>
    <t xml:space="preserve">Analytical Laboratory Instrument Manufacturing </t>
  </si>
  <si>
    <t xml:space="preserve">Irradiation Apparatus Manufacturing </t>
  </si>
  <si>
    <t xml:space="preserve">Other Measuring and Controlling Device Manufacturing </t>
  </si>
  <si>
    <t xml:space="preserve">Blank Magnetic and Optical Recording Media Manufacturing </t>
  </si>
  <si>
    <t xml:space="preserve">Software and Other Prerecorded Compact Disc, Tape, and Record Reproducing </t>
  </si>
  <si>
    <t>Electric Lamp Bulb and Part Manufacturing</t>
  </si>
  <si>
    <t xml:space="preserve">Residential Electric Lighting Fixture Manufacturing </t>
  </si>
  <si>
    <t xml:space="preserve">Commercial, Industrial, and Institutional Electric Lighting Fixture Manufacturing </t>
  </si>
  <si>
    <t xml:space="preserve">Other Lighting Equipment Manufacturing </t>
  </si>
  <si>
    <t>Small Electrical Appliance Manufacturing</t>
  </si>
  <si>
    <t xml:space="preserve">Household Cooking Appliance Manufacturing </t>
  </si>
  <si>
    <t xml:space="preserve">Household Refrigerator and Home Freezer Manufacturing </t>
  </si>
  <si>
    <t xml:space="preserve">Household Laundry Equipment Manufacturing </t>
  </si>
  <si>
    <t xml:space="preserve">Other Major Household Appliance Manufacturing </t>
  </si>
  <si>
    <t xml:space="preserve">Power, Distribution, and Specialty Transformer Manufacturing </t>
  </si>
  <si>
    <t xml:space="preserve">Motor and Generator Manufacturing </t>
  </si>
  <si>
    <t xml:space="preserve">Switchgear and Switchboard Apparatus Manufacturing </t>
  </si>
  <si>
    <t xml:space="preserve">Relay and Industrial Control Manufacturing </t>
  </si>
  <si>
    <t xml:space="preserve">Storage Battery Manufacturing </t>
  </si>
  <si>
    <t xml:space="preserve">Primary Battery Manufacturing </t>
  </si>
  <si>
    <t xml:space="preserve">Fiber Optic Cable Manufacturing </t>
  </si>
  <si>
    <t xml:space="preserve">Other Communication and Energy Wire Manufacturing </t>
  </si>
  <si>
    <t xml:space="preserve">Current-Carrying Wiring Device Manufacturing </t>
  </si>
  <si>
    <t xml:space="preserve">Noncurrent-Carrying Wiring Device Manufacturing </t>
  </si>
  <si>
    <t xml:space="preserve">Carbon and Graphite Product Manufacturing </t>
  </si>
  <si>
    <t xml:space="preserve">All Other Miscellaneous Electrical Equipment and Component Manufacturing </t>
  </si>
  <si>
    <t xml:space="preserve">Automobile Manufacturing </t>
  </si>
  <si>
    <t xml:space="preserve">Light Truck and Utility Vehicle Manufacturing </t>
  </si>
  <si>
    <t>Heavy Duty Truck Manufacturing</t>
  </si>
  <si>
    <t xml:space="preserve">Motor Vehicle Body Manufacturing </t>
  </si>
  <si>
    <t xml:space="preserve">Truck Trailer Manufacturing </t>
  </si>
  <si>
    <t xml:space="preserve">Motor Home Manufacturing </t>
  </si>
  <si>
    <t xml:space="preserve">Travel Trailer and Camper Manufacturing </t>
  </si>
  <si>
    <t>Motor Vehicle Gasoline Engine and Engine Parts Manufacturing</t>
  </si>
  <si>
    <t>Motor Vehicle Electrical and Electronic Equipment Manufacturing</t>
  </si>
  <si>
    <t>Motor Vehicle Steering and Suspension Components (except Spring) Manufacturing</t>
  </si>
  <si>
    <t>Motor Vehicle Brake System Manufacturing</t>
  </si>
  <si>
    <t>Motor Vehicle Transmission and Power Train Parts Manufacturing</t>
  </si>
  <si>
    <t>Motor Vehicle Seating and Interior Trim Manufacturing</t>
  </si>
  <si>
    <t>Motor Vehicle Metal Stamping</t>
  </si>
  <si>
    <t>Other Motor Vehicle Parts Manufacturing</t>
  </si>
  <si>
    <t xml:space="preserve">Aircraft Manufacturing </t>
  </si>
  <si>
    <t xml:space="preserve">Aircraft Engine and Engine Parts Manufacturing </t>
  </si>
  <si>
    <t xml:space="preserve">Other Aircraft Parts and Auxiliary Equipment Manufacturing </t>
  </si>
  <si>
    <t xml:space="preserve">Guided Missile and Space Vehicle Manufacturing </t>
  </si>
  <si>
    <t xml:space="preserve">Guided Missile and Space Vehicle Propulsion Unit and Propulsion Unit Parts Manufacturing </t>
  </si>
  <si>
    <t xml:space="preserve">Other Guided Missile and Space Vehicle Parts and Auxiliary Equipment Manufacturing </t>
  </si>
  <si>
    <t>Railroad Rolling Stock Manufacturing</t>
  </si>
  <si>
    <t xml:space="preserve">Ship Building and Repairing </t>
  </si>
  <si>
    <t xml:space="preserve">Boat Building </t>
  </si>
  <si>
    <t xml:space="preserve">Motorcycle, Bicycle, and Parts Manufacturing </t>
  </si>
  <si>
    <t xml:space="preserve">Military Armored Vehicle, Tank, and Tank Component Manufacturing </t>
  </si>
  <si>
    <t xml:space="preserve">All Other Transportation Equipment Manufacturing </t>
  </si>
  <si>
    <t>Wood Kitchen Cabinet and Countertop Manufacturing</t>
  </si>
  <si>
    <t xml:space="preserve">Upholstered Household Furniture Manufacturing </t>
  </si>
  <si>
    <t xml:space="preserve">Nonupholstered Wood Household Furniture Manufacturing </t>
  </si>
  <si>
    <t xml:space="preserve">Metal Household Furniture Manufacturing </t>
  </si>
  <si>
    <t xml:space="preserve">Household Furniture (except Wood and Metal) Manufacturing </t>
  </si>
  <si>
    <t xml:space="preserve">Institutional Furniture Manufacturing </t>
  </si>
  <si>
    <t xml:space="preserve">Wood Office Furniture Manufacturing </t>
  </si>
  <si>
    <t xml:space="preserve">Custom Architectural Woodwork and Millwork Manufacturing </t>
  </si>
  <si>
    <t xml:space="preserve">Office Furniture (except Wood) Manufacturing </t>
  </si>
  <si>
    <t xml:space="preserve">Showcase, Partition, Shelving, and Locker Manufacturing </t>
  </si>
  <si>
    <t>Mattress Manufacturing</t>
  </si>
  <si>
    <t>Blind and Shade Manufacturing</t>
  </si>
  <si>
    <t xml:space="preserve">Surgical and Medical Instrument Manufacturing </t>
  </si>
  <si>
    <t xml:space="preserve">Surgical Appliance and Supplies Manufacturing </t>
  </si>
  <si>
    <t xml:space="preserve">Dental Equipment and Supplies Manufacturing </t>
  </si>
  <si>
    <t xml:space="preserve">Ophthalmic Goods Manufacturing </t>
  </si>
  <si>
    <t xml:space="preserve">Dental Laboratories </t>
  </si>
  <si>
    <t xml:space="preserve">Jewelry and Silverware Manufacturing </t>
  </si>
  <si>
    <t>Sporting and Athletic Goods Manufacturing</t>
  </si>
  <si>
    <t>Doll, Toy, and Game Manufacturing</t>
  </si>
  <si>
    <t>Office Supplies (except Paper) Manufacturing</t>
  </si>
  <si>
    <t>Sign Manufacturing</t>
  </si>
  <si>
    <t xml:space="preserve">Gasket, Packing, and Sealing Device Manufacturing </t>
  </si>
  <si>
    <t xml:space="preserve">Musical Instrument Manufacturing </t>
  </si>
  <si>
    <t xml:space="preserve">Fastener, Button, Needle, and Pin Manufacturing </t>
  </si>
  <si>
    <t xml:space="preserve">Broom, Brush, and Mop Manufacturing </t>
  </si>
  <si>
    <t xml:space="preserve">Burial Casket Manufacturing </t>
  </si>
  <si>
    <t xml:space="preserve">All Other Miscellaneous Manufacturing </t>
  </si>
  <si>
    <t xml:space="preserve">Automobile and Other Motor Vehicle Merchant Wholesalers </t>
  </si>
  <si>
    <t xml:space="preserve">Motor Vehicle Supplies and New Parts Merchant Wholesalers </t>
  </si>
  <si>
    <t xml:space="preserve">Tire and Tube Merchant Wholesalers </t>
  </si>
  <si>
    <t xml:space="preserve">Motor Vehicle Parts (Used) Merchant Wholesalers </t>
  </si>
  <si>
    <t xml:space="preserve">Furniture Merchant Wholesalers </t>
  </si>
  <si>
    <t xml:space="preserve">Home Furnishing Merchant Wholesalers </t>
  </si>
  <si>
    <t xml:space="preserve">Lumber, Plywood, Millwork, and Wood Panel Merchant Wholesalers </t>
  </si>
  <si>
    <t xml:space="preserve">Brick, Stone, and Related Construction Material Merchant Wholesalers </t>
  </si>
  <si>
    <t xml:space="preserve">Roofing, Siding, and Insulation Material Merchant Wholesalers </t>
  </si>
  <si>
    <t xml:space="preserve">Other Construction Material Merchant Wholesalers </t>
  </si>
  <si>
    <t xml:space="preserve">Photographic Equipment and Supplies Merchant Wholesalers </t>
  </si>
  <si>
    <t xml:space="preserve">Office Equipment Merchant Wholesalers </t>
  </si>
  <si>
    <t xml:space="preserve">Computer and Computer Peripheral Equipment and Software Merchant Wholesalers </t>
  </si>
  <si>
    <t xml:space="preserve">Other Commercial Equipment Merchant Wholesalers </t>
  </si>
  <si>
    <t xml:space="preserve">Medical, Dental, and Hospital Equipment and Supplies Merchant Wholesalers </t>
  </si>
  <si>
    <t xml:space="preserve">Ophthalmic Goods Merchant Wholesalers </t>
  </si>
  <si>
    <t xml:space="preserve">Other Professional Equipment and Supplies Merchant Wholesalers </t>
  </si>
  <si>
    <t xml:space="preserve">Metal Service Centers and Other Metal Merchant Wholesalers </t>
  </si>
  <si>
    <t xml:space="preserve">Coal and Other Mineral and Ore Merchant Wholesalers </t>
  </si>
  <si>
    <t xml:space="preserve">Electrical Apparatus and Equipment, Wiring Supplies, and Related Equipment Merchant Wholesalers </t>
  </si>
  <si>
    <t xml:space="preserve">Household Appliances, Electric Housewares, and Consumer Electronics Merchant Wholesalers </t>
  </si>
  <si>
    <t xml:space="preserve">Other Electronic Parts and Equipment Merchant Wholesalers </t>
  </si>
  <si>
    <t xml:space="preserve">Hardware Merchant Wholesalers </t>
  </si>
  <si>
    <t xml:space="preserve">Plumbing and Heating Equipment and Supplies (Hydronics) Merchant Wholesalers </t>
  </si>
  <si>
    <t xml:space="preserve">Warm Air Heating and Air-Conditioning Equipment and Supplies Merchant Wholesalers </t>
  </si>
  <si>
    <t xml:space="preserve">Refrigeration Equipment and Supplies Merchant Wholesalers </t>
  </si>
  <si>
    <t xml:space="preserve">Construction and Mining (except Oil Well) Machinery and Equipment Merchant Wholesalers </t>
  </si>
  <si>
    <t xml:space="preserve">Farm and Garden Machinery and Equipment Merchant Wholesalers </t>
  </si>
  <si>
    <t xml:space="preserve">Industrial Machinery and Equipment Merchant Wholesalers </t>
  </si>
  <si>
    <t>Industrial Supplies Merchant Wholesalers</t>
  </si>
  <si>
    <t xml:space="preserve">Service Establishment Equipment and Supplies Merchant Wholesalers </t>
  </si>
  <si>
    <t xml:space="preserve">Transportation Equipment and Supplies (except Motor Vehicle) Merchant Wholesalers </t>
  </si>
  <si>
    <t xml:space="preserve">Sporting and Recreational Goods and Supplies Merchant Wholesalers </t>
  </si>
  <si>
    <t xml:space="preserve">Toy and Hobby Goods and Supplies Merchant Wholesalers </t>
  </si>
  <si>
    <t xml:space="preserve">Recyclable Material Merchant Wholesalers </t>
  </si>
  <si>
    <t xml:space="preserve">Jewelry, Watch, Precious Stone, and Precious Metal Merchant Wholesalers </t>
  </si>
  <si>
    <t xml:space="preserve">Other Miscellaneous Durable Goods Merchant Wholesalers </t>
  </si>
  <si>
    <t xml:space="preserve">Printing and Writing Paper Merchant Wholesalers </t>
  </si>
  <si>
    <t xml:space="preserve">Stationery and Office Supplies Merchant Wholesalers </t>
  </si>
  <si>
    <t xml:space="preserve">Industrial and Personal Service Paper Merchant Wholesalers </t>
  </si>
  <si>
    <t xml:space="preserve">Drugs and Druggists' Sundries Merchant Wholesalers </t>
  </si>
  <si>
    <t xml:space="preserve">Piece Goods, Notions, and Other Dry Goods Merchant Wholesalers </t>
  </si>
  <si>
    <t xml:space="preserve">Men's and Boys' Clothing and Furnishings Merchant Wholesalers </t>
  </si>
  <si>
    <t xml:space="preserve">Women's, Children's, and Infants' Clothing and Accessories Merchant Wholesalers </t>
  </si>
  <si>
    <t xml:space="preserve">Footwear Merchant Wholesalers </t>
  </si>
  <si>
    <t xml:space="preserve">General Line Grocery Merchant Wholesalers </t>
  </si>
  <si>
    <t xml:space="preserve">Packaged Frozen Food Merchant Wholesalers </t>
  </si>
  <si>
    <t xml:space="preserve">Dairy Product (except Dried or Canned) Merchant Wholesalers </t>
  </si>
  <si>
    <t xml:space="preserve">Poultry and Poultry Product Merchant Wholesalers </t>
  </si>
  <si>
    <t xml:space="preserve">Confectionery Merchant Wholesalers </t>
  </si>
  <si>
    <t xml:space="preserve">Fish and Seafood Merchant Wholesalers </t>
  </si>
  <si>
    <t xml:space="preserve">Meat and Meat Product Merchant Wholesalers </t>
  </si>
  <si>
    <t xml:space="preserve">Fresh Fruit and Vegetable Merchant Wholesalers </t>
  </si>
  <si>
    <t xml:space="preserve">Other Grocery and Related Products Merchant Wholesalers </t>
  </si>
  <si>
    <t xml:space="preserve">Grain and Field Bean Merchant Wholesalers </t>
  </si>
  <si>
    <t xml:space="preserve">Livestock Merchant Wholesalers </t>
  </si>
  <si>
    <t xml:space="preserve">Other Farm Product Raw Material Merchant Wholesalers </t>
  </si>
  <si>
    <t xml:space="preserve">Plastics Materials and Basic Forms and Shapes Merchant Wholesalers </t>
  </si>
  <si>
    <t xml:space="preserve">Other Chemical and Allied Products Merchant Wholesalers </t>
  </si>
  <si>
    <t xml:space="preserve">Petroleum Bulk Stations and Terminals </t>
  </si>
  <si>
    <t xml:space="preserve">Petroleum and Petroleum Products Merchant Wholesalers (except Bulk Stations and Terminals) </t>
  </si>
  <si>
    <t xml:space="preserve">Beer and Ale Merchant Wholesalers </t>
  </si>
  <si>
    <t xml:space="preserve">Wine and Distilled Alcoholic Beverage Merchant Wholesalers </t>
  </si>
  <si>
    <t xml:space="preserve">Farm Supplies Merchant Wholesalers </t>
  </si>
  <si>
    <t xml:space="preserve">Book, Periodical, and Newspaper Merchant Wholesalers </t>
  </si>
  <si>
    <t xml:space="preserve">Flower, Nursery Stock, and Florists' Supplies Merchant Wholesalers </t>
  </si>
  <si>
    <t xml:space="preserve">Tobacco and Tobacco Product Merchant Wholesalers </t>
  </si>
  <si>
    <t xml:space="preserve">Paint, Varnish, and Supplies Merchant Wholesalers </t>
  </si>
  <si>
    <t xml:space="preserve">Other Miscellaneous Nondurable Goods Merchant Wholesalers </t>
  </si>
  <si>
    <t xml:space="preserve">Business to Business Electronic Markets </t>
  </si>
  <si>
    <t xml:space="preserve">Wholesale Trade Agents and Brokers </t>
  </si>
  <si>
    <t xml:space="preserve">New Car Dealers </t>
  </si>
  <si>
    <t xml:space="preserve">Used Car Dealers </t>
  </si>
  <si>
    <t xml:space="preserve">Recreational Vehicle Dealers </t>
  </si>
  <si>
    <t xml:space="preserve">Boat Dealers </t>
  </si>
  <si>
    <t xml:space="preserve">Motorcycle, ATV, and All Other Motor Vehicle Dealers </t>
  </si>
  <si>
    <t xml:space="preserve">Automotive Parts and Accessories Stores </t>
  </si>
  <si>
    <t xml:space="preserve">Tire Dealers </t>
  </si>
  <si>
    <t xml:space="preserve">Furniture Stores </t>
  </si>
  <si>
    <t xml:space="preserve">Floor Covering Stores </t>
  </si>
  <si>
    <t xml:space="preserve">Window Treatment Stores </t>
  </si>
  <si>
    <t xml:space="preserve">All Other Home Furnishings Stores </t>
  </si>
  <si>
    <t xml:space="preserve">Household Appliance Stores </t>
  </si>
  <si>
    <t xml:space="preserve">Electronics Stores </t>
  </si>
  <si>
    <t xml:space="preserve">Home Centers </t>
  </si>
  <si>
    <t xml:space="preserve">Paint and Wallpaper Stores </t>
  </si>
  <si>
    <t xml:space="preserve">Hardware Stores </t>
  </si>
  <si>
    <t xml:space="preserve">Other Building Material Dealers </t>
  </si>
  <si>
    <t xml:space="preserve">Outdoor Power Equipment Stores </t>
  </si>
  <si>
    <t xml:space="preserve">Nursery, Garden Center, and Farm Supply Stores </t>
  </si>
  <si>
    <t xml:space="preserve">Supermarkets and Other Grocery (except Convenience) Stores </t>
  </si>
  <si>
    <t xml:space="preserve">Convenience Stores </t>
  </si>
  <si>
    <t xml:space="preserve">Meat Markets </t>
  </si>
  <si>
    <t xml:space="preserve">Fish and Seafood Markets </t>
  </si>
  <si>
    <t xml:space="preserve">Fruit and Vegetable Markets </t>
  </si>
  <si>
    <t xml:space="preserve">Baked Goods Stores </t>
  </si>
  <si>
    <t xml:space="preserve">Confectionery and Nut Stores </t>
  </si>
  <si>
    <t xml:space="preserve">All Other Specialty Food Stores </t>
  </si>
  <si>
    <t xml:space="preserve">Beer, Wine, and Liquor Stores </t>
  </si>
  <si>
    <t xml:space="preserve">Pharmacies and Drug Stores </t>
  </si>
  <si>
    <t xml:space="preserve">Cosmetics, Beauty Supplies, and Perfume Stores </t>
  </si>
  <si>
    <t xml:space="preserve">Optical Goods Stores </t>
  </si>
  <si>
    <t xml:space="preserve">Food (Health) Supplement Stores </t>
  </si>
  <si>
    <t xml:space="preserve">All Other Health and Personal Care Stores </t>
  </si>
  <si>
    <t xml:space="preserve">Gasoline Stations with Convenience Stores </t>
  </si>
  <si>
    <t xml:space="preserve">Other Gasoline Stations </t>
  </si>
  <si>
    <t xml:space="preserve">Men's Clothing Stores </t>
  </si>
  <si>
    <t xml:space="preserve">Women's Clothing Stores </t>
  </si>
  <si>
    <t xml:space="preserve">Children's and Infants' Clothing Stores </t>
  </si>
  <si>
    <t xml:space="preserve">Family Clothing Stores </t>
  </si>
  <si>
    <t xml:space="preserve">Clothing Accessories Stores </t>
  </si>
  <si>
    <t xml:space="preserve">Other Clothing Stores </t>
  </si>
  <si>
    <t xml:space="preserve">Shoe Stores </t>
  </si>
  <si>
    <t xml:space="preserve">Jewelry Stores </t>
  </si>
  <si>
    <t xml:space="preserve">Luggage and Leather Goods Stores </t>
  </si>
  <si>
    <t xml:space="preserve">Sporting Goods Stores </t>
  </si>
  <si>
    <t xml:space="preserve">Hobby, Toy, and Game Stores </t>
  </si>
  <si>
    <t xml:space="preserve">Sewing, Needlework, and Piece Goods Stores </t>
  </si>
  <si>
    <t xml:space="preserve">Musical Instrument and Supplies Stores </t>
  </si>
  <si>
    <t xml:space="preserve">Book Stores </t>
  </si>
  <si>
    <t xml:space="preserve">News Dealers and Newsstands </t>
  </si>
  <si>
    <t xml:space="preserve">Department Stores (except Discount Department Stores) </t>
  </si>
  <si>
    <t xml:space="preserve">Discount Department Stores </t>
  </si>
  <si>
    <t xml:space="preserve">Warehouse Clubs and Supercenters </t>
  </si>
  <si>
    <t xml:space="preserve">All Other General Merchandise Stores </t>
  </si>
  <si>
    <t xml:space="preserve">Florists </t>
  </si>
  <si>
    <t xml:space="preserve">Office Supplies and Stationery Stores </t>
  </si>
  <si>
    <t xml:space="preserve">Gift, Novelty, and Souvenir Stores </t>
  </si>
  <si>
    <t xml:space="preserve">Used Merchandise Stores </t>
  </si>
  <si>
    <t xml:space="preserve">Pet and Pet Supplies Stores </t>
  </si>
  <si>
    <t xml:space="preserve">Art Dealers </t>
  </si>
  <si>
    <t xml:space="preserve">Manufactured (Mobile) Home Dealers </t>
  </si>
  <si>
    <t xml:space="preserve">Tobacco Stores </t>
  </si>
  <si>
    <t xml:space="preserve">All Other Miscellaneous Store Retailers (except Tobacco Stores) </t>
  </si>
  <si>
    <t xml:space="preserve">Electronic Shopping </t>
  </si>
  <si>
    <t xml:space="preserve">Electronic Auctions </t>
  </si>
  <si>
    <t xml:space="preserve">Mail-Order Houses </t>
  </si>
  <si>
    <t xml:space="preserve">Vending Machine Operators </t>
  </si>
  <si>
    <t xml:space="preserve">Fuel Dealers </t>
  </si>
  <si>
    <t xml:space="preserve">Other Direct Selling Establishments </t>
  </si>
  <si>
    <t xml:space="preserve">Scheduled Passenger Air Transportation </t>
  </si>
  <si>
    <t xml:space="preserve">Scheduled Freight Air Transportation </t>
  </si>
  <si>
    <t xml:space="preserve">Nonscheduled Chartered Passenger Air Transportation </t>
  </si>
  <si>
    <t xml:space="preserve">Nonscheduled Chartered Freight Air Transportation </t>
  </si>
  <si>
    <t xml:space="preserve">Other Nonscheduled Air Transportation </t>
  </si>
  <si>
    <t xml:space="preserve">Line-Haul Railroads </t>
  </si>
  <si>
    <t xml:space="preserve">Short Line Railroads </t>
  </si>
  <si>
    <t xml:space="preserve">Deep Sea Freight Transportation </t>
  </si>
  <si>
    <t xml:space="preserve">Deep Sea Passenger Transportation </t>
  </si>
  <si>
    <t xml:space="preserve">Coastal and Great Lakes Freight Transportation </t>
  </si>
  <si>
    <t xml:space="preserve">Coastal and Great Lakes Passenger Transportation </t>
  </si>
  <si>
    <t xml:space="preserve">Inland Water Freight Transportation </t>
  </si>
  <si>
    <t xml:space="preserve">Inland Water Passenger Transportation </t>
  </si>
  <si>
    <t xml:space="preserve">General Freight Trucking, Local </t>
  </si>
  <si>
    <t xml:space="preserve">General Freight Trucking, Long-Distance, Truckload </t>
  </si>
  <si>
    <t xml:space="preserve">General Freight Trucking, Long-Distance, Less Than Truckload </t>
  </si>
  <si>
    <t>Used Household and Office Goods Moving</t>
  </si>
  <si>
    <t xml:space="preserve">Specialized Freight (except Used Goods) Trucking, Local </t>
  </si>
  <si>
    <t xml:space="preserve">Specialized Freight (except Used Goods) Trucking, Long-Distance </t>
  </si>
  <si>
    <t xml:space="preserve">Mixed Mode Transit Systems </t>
  </si>
  <si>
    <t xml:space="preserve">Commuter Rail Systems </t>
  </si>
  <si>
    <t xml:space="preserve">Bus and Other Motor Vehicle Transit Systems </t>
  </si>
  <si>
    <t xml:space="preserve">Other Urban Transit Systems </t>
  </si>
  <si>
    <t>Interurban and Rural Bus Transportation</t>
  </si>
  <si>
    <t xml:space="preserve">Taxi Service </t>
  </si>
  <si>
    <t>Limousine Service</t>
  </si>
  <si>
    <t>School and Employee Bus Transportation</t>
  </si>
  <si>
    <t>Charter Bus Industry</t>
  </si>
  <si>
    <t xml:space="preserve">Special Needs Transportation </t>
  </si>
  <si>
    <t xml:space="preserve">All Other Transit and Ground Passenger Transportation </t>
  </si>
  <si>
    <t>Pipeline Transportation of Crude Oil</t>
  </si>
  <si>
    <t>Pipeline Transportation of Natural Gas</t>
  </si>
  <si>
    <t>Pipeline Transportation of Refined Petroleum Products</t>
  </si>
  <si>
    <t>All Other Pipeline Transportation</t>
  </si>
  <si>
    <t>Scenic and Sightseeing Transportation, Land</t>
  </si>
  <si>
    <t>Scenic and Sightseeing Transportation, Water</t>
  </si>
  <si>
    <t>Scenic and Sightseeing Transportation, Other</t>
  </si>
  <si>
    <t>Air Traffic Control</t>
  </si>
  <si>
    <t xml:space="preserve">Other Airport Operations </t>
  </si>
  <si>
    <t>Other Support Activities for Air Transportation</t>
  </si>
  <si>
    <t>Support Activities for Rail Transportation</t>
  </si>
  <si>
    <t>Port and Harbor Operations</t>
  </si>
  <si>
    <t>Marine Cargo Handling</t>
  </si>
  <si>
    <t xml:space="preserve">Navigational Services to Shipping </t>
  </si>
  <si>
    <t>Other Support Activities for Water Transportation</t>
  </si>
  <si>
    <t>Motor Vehicle Towing</t>
  </si>
  <si>
    <t xml:space="preserve">Other Support Activities for Road Transportation </t>
  </si>
  <si>
    <t xml:space="preserve">Freight Transportation Arrangement </t>
  </si>
  <si>
    <t xml:space="preserve">Packing and Crating </t>
  </si>
  <si>
    <t xml:space="preserve">All Other Support Activities for Transportation </t>
  </si>
  <si>
    <t>Postal Service</t>
  </si>
  <si>
    <t>Couriers and Express Delivery Services</t>
  </si>
  <si>
    <t>Local Messengers and Local Delivery</t>
  </si>
  <si>
    <t xml:space="preserve">General Warehousing and Storage </t>
  </si>
  <si>
    <t>Refrigerated Warehousing and Storage</t>
  </si>
  <si>
    <t>Farm Product Warehousing and Storage</t>
  </si>
  <si>
    <t>Other Warehousing and Storage</t>
  </si>
  <si>
    <t xml:space="preserve">Newspaper Publishers </t>
  </si>
  <si>
    <t xml:space="preserve">Periodical Publishers </t>
  </si>
  <si>
    <t xml:space="preserve">Book Publishers </t>
  </si>
  <si>
    <t xml:space="preserve">Directory and Mailing List Publishers </t>
  </si>
  <si>
    <t xml:space="preserve">Greeting Card Publishers </t>
  </si>
  <si>
    <t xml:space="preserve">All Other Publishers </t>
  </si>
  <si>
    <t>Software Publishers</t>
  </si>
  <si>
    <t xml:space="preserve">Motion Picture and Video Production </t>
  </si>
  <si>
    <t>Motion Picture and Video Distribution</t>
  </si>
  <si>
    <t xml:space="preserve">Motion Picture Theaters (except Drive-Ins) </t>
  </si>
  <si>
    <t xml:space="preserve">Drive-In Motion Picture Theaters </t>
  </si>
  <si>
    <t xml:space="preserve">Teleproduction and Other Postproduction Services </t>
  </si>
  <si>
    <t xml:space="preserve">Other Motion Picture and Video Industries </t>
  </si>
  <si>
    <t>Record Production</t>
  </si>
  <si>
    <t>Integrated Record Production/Distribution</t>
  </si>
  <si>
    <t>Music Publishers</t>
  </si>
  <si>
    <t>Sound Recording Studios</t>
  </si>
  <si>
    <t>Other Sound Recording Industries</t>
  </si>
  <si>
    <t xml:space="preserve">Radio Networks </t>
  </si>
  <si>
    <t xml:space="preserve">Radio Stations </t>
  </si>
  <si>
    <t>Television Broadcasting</t>
  </si>
  <si>
    <t>Cable and Other Subscription Programming</t>
  </si>
  <si>
    <t xml:space="preserve">Wired Telecommunications Carriers </t>
  </si>
  <si>
    <t>Wireless Telecommunications Carriers (except Satellite)</t>
  </si>
  <si>
    <t>Satellite Telecommunications</t>
  </si>
  <si>
    <t xml:space="preserve">Telecommunications Resellers </t>
  </si>
  <si>
    <t xml:space="preserve">All Other Telecommunications </t>
  </si>
  <si>
    <t>Data Processing, Hosting, and Related Services</t>
  </si>
  <si>
    <t>News Syndicates</t>
  </si>
  <si>
    <t xml:space="preserve">Libraries and Archives </t>
  </si>
  <si>
    <t>Internet Publishing and Broadcasting and Web Search Portals</t>
  </si>
  <si>
    <t>All Other Information Services</t>
  </si>
  <si>
    <t>Monetary Authorities-Central Bank</t>
  </si>
  <si>
    <t xml:space="preserve">Commercial Banking </t>
  </si>
  <si>
    <t xml:space="preserve">Savings Institutions </t>
  </si>
  <si>
    <t xml:space="preserve">Credit Unions </t>
  </si>
  <si>
    <t xml:space="preserve">Other Depository Credit Intermediation </t>
  </si>
  <si>
    <t xml:space="preserve">Credit Card Issuing </t>
  </si>
  <si>
    <t xml:space="preserve">Sales Financing </t>
  </si>
  <si>
    <t xml:space="preserve">Consumer Lending </t>
  </si>
  <si>
    <t xml:space="preserve">Real Estate Credit </t>
  </si>
  <si>
    <t xml:space="preserve">International Trade Financing </t>
  </si>
  <si>
    <t xml:space="preserve">Secondary Market Financing </t>
  </si>
  <si>
    <t xml:space="preserve">All Other Nondepository Credit Intermediation </t>
  </si>
  <si>
    <t xml:space="preserve">Mortgage and Nonmortgage Loan Brokers </t>
  </si>
  <si>
    <t xml:space="preserve">Financial Transactions Processing, Reserve, and Clearinghouse Activities </t>
  </si>
  <si>
    <t xml:space="preserve">Other Activities Related to Credit Intermediation </t>
  </si>
  <si>
    <t xml:space="preserve">Investment Banking and Securities Dealing </t>
  </si>
  <si>
    <t xml:space="preserve">Securities Brokerage </t>
  </si>
  <si>
    <t xml:space="preserve">Commodity Contracts Dealing </t>
  </si>
  <si>
    <t xml:space="preserve">Commodity Contracts Brokerage </t>
  </si>
  <si>
    <t>Securities and Commodity Exchanges</t>
  </si>
  <si>
    <t xml:space="preserve">Miscellaneous Intermediation </t>
  </si>
  <si>
    <t xml:space="preserve">Portfolio Management </t>
  </si>
  <si>
    <t xml:space="preserve">Investment Advice </t>
  </si>
  <si>
    <t xml:space="preserve">Trust, Fiduciary, and Custody Activities </t>
  </si>
  <si>
    <t xml:space="preserve">Miscellaneous Financial Investment Activities </t>
  </si>
  <si>
    <t xml:space="preserve">Direct Life Insurance Carriers </t>
  </si>
  <si>
    <t xml:space="preserve">Direct Health and Medical Insurance Carriers </t>
  </si>
  <si>
    <t xml:space="preserve">Direct Property and Casualty Insurance Carriers </t>
  </si>
  <si>
    <t xml:space="preserve">Direct Title Insurance Carriers </t>
  </si>
  <si>
    <t xml:space="preserve">Other Direct Insurance (except Life, Health, and Medical) Carriers </t>
  </si>
  <si>
    <t xml:space="preserve">Reinsurance Carriers </t>
  </si>
  <si>
    <t xml:space="preserve">Insurance Agencies and Brokerages </t>
  </si>
  <si>
    <t xml:space="preserve">Claims Adjusting </t>
  </si>
  <si>
    <t xml:space="preserve">Third Party Administration of Insurance and Pension Funds </t>
  </si>
  <si>
    <t xml:space="preserve">All Other Insurance Related Activities </t>
  </si>
  <si>
    <t xml:space="preserve">Pension Funds </t>
  </si>
  <si>
    <t xml:space="preserve">Health and Welfare Funds </t>
  </si>
  <si>
    <t xml:space="preserve">Other Insurance Funds </t>
  </si>
  <si>
    <t xml:space="preserve">Open-End Investment Funds </t>
  </si>
  <si>
    <t xml:space="preserve">Trusts, Estates, and Agency Accounts </t>
  </si>
  <si>
    <t xml:space="preserve">Other Financial Vehicles </t>
  </si>
  <si>
    <t xml:space="preserve">Lessors of Residential Buildings and Dwellings </t>
  </si>
  <si>
    <t xml:space="preserve">Lessors of Nonresidential Buildings (except Miniwarehouses) </t>
  </si>
  <si>
    <t xml:space="preserve">Lessors of Miniwarehouses and Self-Storage Units </t>
  </si>
  <si>
    <t xml:space="preserve">Lessors of Other Real Estate Property </t>
  </si>
  <si>
    <t>Offices of Real Estate Agents and Brokers</t>
  </si>
  <si>
    <t xml:space="preserve">Residential Property Managers </t>
  </si>
  <si>
    <t xml:space="preserve">Nonresidential Property Managers </t>
  </si>
  <si>
    <t xml:space="preserve">Offices of Real Estate Appraisers </t>
  </si>
  <si>
    <t xml:space="preserve">Other Activities Related to Real Estate </t>
  </si>
  <si>
    <t xml:space="preserve">Passenger Car Rental </t>
  </si>
  <si>
    <t xml:space="preserve">Passenger Car Leasing </t>
  </si>
  <si>
    <t xml:space="preserve">Truck, Utility Trailer, and RV (Recreational Vehicle) Rental and Leasing </t>
  </si>
  <si>
    <t>Consumer Electronics and Appliances Rental</t>
  </si>
  <si>
    <t>Formal Wear and Costume Rental</t>
  </si>
  <si>
    <t>Video Tape and Disc Rental</t>
  </si>
  <si>
    <t xml:space="preserve">Home Health Equipment Rental </t>
  </si>
  <si>
    <t xml:space="preserve">Recreational Goods Rental </t>
  </si>
  <si>
    <t xml:space="preserve">All Other Consumer Goods Rental </t>
  </si>
  <si>
    <t>General Rental Centers</t>
  </si>
  <si>
    <t xml:space="preserve">Commercial Air, Rail, and Water Transportation Equipment Rental and Leasing </t>
  </si>
  <si>
    <t xml:space="preserve">Construction, Mining, and Forestry Machinery and Equipment Rental and Leasing </t>
  </si>
  <si>
    <t>Office Machinery and Equipment Rental and Leasing</t>
  </si>
  <si>
    <t xml:space="preserve">Other Commercial and Industrial Machinery and Equipment Rental and Leasing </t>
  </si>
  <si>
    <t>Lessors of Nonfinancial Intangible Assets (except Copyrighted Works)</t>
  </si>
  <si>
    <t>Offices of Lawyers</t>
  </si>
  <si>
    <t>Offices of Notaries</t>
  </si>
  <si>
    <t xml:space="preserve">Title Abstract and Settlement Offices </t>
  </si>
  <si>
    <t xml:space="preserve">All Other Legal Services </t>
  </si>
  <si>
    <t xml:space="preserve">Offices of Certified Public Accountants </t>
  </si>
  <si>
    <t xml:space="preserve">Tax Preparation Services </t>
  </si>
  <si>
    <t xml:space="preserve">Payroll Services </t>
  </si>
  <si>
    <t xml:space="preserve">Other Accounting Services </t>
  </si>
  <si>
    <t>Architectural Services</t>
  </si>
  <si>
    <t>Landscape Architectural Services</t>
  </si>
  <si>
    <t>Engineering Services</t>
  </si>
  <si>
    <t>Drafting Services</t>
  </si>
  <si>
    <t>Building Inspection Services</t>
  </si>
  <si>
    <t>Geophysical Surveying and Mapping Services</t>
  </si>
  <si>
    <t>Surveying and Mapping (except Geophysical) Services</t>
  </si>
  <si>
    <t>Testing Laboratories</t>
  </si>
  <si>
    <t>Interior Design Services</t>
  </si>
  <si>
    <t>Industrial Design Services</t>
  </si>
  <si>
    <t>Graphic Design Services</t>
  </si>
  <si>
    <t>Other Specialized Design Services</t>
  </si>
  <si>
    <t xml:space="preserve">Custom Computer Programming Services </t>
  </si>
  <si>
    <t xml:space="preserve">Computer Systems Design Services </t>
  </si>
  <si>
    <t xml:space="preserve">Computer Facilities Management Services </t>
  </si>
  <si>
    <t>Other Computer Related Services</t>
  </si>
  <si>
    <t xml:space="preserve">Administrative Management and General Management Consulting Services </t>
  </si>
  <si>
    <t xml:space="preserve">Human Resources Consulting Services </t>
  </si>
  <si>
    <t xml:space="preserve">Marketing Consulting Services </t>
  </si>
  <si>
    <t xml:space="preserve">Process, Physical Distribution, and Logistics Consulting Services </t>
  </si>
  <si>
    <t xml:space="preserve">Other Management Consulting Services </t>
  </si>
  <si>
    <t>Environmental Consulting Services</t>
  </si>
  <si>
    <t>Other Scientific and Technical Consulting Services</t>
  </si>
  <si>
    <t xml:space="preserve">Research and Development in Biotechnology </t>
  </si>
  <si>
    <t xml:space="preserve">Research and Development in the Physical, Engineering, and Life Sciences (except Biotechnology) </t>
  </si>
  <si>
    <t xml:space="preserve">Research and Development in the Social Sciences and Humanities </t>
  </si>
  <si>
    <t>Advertising Agencies</t>
  </si>
  <si>
    <t>Public Relations Agencies</t>
  </si>
  <si>
    <t>Media Buying Agencies</t>
  </si>
  <si>
    <t>Media Representatives</t>
  </si>
  <si>
    <t>Outdoor Advertising</t>
  </si>
  <si>
    <t>Direct Mail Advertising</t>
  </si>
  <si>
    <t>Advertising Material Distribution Services</t>
  </si>
  <si>
    <t xml:space="preserve">Other Services Related to Advertising </t>
  </si>
  <si>
    <t>Marketing Research and Public Opinion Polling</t>
  </si>
  <si>
    <t xml:space="preserve">Photography Studios, Portrait </t>
  </si>
  <si>
    <t xml:space="preserve">Commercial Photography </t>
  </si>
  <si>
    <t>Translation and Interpretation Services</t>
  </si>
  <si>
    <t xml:space="preserve">Veterinary Services </t>
  </si>
  <si>
    <t>All Other Professional, Scientific, and Technical Services</t>
  </si>
  <si>
    <t xml:space="preserve">Offices of Bank Holding Companies </t>
  </si>
  <si>
    <t xml:space="preserve">Offices of Other Holding Companies </t>
  </si>
  <si>
    <t xml:space="preserve">Corporate, Subsidiary, and Regional Managing Offices </t>
  </si>
  <si>
    <t>Office Administrative Services</t>
  </si>
  <si>
    <t>Facilities Support Services</t>
  </si>
  <si>
    <t xml:space="preserve">Employment Placement Agencies </t>
  </si>
  <si>
    <r>
      <t>Executive Search Services</t>
    </r>
    <r>
      <rPr>
        <sz val="10"/>
        <color indexed="8"/>
        <rFont val="Arial"/>
        <family val="2"/>
      </rPr>
      <t xml:space="preserve"> </t>
    </r>
  </si>
  <si>
    <t>Temporary Help Services</t>
  </si>
  <si>
    <t>Professional Employer Organizations</t>
  </si>
  <si>
    <t>Document Preparation Services</t>
  </si>
  <si>
    <r>
      <t>Telephone Answering Services</t>
    </r>
    <r>
      <rPr>
        <sz val="10"/>
        <color indexed="8"/>
        <rFont val="Arial"/>
        <family val="2"/>
      </rPr>
      <t xml:space="preserve"> </t>
    </r>
  </si>
  <si>
    <t xml:space="preserve">Telemarketing Bureaus and Other Contact Centers </t>
  </si>
  <si>
    <t xml:space="preserve">Private Mail Centers </t>
  </si>
  <si>
    <t xml:space="preserve">Other Business Service Centers (including Copy Shops) </t>
  </si>
  <si>
    <t>Collection Agencies</t>
  </si>
  <si>
    <t>Credit Bureaus</t>
  </si>
  <si>
    <t xml:space="preserve">Repossession Services </t>
  </si>
  <si>
    <t xml:space="preserve">Court Reporting and Stenotype Services </t>
  </si>
  <si>
    <t xml:space="preserve">All Other Business Support Services </t>
  </si>
  <si>
    <t>Travel Agencies</t>
  </si>
  <si>
    <t>Tour Operators</t>
  </si>
  <si>
    <t xml:space="preserve">Convention and Visitors Bureaus </t>
  </si>
  <si>
    <t xml:space="preserve">All Other Travel Arrangement and Reservation Services </t>
  </si>
  <si>
    <t xml:space="preserve">Investigation Services </t>
  </si>
  <si>
    <t xml:space="preserve">Security Guards and Patrol Services </t>
  </si>
  <si>
    <t xml:space="preserve">Armored Car Services </t>
  </si>
  <si>
    <t xml:space="preserve">Security Systems Services (except Locksmiths) </t>
  </si>
  <si>
    <t xml:space="preserve">Locksmiths </t>
  </si>
  <si>
    <t>Exterminating and Pest Control Services</t>
  </si>
  <si>
    <t xml:space="preserve">Janitorial Services </t>
  </si>
  <si>
    <t>Landscaping Services</t>
  </si>
  <si>
    <t>Carpet and Upholstery Cleaning Services</t>
  </si>
  <si>
    <t xml:space="preserve">Other Services to Buildings and Dwellings </t>
  </si>
  <si>
    <t>Packaging and Labeling Services</t>
  </si>
  <si>
    <t>Convention and Trade Show Organizers</t>
  </si>
  <si>
    <t>All Other Support Services</t>
  </si>
  <si>
    <t xml:space="preserve">Solid Waste Collection </t>
  </si>
  <si>
    <t xml:space="preserve">Hazardous Waste Collection </t>
  </si>
  <si>
    <t xml:space="preserve">Other Waste Collection </t>
  </si>
  <si>
    <t xml:space="preserve">Hazardous Waste Treatment and Disposal </t>
  </si>
  <si>
    <t xml:space="preserve">Solid Waste Landfill </t>
  </si>
  <si>
    <t xml:space="preserve">Solid Waste Combustors and Incinerators </t>
  </si>
  <si>
    <t xml:space="preserve">Other Nonhazardous Waste Treatment and Disposal </t>
  </si>
  <si>
    <t xml:space="preserve">Remediation Services </t>
  </si>
  <si>
    <t xml:space="preserve">Materials Recovery Facilities </t>
  </si>
  <si>
    <t xml:space="preserve">Septic Tank and Related Services </t>
  </si>
  <si>
    <t xml:space="preserve">All Other Miscellaneous Waste Management Services </t>
  </si>
  <si>
    <t xml:space="preserve">Elementary and Secondary Schools </t>
  </si>
  <si>
    <t xml:space="preserve">Junior Colleges </t>
  </si>
  <si>
    <t xml:space="preserve">Colleges, Universities, and Professional Schools </t>
  </si>
  <si>
    <t xml:space="preserve">Business and Secretarial Schools </t>
  </si>
  <si>
    <t xml:space="preserve">Computer Training </t>
  </si>
  <si>
    <t xml:space="preserve">Professional and Management Development Training </t>
  </si>
  <si>
    <t xml:space="preserve">Cosmetology and Barber Schools </t>
  </si>
  <si>
    <t xml:space="preserve">Flight Training </t>
  </si>
  <si>
    <t xml:space="preserve">Apprenticeship Training </t>
  </si>
  <si>
    <t xml:space="preserve">Other Technical and Trade Schools </t>
  </si>
  <si>
    <t xml:space="preserve">Fine Arts Schools </t>
  </si>
  <si>
    <t xml:space="preserve">Sports and Recreation Instruction </t>
  </si>
  <si>
    <t xml:space="preserve">Language Schools </t>
  </si>
  <si>
    <t xml:space="preserve">Exam Preparation and Tutoring </t>
  </si>
  <si>
    <t xml:space="preserve">Automobile Driving Schools </t>
  </si>
  <si>
    <t xml:space="preserve">All Other Miscellaneous Schools and Instruction </t>
  </si>
  <si>
    <t>Educational Support Services</t>
  </si>
  <si>
    <t xml:space="preserve">Offices of Physicians (except Mental Health Specialists) </t>
  </si>
  <si>
    <t xml:space="preserve">Offices of Physicians, Mental Health Specialists </t>
  </si>
  <si>
    <t xml:space="preserve">Offices of Dentists </t>
  </si>
  <si>
    <t xml:space="preserve">Offices of Chiropractors </t>
  </si>
  <si>
    <t>Offices of Optometrists</t>
  </si>
  <si>
    <t xml:space="preserve">Offices of Mental Health Practitioners (except Physicians) </t>
  </si>
  <si>
    <t xml:space="preserve">Offices of Physical, Occupational and Speech Therapists, and Audiologists </t>
  </si>
  <si>
    <t xml:space="preserve">Offices of Podiatrists </t>
  </si>
  <si>
    <t xml:space="preserve">Offices of All Other Miscellaneous Health Practitioners </t>
  </si>
  <si>
    <t xml:space="preserve">Family Planning Centers </t>
  </si>
  <si>
    <t xml:space="preserve">Outpatient Mental Health and Substance Abuse Centers </t>
  </si>
  <si>
    <t xml:space="preserve">HMO Medical Centers </t>
  </si>
  <si>
    <t xml:space="preserve">Kidney Dialysis Centers </t>
  </si>
  <si>
    <t xml:space="preserve">Freestanding Ambulatory Surgical and Emergency Centers </t>
  </si>
  <si>
    <t xml:space="preserve">All Other Outpatient Care Centers </t>
  </si>
  <si>
    <t xml:space="preserve">Medical Laboratories </t>
  </si>
  <si>
    <t xml:space="preserve">Diagnostic Imaging Centers </t>
  </si>
  <si>
    <t>Home Health Care Services</t>
  </si>
  <si>
    <t xml:space="preserve">Ambulance Services </t>
  </si>
  <si>
    <t xml:space="preserve">Blood and Organ Banks </t>
  </si>
  <si>
    <t xml:space="preserve">All Other Miscellaneous Ambulatory Health Care Services </t>
  </si>
  <si>
    <t xml:space="preserve">General Medical and Surgical Hospitals </t>
  </si>
  <si>
    <t xml:space="preserve">Psychiatric and Substance Abuse Hospitals </t>
  </si>
  <si>
    <t xml:space="preserve">Specialty (except Psychiatric and Substance Abuse) Hospitals </t>
  </si>
  <si>
    <t xml:space="preserve">Nursing Care Facilities (Skilled Nursing Facilities) </t>
  </si>
  <si>
    <t xml:space="preserve">Residential Intellectual and Developmental Disability Facilities </t>
  </si>
  <si>
    <t xml:space="preserve">Residential Mental Health and Substance Abuse Facilities </t>
  </si>
  <si>
    <t xml:space="preserve">Continuing Care Retirement Communities </t>
  </si>
  <si>
    <t xml:space="preserve">Assisted Living Facilities for the Elderly </t>
  </si>
  <si>
    <t xml:space="preserve">Other Residential Care Facilities </t>
  </si>
  <si>
    <t xml:space="preserve">Child and Youth Services </t>
  </si>
  <si>
    <t xml:space="preserve">Services for the Elderly and Persons with Disabilities </t>
  </si>
  <si>
    <t xml:space="preserve">Other Individual and Family Services </t>
  </si>
  <si>
    <t xml:space="preserve">Community Food Services </t>
  </si>
  <si>
    <t xml:space="preserve">Temporary Shelters </t>
  </si>
  <si>
    <t xml:space="preserve">Other Community Housing Services </t>
  </si>
  <si>
    <t xml:space="preserve">Emergency and Other Relief Services </t>
  </si>
  <si>
    <t xml:space="preserve">Vocational Rehabilitation Services </t>
  </si>
  <si>
    <t xml:space="preserve">Child Day Care Services </t>
  </si>
  <si>
    <t xml:space="preserve">Theater Companies and Dinner Theaters </t>
  </si>
  <si>
    <t xml:space="preserve">Dance Companies </t>
  </si>
  <si>
    <t xml:space="preserve">Musical Groups and Artists </t>
  </si>
  <si>
    <t xml:space="preserve">Other Performing Arts Companies </t>
  </si>
  <si>
    <t xml:space="preserve">Sports Teams and Clubs </t>
  </si>
  <si>
    <t xml:space="preserve">Racetracks </t>
  </si>
  <si>
    <t xml:space="preserve">Other Spectator Sports </t>
  </si>
  <si>
    <t xml:space="preserve">Promoters of Performing Arts, Sports, and Similar Events with Facilities </t>
  </si>
  <si>
    <t xml:space="preserve">Promoters of Performing Arts, Sports, and Similar Events without Facilities </t>
  </si>
  <si>
    <t>Agents and Managers for Artists, Athletes, Entertainers, and Other Public Figures</t>
  </si>
  <si>
    <t xml:space="preserve">Independent Artists, Writers, and Performers </t>
  </si>
  <si>
    <t xml:space="preserve">Museums </t>
  </si>
  <si>
    <t>Historical Sites</t>
  </si>
  <si>
    <t xml:space="preserve">Zoos and Botanical Gardens </t>
  </si>
  <si>
    <t>Nature Parks and Other Similar Institutions</t>
  </si>
  <si>
    <t xml:space="preserve">Amusement and Theme Parks </t>
  </si>
  <si>
    <t>Amusement Arcades</t>
  </si>
  <si>
    <t>Casinos (except Casino Hotels)</t>
  </si>
  <si>
    <t xml:space="preserve">Other Gambling Industries </t>
  </si>
  <si>
    <t>Golf Courses and Country Clubs</t>
  </si>
  <si>
    <t>Skiing Facilities</t>
  </si>
  <si>
    <t xml:space="preserve">Fitness and Recreational Sports Centers </t>
  </si>
  <si>
    <t>Bowling Centers</t>
  </si>
  <si>
    <t xml:space="preserve">All Other Amusement and Recreation Industries </t>
  </si>
  <si>
    <t xml:space="preserve">Hotels (except Casino Hotels) and Motels </t>
  </si>
  <si>
    <t>Casino Hotels</t>
  </si>
  <si>
    <t xml:space="preserve">Bed-and-Breakfast Inns </t>
  </si>
  <si>
    <t xml:space="preserve">All Other Traveler Accommodation </t>
  </si>
  <si>
    <t xml:space="preserve">RV (Recreational Vehicle) Parks and Campgrounds </t>
  </si>
  <si>
    <t xml:space="preserve">Recreational and Vacation Camps (except Campgrounds) </t>
  </si>
  <si>
    <t xml:space="preserve">Rooming and Boarding Houses </t>
  </si>
  <si>
    <t>Food Service Contractors</t>
  </si>
  <si>
    <t>Mobile Food Services</t>
  </si>
  <si>
    <t xml:space="preserve">Drinking Places (Alcoholic Beverages) </t>
  </si>
  <si>
    <t xml:space="preserve">Full-Service Restaurants </t>
  </si>
  <si>
    <t xml:space="preserve">Limited-Service Restaurants </t>
  </si>
  <si>
    <t xml:space="preserve">Cafeterias, Grill Buffets, and Buffets </t>
  </si>
  <si>
    <t xml:space="preserve">Snack and Nonalcoholic Beverage Bars </t>
  </si>
  <si>
    <t xml:space="preserve">General Automotive Repair </t>
  </si>
  <si>
    <t xml:space="preserve">Automotive Exhaust System Repair </t>
  </si>
  <si>
    <t xml:space="preserve">Automotive Transmission Repair </t>
  </si>
  <si>
    <t xml:space="preserve">Other Automotive Mechanical and Electrical Repair and Maintenance </t>
  </si>
  <si>
    <t xml:space="preserve">Automotive Body, Paint, and Interior Repair and Maintenance </t>
  </si>
  <si>
    <t xml:space="preserve">Automotive Glass Replacement Shops </t>
  </si>
  <si>
    <t xml:space="preserve">Automotive Oil Change and Lubrication Shops </t>
  </si>
  <si>
    <t xml:space="preserve">Car Washes </t>
  </si>
  <si>
    <t xml:space="preserve">All Other Automotive Repair and Maintenance </t>
  </si>
  <si>
    <t xml:space="preserve">Consumer Electronics Repair and Maintenance </t>
  </si>
  <si>
    <t xml:space="preserve">Computer and Office Machine Repair and Maintenance </t>
  </si>
  <si>
    <t xml:space="preserve">Communication Equipment Repair and Maintenance </t>
  </si>
  <si>
    <t xml:space="preserve">Other Electronic and Precision Equipment Repair and Maintenance </t>
  </si>
  <si>
    <t xml:space="preserve">Commercial and Industrial Machinery and Equipment (except Automotive and Electronic) Repair and Maintenance </t>
  </si>
  <si>
    <t xml:space="preserve">Home and Garden Equipment Repair and Maintenance </t>
  </si>
  <si>
    <t xml:space="preserve">Appliance Repair and Maintenance </t>
  </si>
  <si>
    <t>Reupholstery and Furniture Repair</t>
  </si>
  <si>
    <t>Footwear and Leather Goods Repair</t>
  </si>
  <si>
    <t xml:space="preserve">Other Personal and Household Goods Repair and Maintenance </t>
  </si>
  <si>
    <t xml:space="preserve">Barber Shops </t>
  </si>
  <si>
    <t xml:space="preserve">Beauty Salons </t>
  </si>
  <si>
    <t xml:space="preserve">Nail Salons </t>
  </si>
  <si>
    <t xml:space="preserve">Diet and Weight Reducing Centers </t>
  </si>
  <si>
    <t xml:space="preserve">Other Personal Care Services </t>
  </si>
  <si>
    <t xml:space="preserve">Funeral Homes and Funeral Services </t>
  </si>
  <si>
    <t xml:space="preserve">Cemeteries and Crematories </t>
  </si>
  <si>
    <t xml:space="preserve">Coin-Operated Laundries and Drycleaners </t>
  </si>
  <si>
    <t xml:space="preserve">Drycleaning and Laundry Services (except Coin-Operated) </t>
  </si>
  <si>
    <t xml:space="preserve">Linen Supply </t>
  </si>
  <si>
    <t xml:space="preserve">Industrial Launderers </t>
  </si>
  <si>
    <t xml:space="preserve">Pet Care (except Veterinary) Services </t>
  </si>
  <si>
    <t xml:space="preserve">Photofinishing Laboratories (except One-Hour) </t>
  </si>
  <si>
    <t xml:space="preserve">One-Hour Photofinishing </t>
  </si>
  <si>
    <t xml:space="preserve">Parking Lots and Garages </t>
  </si>
  <si>
    <t xml:space="preserve">All Other Personal Services </t>
  </si>
  <si>
    <t xml:space="preserve">Religious Organizations </t>
  </si>
  <si>
    <t xml:space="preserve">Grantmaking Foundations </t>
  </si>
  <si>
    <t xml:space="preserve">Voluntary Health Organizations </t>
  </si>
  <si>
    <t xml:space="preserve">Other Grantmaking and Giving Services </t>
  </si>
  <si>
    <t xml:space="preserve">Human Rights Organizations </t>
  </si>
  <si>
    <t xml:space="preserve">Environment, Conservation and Wildlife Organizations </t>
  </si>
  <si>
    <t xml:space="preserve">Other Social Advocacy Organizations </t>
  </si>
  <si>
    <t xml:space="preserve">Civic and Social Organizations </t>
  </si>
  <si>
    <t xml:space="preserve">Business Associations </t>
  </si>
  <si>
    <t xml:space="preserve">Professional Organizations </t>
  </si>
  <si>
    <t xml:space="preserve">Labor Unions and Similar Labor Organizations </t>
  </si>
  <si>
    <t xml:space="preserve">Political Organizations </t>
  </si>
  <si>
    <t xml:space="preserve">Other Similar Organizations (except Business, Professional, Labor, and Political Organizations) </t>
  </si>
  <si>
    <t>Private Households</t>
  </si>
  <si>
    <t xml:space="preserve">Executive Offices </t>
  </si>
  <si>
    <t xml:space="preserve">Legislative Bodies </t>
  </si>
  <si>
    <t xml:space="preserve">Public Finance Activities </t>
  </si>
  <si>
    <t xml:space="preserve">Executive and Legislative Offices, Combined </t>
  </si>
  <si>
    <t xml:space="preserve">American Indian and Alaska Native Tribal Governments </t>
  </si>
  <si>
    <t xml:space="preserve">Other General Government Support </t>
  </si>
  <si>
    <t xml:space="preserve">Courts </t>
  </si>
  <si>
    <t xml:space="preserve">Police Protection </t>
  </si>
  <si>
    <t xml:space="preserve">Legal Counsel and Prosecution </t>
  </si>
  <si>
    <t xml:space="preserve">Correctional Institutions </t>
  </si>
  <si>
    <t xml:space="preserve">Parole Offices and Probation Offices </t>
  </si>
  <si>
    <t xml:space="preserve">Fire Protection </t>
  </si>
  <si>
    <t xml:space="preserve">Other Justice, Public Order, and Safety Activities </t>
  </si>
  <si>
    <t xml:space="preserve">Administration of Education Programs </t>
  </si>
  <si>
    <t xml:space="preserve">Administration of Public Health Programs </t>
  </si>
  <si>
    <t xml:space="preserve">Administration of Human Resource Programs (except Education, Public Health, and Veterans' Affairs Programs) </t>
  </si>
  <si>
    <t xml:space="preserve">Administration of Veterans' Affairs </t>
  </si>
  <si>
    <t xml:space="preserve">Administration of Air and Water Resource and Solid Waste Management Programs </t>
  </si>
  <si>
    <t xml:space="preserve">Administration of Conservation Programs </t>
  </si>
  <si>
    <t xml:space="preserve">Administration of Housing Programs </t>
  </si>
  <si>
    <t xml:space="preserve">Administration of Urban Planning and Community and Rural Development </t>
  </si>
  <si>
    <t xml:space="preserve">Administration of General Economic Programs </t>
  </si>
  <si>
    <t xml:space="preserve">Regulation and Administration of Transportation Programs </t>
  </si>
  <si>
    <t xml:space="preserve">Regulation and Administration of Communications, Electric, Gas, and Other Utilities </t>
  </si>
  <si>
    <t xml:space="preserve">Regulation of Agricultural Marketing and Commodities </t>
  </si>
  <si>
    <t xml:space="preserve">Regulation, Licensing, and Inspection of Miscellaneous Commercial Sectors </t>
  </si>
  <si>
    <t xml:space="preserve">Space Research and Technology </t>
  </si>
  <si>
    <t xml:space="preserve">National Security </t>
  </si>
  <si>
    <t xml:space="preserve">International Affairs </t>
  </si>
  <si>
    <t>Is the facility located on leased property?</t>
  </si>
  <si>
    <t>Company Name:</t>
  </si>
  <si>
    <t>Company City:</t>
  </si>
  <si>
    <t>Company State:</t>
  </si>
  <si>
    <t>Company ZIP:</t>
  </si>
  <si>
    <t>Company Address:</t>
  </si>
  <si>
    <t>Is the business incorporated?</t>
  </si>
  <si>
    <t>Facility Contact Person:</t>
  </si>
  <si>
    <t>E-Mail:</t>
  </si>
  <si>
    <t>Phone Number:</t>
  </si>
  <si>
    <t>Who is the primary contact for questions regarding this application?</t>
  </si>
  <si>
    <t>Facility Contact Person Title or Responsibility:</t>
  </si>
  <si>
    <t>Purpose of Application:</t>
  </si>
  <si>
    <t>Does this facility currently hold an operating permit issued by the LLCHD?</t>
  </si>
  <si>
    <t>Is the facility located within 50 miles of another state?</t>
  </si>
  <si>
    <t>Does this facility currently hold one or more construction permits issued by the LLCHD?</t>
  </si>
  <si>
    <t>If you know what type of permit you are applying for, check the appropriate box:</t>
  </si>
  <si>
    <t>2. Will continue to comply with all applicable requirements for which compliance has been achieved; and,</t>
  </si>
  <si>
    <t>3. Will comply with all applicable requirements for which compliance is not currently achieved</t>
  </si>
  <si>
    <t>Compliance Certification</t>
  </si>
  <si>
    <t>Truth and Accuracy Certification</t>
  </si>
  <si>
    <t>Electronic Copy Certification</t>
  </si>
  <si>
    <t>Only 'Agree' when an electronic copy is submitted with the hard copy application.  If not submitting an electronic copy, select "N/A".</t>
  </si>
  <si>
    <r>
      <t xml:space="preserve">Responsible Official Name: </t>
    </r>
    <r>
      <rPr>
        <sz val="11"/>
        <color theme="1"/>
        <rFont val="Arial"/>
        <family val="2"/>
      </rPr>
      <t>(printed or typed)</t>
    </r>
  </si>
  <si>
    <t>Responsible Official Title:</t>
  </si>
  <si>
    <t>Responsible Official Signature:</t>
  </si>
  <si>
    <t>Date:</t>
  </si>
  <si>
    <t>^^^^^</t>
  </si>
  <si>
    <t>See the instructions included below to determine what qualifies as a 'Responsible Official'.</t>
  </si>
  <si>
    <t>Requirements for a 'Responsible Official':</t>
  </si>
  <si>
    <t>Each application must include a certification statement indicating that the information contained in the application is true, accurate and complete and be signed by a Responsible Official of the organization that will operate the source, or by a Responsible Official of the organization which owns the source.  A Responsible Official can be:</t>
  </si>
  <si>
    <t>For a Corporation:</t>
  </si>
  <si>
    <t xml:space="preserve">1.  </t>
  </si>
  <si>
    <t xml:space="preserve">a.  </t>
  </si>
  <si>
    <t>A president, secretary, treasurer, or vice-president of the corporation in charge of a principal business function; or,</t>
  </si>
  <si>
    <t xml:space="preserve">b.  </t>
  </si>
  <si>
    <t>Any other person who performs similar policy or decision-making functions for the corporation; or,</t>
  </si>
  <si>
    <t xml:space="preserve">c.  </t>
  </si>
  <si>
    <t>A duly authorized representative of such person if the representative is responsible for the overall operation of one or more manufacturing, production, or operating facilities applying for or subject to a permit and either:</t>
  </si>
  <si>
    <t xml:space="preserve">i.  </t>
  </si>
  <si>
    <t>The facilities employ more than 250 persons or have gross annual sales or expenditures exceeding $25 million (in second quarter 1980 dollars); or,</t>
  </si>
  <si>
    <t xml:space="preserve">ii.  </t>
  </si>
  <si>
    <t>The delegation of authority to such representatives is approved in advance by the LLCHD.</t>
  </si>
  <si>
    <t xml:space="preserve">2.  </t>
  </si>
  <si>
    <t>For a partnership of sole proprietorship:</t>
  </si>
  <si>
    <t>A general partner or the proprietor, respectively;</t>
  </si>
  <si>
    <t xml:space="preserve">3.  </t>
  </si>
  <si>
    <t>For a municipality, State, Federal, or other public agency:</t>
  </si>
  <si>
    <t>Either a principal executive officer or ranking elected official.  For the proposes of this application, the principal executive officer of a Federal agency included the chief executive officer having responsibility for the overall operations of a principal geographic unit of the agency (e.g., a Regional Administrator of EPA); or,</t>
  </si>
  <si>
    <t xml:space="preserve">4.  </t>
  </si>
  <si>
    <t>For affected sources:</t>
  </si>
  <si>
    <t>The designated representative in so far as actions, standards, requirements, or prohibitions under Article 2, Section 26 of the LLCAPCPRS are concerned; and,</t>
  </si>
  <si>
    <t>The designated representative for any other purpose under the Title V program.</t>
  </si>
  <si>
    <t>http://www.census.gov/eos/www/naics/</t>
  </si>
  <si>
    <t>SECTION 2:  DETAILED SOURCE INFORMATION</t>
  </si>
  <si>
    <t>SECTION 1:  ADMINISTRATIVE INFORMATION AND RESPONSIBLE OFFICIAL CERTIFICATION</t>
  </si>
  <si>
    <t>Is this source operated seasonally, or year-round?</t>
  </si>
  <si>
    <t>Provide the normal operating schedule:</t>
  </si>
  <si>
    <t>Hours per Day:</t>
  </si>
  <si>
    <t>Days per Week:</t>
  </si>
  <si>
    <t>Weeks per Year:</t>
  </si>
  <si>
    <t>Does the source operate under an alternative schedule on a regular basis?</t>
  </si>
  <si>
    <t>SECTION 4 – INSIGNIFICANT ACTIVITIES</t>
  </si>
  <si>
    <t>Storage ID</t>
  </si>
  <si>
    <t>Installation Date</t>
  </si>
  <si>
    <t>Tank/Vessel Contents</t>
  </si>
  <si>
    <t>Maximum Capacity (gallons)</t>
  </si>
  <si>
    <t>Vapor Pressure @ Standard Conditions (psi)</t>
  </si>
  <si>
    <t>SECTION 5 – MAXIMUM POTENTIAL TO EMIT (MPTE)</t>
  </si>
  <si>
    <t>HAP CAS #</t>
  </si>
  <si>
    <t>Emission Unit #</t>
  </si>
  <si>
    <t>SECTION 7 – ACTUAL POTENTIAL TO EMIT (APTE)</t>
  </si>
  <si>
    <t>Natural Gas</t>
  </si>
  <si>
    <t>Associated Emission Unit</t>
  </si>
  <si>
    <t>Fugitive</t>
  </si>
  <si>
    <t>Vertical, Horizontal, or Fugitive</t>
  </si>
  <si>
    <r>
      <t xml:space="preserve">Alternate Phone Number: </t>
    </r>
    <r>
      <rPr>
        <i/>
        <sz val="11"/>
        <color theme="1"/>
        <rFont val="Arial"/>
        <family val="2"/>
      </rPr>
      <t>(optional)</t>
    </r>
  </si>
  <si>
    <r>
      <t xml:space="preserve">Fax Number: </t>
    </r>
    <r>
      <rPr>
        <i/>
        <sz val="11"/>
        <color theme="1"/>
        <rFont val="Arial"/>
        <family val="2"/>
      </rPr>
      <t>(optional)</t>
    </r>
  </si>
  <si>
    <t>INTRODUCTION &amp; GENERAL INSTRUCTIONS</t>
  </si>
  <si>
    <t>Once you've entered information into the box, the formatting will change, and the yellow highlighting will disappear, as shown below:</t>
  </si>
  <si>
    <t>XYZ Manufacturing Co.</t>
  </si>
  <si>
    <t>If you make an invalid entry, a message describing the reason for the invalid entry will appear in a box highlighted in orange, as shown below:</t>
  </si>
  <si>
    <t>Too many boxes checked.</t>
  </si>
  <si>
    <t>If you select an option in this sheet that renders other information irrelevant, cells containing irrelevant information will automatically format to a 'crosshatch' pattern, indicating that you do not need to enter any information or make any selections in that cell.  An example of this is shown below:</t>
  </si>
  <si>
    <t>Many of the sheets in this workbook will have specific instructions associated with them.  These instructions will often be displayed either at the top of each sheet, or in cells located to the right of the form.  Please be sure to read and follow all instructions provided with each respective sheet.</t>
  </si>
  <si>
    <t>This spreadsheet allows for up to 300 rows of emission unit #'s.  When printing, be sure to specify printing only of pages that contain emission units.</t>
  </si>
  <si>
    <t>End of Instructions.  Complete the table below.</t>
  </si>
  <si>
    <t>When printing, be sure to specify printing only of pages that contain stack data.</t>
  </si>
  <si>
    <t>Latitude Conversion:</t>
  </si>
  <si>
    <t>Longitude Conversion:</t>
  </si>
  <si>
    <t>Meters to Feet:</t>
  </si>
  <si>
    <t>Exhaust Flow Rate to Exhaust Exit Velocity:</t>
  </si>
  <si>
    <t>degrees North</t>
  </si>
  <si>
    <t>minutes</t>
  </si>
  <si>
    <t>seconds</t>
  </si>
  <si>
    <t>Decimal Degrees:</t>
  </si>
  <si>
    <t>degrees West</t>
  </si>
  <si>
    <t>meters</t>
  </si>
  <si>
    <t>Feet:</t>
  </si>
  <si>
    <t>feet wide</t>
  </si>
  <si>
    <t>Equivalent Diameter (opening dimensions):</t>
  </si>
  <si>
    <r>
      <t>Degrees Fahrenheit (</t>
    </r>
    <r>
      <rPr>
        <b/>
        <sz val="11"/>
        <color theme="1"/>
        <rFont val="Calibri"/>
        <family val="2"/>
      </rPr>
      <t>°F)</t>
    </r>
  </si>
  <si>
    <t>Exhaust Exit Velocity (ft/sec):</t>
  </si>
  <si>
    <t>Equivalent Diameter (feet):</t>
  </si>
  <si>
    <t>cubic feet per second, OR</t>
  </si>
  <si>
    <t>cubic feet per minute</t>
  </si>
  <si>
    <t xml:space="preserve">diameter (or equivalent diameter) in feet </t>
  </si>
  <si>
    <t>Conversion Tools</t>
  </si>
  <si>
    <t>Portable generators are still considered Insignificant Activities, and do not need to be included in Table 4-A.</t>
  </si>
  <si>
    <t>Stationary compression ignition internal combustion engines constructed, reconstructed, or modified after July 11, 2005, and stationary spark ignition internal combustion engines constructed, reconstructed, or modified after June 12, 2006, may be subject to 'New Source Performance Standards' (NSPS) set forth in 40 CFR 60 Subparts IIII and JJJJ.  These NSPS Subparts do not have minimum horsepower ratings, so engines of any size may be affected.</t>
  </si>
  <si>
    <t>Janitorial activities, services, and consumer use of janitorial products.</t>
  </si>
  <si>
    <t>Maintenance of processing equipment, machinery and/or control devices, buildings, grounds or facilities to maintain appearance or condition provided these activities are not conducted as part of a manufacturing process and do not trigger a permit modification.</t>
  </si>
  <si>
    <t>Portable, sealed storage containers that are not connected to a process unit or line by piping, transfer hoses, lines or valves, etc.</t>
  </si>
  <si>
    <t>Air condition units used for human comfort.</t>
  </si>
  <si>
    <t>Ventilating units used for human comfort that do not exhaust air pollutants into the ambient air from any manufacturing, industrial, or commercial process.</t>
  </si>
  <si>
    <t>Non-commercial food preparation.</t>
  </si>
  <si>
    <t>Laundry activities, except for dry-cleaning and steam boilers.</t>
  </si>
  <si>
    <t>Tobacco smoking rooms and areas.</t>
  </si>
  <si>
    <t>Forges and drop hammers or hydraulic presses used for forging or metal working.</t>
  </si>
  <si>
    <t>Hand-held equipment for buffing, polishing, cutting, drilling, sawing, grinding, turning or machining wood, metal, or plastic.</t>
  </si>
  <si>
    <t>Brazing, soldering, and welding equipment, and cutting torches related to manufacturing and construction activities that do not result in emission of HAP metals.</t>
  </si>
  <si>
    <t>Air compressors and pneumatically operated equipment, including hand tools.</t>
  </si>
  <si>
    <t>Batteries and battery charging stations, except at battery manufacturing plants.</t>
  </si>
  <si>
    <t>Equipment used to mix and package items such as soaps, vegetable oil, grease, animal fat, and nonvolatile aqueous salt solutions, provided appropriate lids and covers are utilized.</t>
  </si>
  <si>
    <t>Equipment used exclusively to slaughter animals.</t>
  </si>
  <si>
    <t>Vents from continuous emissions monitors and other analyzers.</t>
  </si>
  <si>
    <t>Hot melt adhesives with no VOC or HAP in the formulation.</t>
  </si>
  <si>
    <r>
      <t>CO</t>
    </r>
    <r>
      <rPr>
        <b/>
        <vertAlign val="subscript"/>
        <sz val="11"/>
        <color theme="1"/>
        <rFont val="Calibri"/>
        <family val="2"/>
        <scheme val="minor"/>
      </rPr>
      <t>2</t>
    </r>
    <r>
      <rPr>
        <b/>
        <sz val="11"/>
        <color theme="1"/>
        <rFont val="Calibri"/>
        <family val="2"/>
        <scheme val="minor"/>
      </rPr>
      <t xml:space="preserve"> lasers, used only on metals and other materials which do not emit HAP in the process.</t>
    </r>
  </si>
  <si>
    <t>Electric or steam-heated drying ovens and autoclaves, but not the emissions from the articles or substances being processed in the ovens or autoclaves or the boilers delivering the steam.</t>
  </si>
  <si>
    <t>Salt baths using nonvolatile salts that do not result in emissions of any regulated air pollutants.</t>
  </si>
  <si>
    <t>Laser trimmers using dust collection that do not result in emissions of HAP metals.</t>
  </si>
  <si>
    <t>Laboratory equipment used for physical or chemical analysis but not lab fume hoods or vents.</t>
  </si>
  <si>
    <t>Routine calibration and maintenance of laboratory equipment or other analytical instruments.</t>
  </si>
  <si>
    <t>Equipment used for quality control/assurance or inspection purposes, including sampling equipment used to withdraw materials for analysis.</t>
  </si>
  <si>
    <t>Hydraulic and hydrostatic testing equipment.</t>
  </si>
  <si>
    <t>Environmental chambers not using HAP gases.</t>
  </si>
  <si>
    <t>Shock chambers, humidity chambers, and solar simulators.</t>
  </si>
  <si>
    <t>Fugitive emissions related to movement of passenger vehicles, provided the emissions are not counted for applicability purposes and any required fugitive dust control plan or its equivalent is submitted.</t>
  </si>
  <si>
    <t>Process water filtration, deionization, and demineralization systems, demineralizer water tanks, and demineralizer vents.</t>
  </si>
  <si>
    <t>Boiler water treatment operations, not including cooling towers.</t>
  </si>
  <si>
    <t>Oxygen scavenging (de-aeration) of water.</t>
  </si>
  <si>
    <t>Ozone generators.</t>
  </si>
  <si>
    <t>Emergency road flares.</t>
  </si>
  <si>
    <t>Steam vents and safety relief valves.</t>
  </si>
  <si>
    <t>Steam leaks.</t>
  </si>
  <si>
    <t>Steam cleaning and sterilizer operations.</t>
  </si>
  <si>
    <t>Employee support activities such as cafeteria and recreational facilities.</t>
  </si>
  <si>
    <t>Laboratory and Research and Development Activities conducted exclusively in the non-processing areas of the facility.</t>
  </si>
  <si>
    <t>Office activities, including operation of standard office equipment when such activities are conducted solely in support of the principal business activity, not including printers or businesses primarily involved in photographic reproduction.</t>
  </si>
  <si>
    <t>Water heaters, provided such heaters do not supply heated water for material processing.</t>
  </si>
  <si>
    <t>Fuel Type</t>
  </si>
  <si>
    <t>Maximum Heat Input Rating</t>
  </si>
  <si>
    <t>10.0 MMBtu/hr</t>
  </si>
  <si>
    <t>Propane</t>
  </si>
  <si>
    <t>8.0 MMBtu/hr</t>
  </si>
  <si>
    <t>A.  Insignificant Activities List For ALL Class I and Class II Sources</t>
  </si>
  <si>
    <t>NOTE:   Click here for the 'Important Note Regarding Boilers'.</t>
  </si>
  <si>
    <t>IMPORTANT NOTE REGARDING BOILERS</t>
  </si>
  <si>
    <t>IMPORTANT NOTE REGARDING RECIPROCATING INTERNAL COMBUSTION ENGINES (RICE)</t>
  </si>
  <si>
    <t>Cooling Tower ID</t>
  </si>
  <si>
    <t>Total Dissolved Solids Conc. (ppmv)</t>
  </si>
  <si>
    <t>Average Days in Service / Year</t>
  </si>
  <si>
    <t>Estimated Drift Loss (%)</t>
  </si>
  <si>
    <t>Induced Draft or Natural Draft?</t>
  </si>
  <si>
    <t>Remember that lubricating and heavy oil storage should be provided in Table 4-B, and cooling tower data should be provided in Table 4-C.</t>
  </si>
  <si>
    <t>For space heaters, in the Description column of Table 4-A include the heat input rating and fuel type.  If you have several space heaters with the same heat input rating &amp; fuel type, you may group them together and indicate the number of heaters with the same rating and fuel type.</t>
  </si>
  <si>
    <t>For fuel storage and distribution equipment, include the storage capacity (in gallons) of each fuel storage vessel, as well as the type of fuel being stored.</t>
  </si>
  <si>
    <t>For natural-gas fired turbines, include the peak brake horsepower rating (peak bhp).</t>
  </si>
  <si>
    <t>Information on maximum circulating flow rate  and estimated drift loss should be available from the unit manufacturer.  If you are unable to obtain estimated drift loss, then you may use a default value of 0.02% for 'induced draft' cooling towers, and a default value of 0.00088% for natural draft cooling towers. (source: EPA's AP-42 Section 13.4)</t>
  </si>
  <si>
    <t>MMcf</t>
  </si>
  <si>
    <t>Mgal</t>
  </si>
  <si>
    <t>gals</t>
  </si>
  <si>
    <t>For 'Process Rate Units' (Column D), enter the unit of measure that the 'Process Rate' is provided in.  When entering 'Process Rate Units', please use the following abbreviations, as applicable:</t>
  </si>
  <si>
    <t>Million cubic feet = MMcf</t>
  </si>
  <si>
    <t>Thousand gallons = Mgal</t>
  </si>
  <si>
    <t>Vehicle Miles Traveled = VMT</t>
  </si>
  <si>
    <t>Please list maximum potential emissions of all pollutants for each emission unit in pounds per year.</t>
  </si>
  <si>
    <t>For 'Material Name' (Column A), enter the name of the material as it appears on the associated Material Safety Data Sheet (MSDS).</t>
  </si>
  <si>
    <t>For 'Manufacturer Name' (Column B), enter the name of the material manufacturer.</t>
  </si>
  <si>
    <r>
      <t xml:space="preserve">For 'VOC Content', enter either the VOC by weight percent (weight %), or in pounds of VOC per gallon of material.  </t>
    </r>
    <r>
      <rPr>
        <b/>
        <u/>
        <sz val="11"/>
        <rFont val="Calibri"/>
        <family val="2"/>
        <scheme val="minor"/>
      </rPr>
      <t>Do not enter both.</t>
    </r>
  </si>
  <si>
    <t>Blaster 10000</t>
  </si>
  <si>
    <t>XYZ Solvent Co.</t>
  </si>
  <si>
    <t>Solvent</t>
  </si>
  <si>
    <t>Adhesive</t>
  </si>
  <si>
    <t>Triple Crown Adhesive</t>
  </si>
  <si>
    <t>Trojan Ponies, Inc.</t>
  </si>
  <si>
    <t>For 'HAP Name' (Column B), enter the name of the hazardous air pollutant (HAP) constituent.</t>
  </si>
  <si>
    <t>Xylenes</t>
  </si>
  <si>
    <t>For 'HAP CAS #' (Column C), enter the Chemical Abstracts Service (CAS) number for the corresponding HAP.  These can be found at the link provided below.  Only enter numbers in this cell, do not enter any hyphens or other characters.</t>
  </si>
  <si>
    <t>Specific Gravity to Density:</t>
  </si>
  <si>
    <t>For 'Product Density', enter the density of the material in units of 'pounds per gallon'.  If your MSDS provides density in the form of 'Specific Gravity' compared to water, use the appropriate conversion tool below to convert specific gravity into pounds/gallon.</t>
  </si>
  <si>
    <t>Density (lbs/gallon):</t>
  </si>
  <si>
    <t>Pounds to Gallons:</t>
  </si>
  <si>
    <t>&lt; Enter Density (lbs/gal)</t>
  </si>
  <si>
    <t>&lt; Enter Specific Gravity</t>
  </si>
  <si>
    <t>&lt; Enter Pounds Used per Year</t>
  </si>
  <si>
    <t>Gallons per Year:</t>
  </si>
  <si>
    <t>Cans to Gallons:</t>
  </si>
  <si>
    <t>&lt; Enter # of Cans Used per Year</t>
  </si>
  <si>
    <t>&lt; Enter Capacity (fl oz.)</t>
  </si>
  <si>
    <r>
      <t xml:space="preserve">For 'Material Name' (Column A), enter the name of the material as it appears on the associated Material Safety Data Sheet (MSDS).  If a material contains multiple HAP components, </t>
    </r>
    <r>
      <rPr>
        <b/>
        <u/>
        <sz val="11"/>
        <rFont val="Calibri"/>
        <family val="2"/>
        <scheme val="minor"/>
      </rPr>
      <t>only enter the material name ONCE for each material.</t>
    </r>
  </si>
  <si>
    <t>End of Instructions.  Once application is completed, print the table below.</t>
  </si>
  <si>
    <t>In the table below, indicate which emission units you will either accept throughput limits on, or to which you will agree to apply control equipment.</t>
  </si>
  <si>
    <t>Hourly Process Rate</t>
  </si>
  <si>
    <t>Max Annual Throughput</t>
  </si>
  <si>
    <t>Thousand Ampere-Hours = M-A-Hrs</t>
  </si>
  <si>
    <t>Enter Combustion Unit Rating in MMBtu/hr:</t>
  </si>
  <si>
    <t>Natural Gas Hourly fuel use (MMcf / hr):</t>
  </si>
  <si>
    <t>No. 2 Fuel Oil / Diesel Hourly fuel use (Mgal / hr):</t>
  </si>
  <si>
    <t>Kerosene Hourly fuel use (Mgal / hr):</t>
  </si>
  <si>
    <t>Gasoline Hourly fuel use (Mgal / hr):</t>
  </si>
  <si>
    <t>Propane Hourly fuel use (Mgal / hr):</t>
  </si>
  <si>
    <t>Residual Fuel Oil Hourly fuel use (Mgal / hr):</t>
  </si>
  <si>
    <t>Coal Hourly fuel use (tons / hr):</t>
  </si>
  <si>
    <t>For Coal-Burning Units, provide the average Btu content per pound of coal:</t>
  </si>
  <si>
    <t>Agree to Throughput Limit?</t>
  </si>
  <si>
    <t>Annual Throughput Limit</t>
  </si>
  <si>
    <t>Maximum Annual Throughput</t>
  </si>
  <si>
    <t>Limit?</t>
  </si>
  <si>
    <t>Throughput Units</t>
  </si>
  <si>
    <t>Agree to Emission Controls?</t>
  </si>
  <si>
    <t>Controls?</t>
  </si>
  <si>
    <t>Control Code</t>
  </si>
  <si>
    <t>Steam or Water Injection</t>
  </si>
  <si>
    <t>Control Device</t>
  </si>
  <si>
    <t>Control Efficiency %</t>
  </si>
  <si>
    <r>
      <t>PM</t>
    </r>
    <r>
      <rPr>
        <b/>
        <vertAlign val="subscript"/>
        <sz val="11"/>
        <color theme="1"/>
        <rFont val="Calibri"/>
        <family val="2"/>
        <scheme val="minor"/>
      </rPr>
      <t>10</t>
    </r>
  </si>
  <si>
    <r>
      <t>PM</t>
    </r>
    <r>
      <rPr>
        <b/>
        <vertAlign val="subscript"/>
        <sz val="11"/>
        <color theme="1"/>
        <rFont val="Calibri"/>
        <family val="2"/>
        <scheme val="minor"/>
      </rPr>
      <t>2.5</t>
    </r>
  </si>
  <si>
    <t>Fabric Filter</t>
  </si>
  <si>
    <t>Thermal Oxidizer</t>
  </si>
  <si>
    <t>Cyclone</t>
  </si>
  <si>
    <t>Water Spray (Dust)</t>
  </si>
  <si>
    <t>Other</t>
  </si>
  <si>
    <t>Control Type</t>
  </si>
  <si>
    <t>If 'Other', Specify Type</t>
  </si>
  <si>
    <t>Control Device ID</t>
  </si>
  <si>
    <t>Annual Throughput</t>
  </si>
  <si>
    <t>Flare</t>
  </si>
  <si>
    <t>Fabric Filter + Cyclone</t>
  </si>
  <si>
    <t>HEPA Filter</t>
  </si>
  <si>
    <t>Chemical Stabilizer (Roads)</t>
  </si>
  <si>
    <t>2x/Week Sweeping (Roads)</t>
  </si>
  <si>
    <t>Process Fully Enclosed</t>
  </si>
  <si>
    <t>Process Partial Enclosed</t>
  </si>
  <si>
    <t>Oil Spray (Grain Dust)</t>
  </si>
  <si>
    <t>If you agree to accept a throughput limit for the emission unit on that row, the corresponding cell in Column E will be highlighted in yellow to indicate a required entry.  If you do not agree to accept a throughput limit, the cell will fill with a cross-hatch pattern, and you can continue to Column G.</t>
  </si>
  <si>
    <t>In Column G, which will be highlighted in yellow, indicate whether you will agree to apply emission controls to the emission unit in that row.  When you click on the cells under Column G, a drop-down box will give you two options, "Yes" or "No".   Choose the appropriate answer.  If you answer "No", the cells in Columns H, I, and J will fill with a cross-hatch pattern, and you can move on to the next emission unit.</t>
  </si>
  <si>
    <t>In Column C, indicate whether you will agree to a throughput limit for the emission unit in that row.  When you click on the cells under Column C, a drop-down box will give you two options, "Yes" or "No".   Choose the appropriate answer.</t>
  </si>
  <si>
    <t>Once you've entered the control device/method, the corresponding cell in Column I will be highlighted in yellow.  When you click on the cells under Column G, a drop-down box will give you several options.  Choose the option that applies to the corresponding control device/method.  If none of the control device/method options fit the control for that emission unit, select "Other".  You will then be prompted to specify what type of control device/method you are using in Column J.</t>
  </si>
  <si>
    <r>
      <t xml:space="preserve">If you do select "Other" for a control device/method, </t>
    </r>
    <r>
      <rPr>
        <b/>
        <u/>
        <sz val="11"/>
        <rFont val="Calibri"/>
        <family val="2"/>
        <scheme val="minor"/>
      </rPr>
      <t>you must contact the Department</t>
    </r>
    <r>
      <rPr>
        <b/>
        <sz val="11"/>
        <rFont val="Calibri"/>
        <family val="2"/>
        <scheme val="minor"/>
      </rPr>
      <t>.  Department personnel will work with you to apply the appropriate control efficiencies for your control device.</t>
    </r>
  </si>
  <si>
    <t>When you have completed Table 6-A, proceed to Section 7.  Data that you enter in Table 6-A will be used to calculate your facility's actual potential to emit (potential emissions with control devices/methods and throughput limits).</t>
  </si>
  <si>
    <r>
      <rPr>
        <b/>
        <u/>
        <sz val="11"/>
        <color theme="1"/>
        <rFont val="Calibri"/>
        <family val="2"/>
        <scheme val="minor"/>
      </rPr>
      <t>Unless you elected to apply a control device categorized as "Other" in Table 6-A,</t>
    </r>
    <r>
      <rPr>
        <b/>
        <sz val="11"/>
        <color theme="1"/>
        <rFont val="Calibri"/>
        <family val="2"/>
        <scheme val="minor"/>
      </rPr>
      <t xml:space="preserve"> you do not need to enter any information into this table.  Your facility's 'Actual Potential to Emit' (APTE), or the facility's potential to emit after applying control devices/methods and throughput limits has been calculated automatically.  Please review the information presented in Table 7-A for accuracy.  If you find errors or inconsistent data, please contact the Department for assistance.</t>
    </r>
  </si>
  <si>
    <r>
      <t>If you did elect to apply a control device categorized as "Other" in Table 6-A,</t>
    </r>
    <r>
      <rPr>
        <b/>
        <sz val="11"/>
        <rFont val="Calibri"/>
        <family val="2"/>
        <scheme val="minor"/>
      </rPr>
      <t xml:space="preserve"> contact the Department and staff will assist you in applying the appropriate control efficiencies to your emission units.</t>
    </r>
  </si>
  <si>
    <t>Shown below is your source's potential emissions after applying any operational limits or control equipment you elected in Section 6.  Emissions are in units of pounds.</t>
  </si>
  <si>
    <t>(Yes or No)</t>
  </si>
  <si>
    <t>LIMIT OR CONTROL?</t>
  </si>
  <si>
    <r>
      <t xml:space="preserve">Material Name </t>
    </r>
    <r>
      <rPr>
        <b/>
        <sz val="11"/>
        <color theme="1"/>
        <rFont val="Calibri"/>
        <family val="2"/>
      </rPr>
      <t>–</t>
    </r>
    <r>
      <rPr>
        <b/>
        <sz val="11"/>
        <color theme="1"/>
        <rFont val="Arial"/>
        <family val="2"/>
      </rPr>
      <t xml:space="preserve"> Manufacturer: Purpose</t>
    </r>
  </si>
  <si>
    <t>Control Device Type</t>
  </si>
  <si>
    <t>Agree to Control Emissions?</t>
  </si>
  <si>
    <t>CONTROL DEVICE</t>
  </si>
  <si>
    <t>Blaster 10000 - XYZ Solvent Co.: Solvent</t>
  </si>
  <si>
    <t>In Column E, indicate whether you will agree to a throughput limit for the material in that row.  When you click on the cells under Column E, a drop-down box will give you two options, "Yes" or "No".   Choose the appropriate answer.</t>
  </si>
  <si>
    <t>If you select "No" in Column E, the associated cell in Column F will fill with a crosshatch pattern, and the cell should be left blank.  If you select "Yes" in Column E, then you will be prompted to enter a throughput limit in Column F.  Be sure to use the same throughput limit as you used in Table 6-A.  A preliminary VOC total will calculate automatically.</t>
  </si>
  <si>
    <t>In Column I, indicate whether you will agree to control emissions from the material listed in that row.  When you click on the cells under Column I, a drop-down box will give you two options, "Yes" or "No".   Choose the appropriate answer.</t>
  </si>
  <si>
    <t>If you select "No" in Column I, the associated cell in Column J will fill with a crosshatch pattern, and the cell should be left blank.  If you select "Yes" in Column I, then you will be prompted to enter a control device in Column J.  When you click on the cells under Column J, a drop-down box will give you three control options.   Choose the appropriate option.</t>
  </si>
  <si>
    <t>Once all required entries in each row are completed, a Total VOC Emission figure, which incorporates any throughput limits or control devices you elected to use, will be calculated in Column K.</t>
  </si>
  <si>
    <t>Please review the information presented in Table 7-C for accuracy.  If you find errors or inconsistent data, please contact the Department for assistance.</t>
  </si>
  <si>
    <t>Individual HAP Emissions</t>
  </si>
  <si>
    <r>
      <t>Material Name</t>
    </r>
    <r>
      <rPr>
        <b/>
        <sz val="11"/>
        <color theme="1"/>
        <rFont val="Calibri"/>
        <family val="2"/>
      </rPr>
      <t/>
    </r>
  </si>
  <si>
    <t>Triple Crown Adhesive - Trojan Ponies, Inc.: Adhesive</t>
  </si>
  <si>
    <t>Material Throughput Units</t>
  </si>
  <si>
    <t>Maximum Annual Material Throughput</t>
  </si>
  <si>
    <r>
      <t>Material Throughput</t>
    </r>
    <r>
      <rPr>
        <i/>
        <sz val="10"/>
        <color theme="1"/>
        <rFont val="Arial"/>
        <family val="2"/>
      </rPr>
      <t xml:space="preserve">          </t>
    </r>
  </si>
  <si>
    <t>HAP Content Units</t>
  </si>
  <si>
    <t>HAP Units</t>
  </si>
  <si>
    <t>pounds</t>
  </si>
  <si>
    <t>gallons</t>
  </si>
  <si>
    <t>weight %</t>
  </si>
  <si>
    <t>lbs/gallon</t>
  </si>
  <si>
    <t xml:space="preserve">Individual HAP Content          </t>
  </si>
  <si>
    <t>Density</t>
  </si>
  <si>
    <t>% Release</t>
  </si>
  <si>
    <t>Control %</t>
  </si>
  <si>
    <t>Control?</t>
  </si>
  <si>
    <t>Max Throughput</t>
  </si>
  <si>
    <t>Limited Throughput</t>
  </si>
  <si>
    <t/>
  </si>
  <si>
    <t>Cells that are filled in with dark gray do not require data.  Do not enter any information in these cells.</t>
  </si>
  <si>
    <t>If your facility's Actual Potential to Emit (APTE) meets or exceeds any of the Class I permit thresholds, then your source will be required to obtain a Class I operating permit.</t>
  </si>
  <si>
    <t xml:space="preserve">Complete and submit the remainder of this application.  </t>
  </si>
  <si>
    <t>If you elected to accept throughput limits or emission control requirements in Section 6 to maintain your facility as a Class II 'Synthetic Minor Source', or as a Class I 'Synthetic Area Source' of HAP emissions then make sure that the limits and control requirements you have accepted will maintain actual emissions at levels that are lower than the applicable thresholds.</t>
  </si>
  <si>
    <t>This application form is designed to be user-friendly by alerting the user as to which inputs are needed, as well as when the user has entered too much information, or invalid information.  The formatting of this application is designed to guide you step-by-step through the process of completing this application.  For example, if an entry is required, the box will be highlighted in yellow, as shown below:</t>
  </si>
  <si>
    <t>As shown in the example above, because the operating schedule is 'year round', the individual months of operation are irrelevant, and the cell is filled with a crosshatch pattern.</t>
  </si>
  <si>
    <t>Celsius to Fahrenheit:</t>
  </si>
  <si>
    <t>Sorted by Pollutant Name</t>
  </si>
  <si>
    <t>Sorted by CAS Number</t>
  </si>
  <si>
    <t>Regulation Citation</t>
  </si>
  <si>
    <t>Regulation Name</t>
  </si>
  <si>
    <t>(e.g. General Provisions)</t>
  </si>
  <si>
    <t>(e.g. 40 CFR 63 Subpart A)</t>
  </si>
  <si>
    <t>Requirement Citation &amp; Name</t>
  </si>
  <si>
    <t>LLCAPCPRS Article 2, Section 18:  New Source Performance Standards (40 CFR Part 60)</t>
  </si>
  <si>
    <t>If "Yes", describe compliance method.  If "No", explain reason it does not apply.</t>
  </si>
  <si>
    <t>Does standard apply?</t>
  </si>
  <si>
    <t>LLCAPCPRS Article 2, Section 19:  Prevention of Significant Deterioration (PSD) of Air Quality</t>
  </si>
  <si>
    <t>LLCAPCPRS Article 2, Section 20, paragraph (E):  &lt;20% Opacity of Visible Emissions</t>
  </si>
  <si>
    <t>LLCAPCPRS Article 2, Section 23:  Hazardous Air Pollutants - Emission Standards (40 CFR Part 61)</t>
  </si>
  <si>
    <t>LLCAPCPRS Article 2, Section 24:  Sulfur Compound Emissions - Existing Sources - Emission Standards</t>
  </si>
  <si>
    <t>LLCAPCPRS Article 2, Section 25:  Nitrogen Oxides - Emission Standards for Existing Stationary Sources</t>
  </si>
  <si>
    <t>LLCAPCPRS Article 2, Section 26:  Acid Rain (40 CFR Parts 72 through 78)</t>
  </si>
  <si>
    <t xml:space="preserve">LLCAPCPRS Article 2, Section 27:  Hazardous Air Pollutants - Maximum Achievable Control Technology (MACT) </t>
  </si>
  <si>
    <t>LLCAPCPRS Article 2, Section 28:  MACT Emission Standards (40 CFR Part 63)</t>
  </si>
  <si>
    <t>LLCAPCPRS Article 2, Section 32:  Dust - Duty to Prevent the Escape Of</t>
  </si>
  <si>
    <t>Applicable requirements for your source may include maintaining allowable stack opacity, maintaining allowable particulate emissions for the total given heat input, adhering to fugitive dust regulations, adhering to the process weight/particulate emissions rates, adhering to all construction permit conditions, etc.  In the boxes below, check all of those requirements in the LLCAPCPRS that may apply to your source, and identify the method by which you intend to demonstrate compliance with the requirement.  If a requirement does not apply to your source, briefly explain the reason it does not apply.</t>
  </si>
  <si>
    <t>PART A:  Applicable Requirements of the LLCAPCPRS</t>
  </si>
  <si>
    <t>(e.g. NSPS for Grain Elevators)</t>
  </si>
  <si>
    <t>(e.g. 40 CFR 60 Subpart DD)</t>
  </si>
  <si>
    <t>Emission unit(s) covered by this regulation.</t>
  </si>
  <si>
    <t>PART B:  Applicable NSPS, NESHAPs, MACT Standards, and Acid Rain Requirements (continued)</t>
  </si>
  <si>
    <t>PART C: Non-Applicable LLCAPCPRS Regulations &amp; Non-Applicable Federal Regulations</t>
  </si>
  <si>
    <t>Provide the reason(s) the regulation does not apply to your source.</t>
  </si>
  <si>
    <t>If supplying compliance explanations for multiple rules, you do not need to submit each explanation on its own piece of paper.</t>
  </si>
  <si>
    <t>PART B:  Applicable Federal Regulations and Additional Applicable LLCAPCPRS</t>
  </si>
  <si>
    <t>In this section, you must identify the applicable regulations set forth under the Lincoln-Lancaster County Air Pollution Control Program Regulations and Standards (LLCAPCPRS), as well as any federal air regulations that apply to your source.  This section should be completed as follows:</t>
  </si>
  <si>
    <t>In Part A of this section, indicate whether the provided regulations of the LLCAPCPRS apply to your source.  For those rules that do apply to your source, provide a brief description (5-10 words) of how your source will demonstrate compliance with the regulation.  Otherwise, provide a brief explanation of why the rule does not apply.</t>
  </si>
  <si>
    <r>
      <t xml:space="preserve">For those regulations that would appear to apply to your source, but do not actually apply to your source, use the spaces provided below to provide the citation of the regulation, as well as the reason(s) that the regulation does not apply to your source. </t>
    </r>
    <r>
      <rPr>
        <sz val="11"/>
        <color theme="1"/>
        <rFont val="Arial"/>
        <family val="2"/>
      </rPr>
      <t xml:space="preserve"> </t>
    </r>
  </si>
  <si>
    <t>The following links have been provided to help you identify which rules may apply to your source.  Department personnel can provide you with technical assistance regarding specific applicability of some rules.  However, if you need a facility-wide analysis of what rules may apply to your source, it is recommended that you contact an environmental consulting firm.</t>
  </si>
  <si>
    <t>Lincoln-Lancaster County Air Pollution Control Program Regulations &amp; Standards (LLCAPCPRS)</t>
  </si>
  <si>
    <t>For 'Stack Inside Diameter', provide the distance across the inside of the stack.  For stacks that are square or rectangular, use the conversion tool below to calculate the 'Equivalent Diameter'.    Once you have calculated the equivalent diameter, enter that figure for the 'Stack Inside Diameter'.</t>
  </si>
  <si>
    <t xml:space="preserve">For 'Exhaust Exit Velocity', enter the velocity of the exhaust gases as they exit the stack.  'Exhaust Flow Rate' will calculate automatically based on exit velocity and stack diameter.  If you only have the exhaust flow rate (in cubic feet/second or cubic feet/minute) use the appropriate conversion tool provided below to calculate exit velocity.  </t>
  </si>
  <si>
    <t>For 'Raincap Present?', a drop-down list of options is available.  Select "Yes" if the stack has a raincap.  Select "No" if no raincap is present.</t>
  </si>
  <si>
    <t>For 'Latitude' and 'Longitude', provide information in 'decimal degrees'.  You do not need to enter the "-" to the longitude to denote 'degrees West', it will be added automatically.  If you enter a value and the cell is highlighted in red, you have entered a value that is outside of the boundary of Lancaster County.</t>
  </si>
  <si>
    <t>For 'Elevation', provide the elevation of the base of the stack (ground level).  If the stack, vent, or release point is on the roof of a building, see the instructions for 'Stack Height'.</t>
  </si>
  <si>
    <t>For 'Vertical, Horizontal, or Fugitive', a drop-down list of options is available.  Select the appropriate option that describes the direction of the exhaust gas as it exits the stack.  If an emission unit does not have a stack, vent, or similar release point associated with it, select "Fugitive".  Doing this will format all other cells in that row (except emission unit # and description) with a cross-hatch pattern.</t>
  </si>
  <si>
    <t>gallons = gals                pounds = lbs</t>
  </si>
  <si>
    <r>
      <t>In Part C of this section, identify all rules that would appear to apply to your source (or to equipment located at your source), but that do not actually apply.  For example, if you own a 10,000 gallon petroleum storage vessel built in 1975, it would appear that 40 CFR Part 60 Subpart K "</t>
    </r>
    <r>
      <rPr>
        <b/>
        <i/>
        <sz val="11"/>
        <color theme="1"/>
        <rFont val="Calibri"/>
        <family val="2"/>
        <scheme val="minor"/>
      </rPr>
      <t>Standards of Performance for Storage Vessels for Petroleum Liquids for which Construction, Reconstruction, or Modification Commenced after June 11, 1973, and prior To May 19, 1978</t>
    </r>
    <r>
      <rPr>
        <b/>
        <sz val="11"/>
        <color theme="1"/>
        <rFont val="Calibri"/>
        <family val="2"/>
        <scheme val="minor"/>
      </rPr>
      <t>" applies to this storage tank.  However, the size of the tank is smaller than the 40,000 gallon applicability threshold set forth in the rule.  Therefore, you would cite the regulation as "40 CFR Part 60, Subpart K", and list the reason for non-applicability as "Tank capacity is less than 40,000 gallon threshold."  You do not need to include rules that clearly do not apply to any equipment or emission units located at your source in Part C.</t>
    </r>
  </si>
  <si>
    <t>Please indicate whether you are accepting throughput limits or emission control requirements for VOC-containing materials.  Emissions will be calculated in units of pounds.</t>
  </si>
  <si>
    <t>Please indicate whether you are accepting throughput limits or emission control requirements for HAP-containing materials.  Emissions will be calculated in units of pounds.</t>
  </si>
  <si>
    <t>Instructions for Section 6 - Table 6-A:  Source-Elected Throughput Limits and Emission Control Requirements</t>
  </si>
  <si>
    <t>Part A:  Operating Schedule</t>
  </si>
  <si>
    <t>Part A:  Company Information</t>
  </si>
  <si>
    <t>Part B:  General Facility Information</t>
  </si>
  <si>
    <t>Part C:  Contact Information</t>
  </si>
  <si>
    <t>Part D:  Permit Information</t>
  </si>
  <si>
    <t>Part E:  Responsible Official Certification</t>
  </si>
  <si>
    <t>Part A:  Compliance Status for Applicable Rules and Requirements</t>
  </si>
  <si>
    <r>
      <t xml:space="preserve">In Part B of this section, identify all federal air regulations that apply specifically to your source, </t>
    </r>
    <r>
      <rPr>
        <b/>
        <u/>
        <sz val="11"/>
        <color theme="1"/>
        <rFont val="Calibri"/>
        <family val="2"/>
        <scheme val="minor"/>
      </rPr>
      <t>including those rules with compliance dates set to take place after issuance of the permit</t>
    </r>
    <r>
      <rPr>
        <b/>
        <sz val="11"/>
        <color theme="1"/>
        <rFont val="Calibri"/>
        <family val="2"/>
        <scheme val="minor"/>
      </rPr>
      <t>.  Do not identify federal rules pertaining to permitting programs or enforcement.  In addition, if there are any regulations set forth under the LLCAPCPRS not identified in Part A that apply specifically to your source, provide a citation of the regulation and the name of the section the rule is found in.  For all rules identified in Part B, attach a brief description (1-2 paragraphs) detailing how your source will achieve and maintain compliance with the stated rule.  The description should include the types of parameters that are monitored, the types of records kept, the required reporting, and the test methods used (as applicable) to demonstrate compliance.</t>
    </r>
  </si>
  <si>
    <t xml:space="preserve">If your source is subject to any federal air regulations set forth under 40 CFR Parts 60, 61, 63, 64, 68, 82, or Parts 72-78, or to additional regulations set forth in the LLCAPCPRS not included in Part A, then in the spaces provided below, list all of those regulations that apply to your source.  For each regulation that applies to your source, list which emission unit(s) the rule applies to, and attach a brief explanation of how you intend to comply with the rule.  </t>
  </si>
  <si>
    <t>Reason(s) why source will not be in compliance.</t>
  </si>
  <si>
    <t>Will your source be in compliance with all applicable rules and requirements identified in Section 9 of this application, including those that with compliance dates set to take place during the term of the permit?</t>
  </si>
  <si>
    <t>Part B:  Applicable Rules and Requirements for Which Compliance Is Not Achieved or Will Not Be Achieved</t>
  </si>
  <si>
    <t>Parts B and C of this spreadsheet allow for multiple pages.  When printing, be sure to specify printing only of pages that contain data.</t>
  </si>
  <si>
    <t>End of Instructions.  Complete the form below.</t>
  </si>
  <si>
    <t>End of Instructions.  Complete the form below, if necessary.</t>
  </si>
  <si>
    <t>Applicable Requirement Name:</t>
  </si>
  <si>
    <t>Requirement Citation:</t>
  </si>
  <si>
    <t>Provide a narrative description of how compliance with this requirement will be achieved.</t>
  </si>
  <si>
    <t>Provide a detailed schedule for achieving compliance.</t>
  </si>
  <si>
    <t>Remedial Measures/Milestones</t>
  </si>
  <si>
    <t>Date Expected</t>
  </si>
  <si>
    <t>Part B of this spreadsheet allows for up to 15 rules.  If you require additional space, contact the Department.</t>
  </si>
  <si>
    <t>This spreadsheet allows for 5 pages.  When printing, be sure to specify printing only of pages that contain data.</t>
  </si>
  <si>
    <t>Be aware that the Department will require periodic reports of progress until compliance is acheived.  These reports will be required at least once every six (6) months following issuance of the permit, and may be required more frequently if the Department deems more frequent reporting necessary.</t>
  </si>
  <si>
    <t>I hereby certify that, based on information and belief formed after reasonable inquiry, the facility that emits air pollutants, which is identified in this application and that is subject to the applicable requirements identified in Section 9:</t>
  </si>
  <si>
    <t>1. Is in compliance with all applicable requirements, except as described in Section 9;</t>
  </si>
  <si>
    <t>Instructions for Section 3 - Table 3-A:  Emission Unit Identification</t>
  </si>
  <si>
    <t>Instructions for Section 4:  Insignificant Activities</t>
  </si>
  <si>
    <t>Instructions for Section 4 - Table 4-A:  Insignificant Activities List</t>
  </si>
  <si>
    <t>Instructions for Section 4 - Table 4-B:  Insignificant Lubricating &amp; Heavy Oil Storage Information</t>
  </si>
  <si>
    <t>Instructions for Section 4 - Table 4-C:  Insignificant Cooling Towers</t>
  </si>
  <si>
    <t>Part E:  Emission Calculations</t>
  </si>
  <si>
    <t xml:space="preserve">        AP-42 or WebFIRE Emission Factors</t>
  </si>
  <si>
    <t xml:space="preserve">        Seasonal</t>
  </si>
  <si>
    <t xml:space="preserve">        Year-Round</t>
  </si>
  <si>
    <t>Indicate how material and/or fuel use will be substantiated:</t>
  </si>
  <si>
    <r>
      <t xml:space="preserve">Indicate which method(s) will be used to calculate emissions: </t>
    </r>
    <r>
      <rPr>
        <sz val="11"/>
        <color theme="1"/>
        <rFont val="Arial"/>
        <family val="2"/>
      </rPr>
      <t>(check all that apply)</t>
    </r>
  </si>
  <si>
    <r>
      <t xml:space="preserve">        Other </t>
    </r>
    <r>
      <rPr>
        <sz val="11"/>
        <color theme="1"/>
        <rFont val="Calibri"/>
        <family val="2"/>
        <scheme val="minor"/>
      </rPr>
      <t>(specify &gt;&gt;&gt;&gt;)</t>
    </r>
  </si>
  <si>
    <t xml:space="preserve">        Material / Fuel Use Logbook(s)</t>
  </si>
  <si>
    <t xml:space="preserve">        Material / Fuel Supplier Record(s)</t>
  </si>
  <si>
    <t xml:space="preserve">        Receiving / Load-Out Scale Tickets</t>
  </si>
  <si>
    <t>&lt;&lt;&lt; TRUE IF PART A IS COMPLETE</t>
  </si>
  <si>
    <t>&lt;&lt;&lt; TRUE IF PARTS A THROUGH D ARE COMPLETE</t>
  </si>
  <si>
    <t>&lt;&lt;&lt;TRUE if Part A is complete</t>
  </si>
  <si>
    <t>&lt;&lt;&lt;TRUE if Facility Contact is complete</t>
  </si>
  <si>
    <t>&lt;&lt;&lt;TRUE if Application Contact is complete</t>
  </si>
  <si>
    <t>&lt;&lt;&lt;TRUE if Parts A &amp; B are complete</t>
  </si>
  <si>
    <t>&lt;&lt;&lt;TRUE if Parts A, B, &amp; C are complete</t>
  </si>
  <si>
    <t>&lt;&lt;&lt;TRUE if permit boxes correctly checked</t>
  </si>
  <si>
    <t>&lt;&lt;&lt;TRUE if current op permit data complete</t>
  </si>
  <si>
    <t>&lt;&lt;&lt;TRUE if construction permit data complete</t>
  </si>
  <si>
    <t>&lt;&lt;&lt;TRUE if permit application boxes checked</t>
  </si>
  <si>
    <t>&lt;&lt;&lt;TRUE if Parts A, B, C, and D complete</t>
  </si>
  <si>
    <t>&lt;&lt;&lt;TRUE if Compliance Certification complete</t>
  </si>
  <si>
    <t>&lt;&lt;&lt;TRUE if Truth &amp; Accuracy Cert complete</t>
  </si>
  <si>
    <t>&lt;&lt;&lt;TRUE if Electronic Copy Cert complete</t>
  </si>
  <si>
    <t>&lt;&lt;&lt;TRUE if Citizenship Attestation complete</t>
  </si>
  <si>
    <t>^</t>
  </si>
  <si>
    <t>If unknown or unavailable, enter "Unknown".</t>
  </si>
  <si>
    <t>APPLICATION COMPLETENESS CHECKLIST</t>
  </si>
  <si>
    <t>Instructions for Application Completeness Checklist</t>
  </si>
  <si>
    <t>Separate instructions are provided for individual sections in this application package.</t>
  </si>
  <si>
    <t>We regularly update our application forms, so please check the LLCHD website frequently for the latest application forms.</t>
  </si>
  <si>
    <t>Section Number &amp; Name</t>
  </si>
  <si>
    <t>Included With Application?</t>
  </si>
  <si>
    <t>If not included, provide reason.</t>
  </si>
  <si>
    <r>
      <t>Table 4-A:</t>
    </r>
    <r>
      <rPr>
        <b/>
        <sz val="11"/>
        <color indexed="8"/>
        <rFont val="Arial"/>
        <family val="2"/>
      </rPr>
      <t xml:space="preserve">  Insignificant Activities List</t>
    </r>
  </si>
  <si>
    <r>
      <t>Table 4-B:</t>
    </r>
    <r>
      <rPr>
        <b/>
        <sz val="11"/>
        <color indexed="8"/>
        <rFont val="Arial"/>
        <family val="2"/>
      </rPr>
      <t xml:space="preserve">  Insignificant Lubricating and Heavy Oil Storage Information</t>
    </r>
  </si>
  <si>
    <r>
      <t>Table 4-C:</t>
    </r>
    <r>
      <rPr>
        <b/>
        <sz val="11"/>
        <color indexed="8"/>
        <rFont val="Arial"/>
        <family val="2"/>
      </rPr>
      <t xml:space="preserve">  Insignificant Cooling Towers</t>
    </r>
  </si>
  <si>
    <t>Hyperlinks to each section / table provided below.</t>
  </si>
  <si>
    <t>Does this application contain confidential information?</t>
  </si>
  <si>
    <t>If "Yes" are application pages containing confidential data clearly marked?</t>
  </si>
  <si>
    <t>Nebraska</t>
  </si>
  <si>
    <t xml:space="preserve">                      Agree</t>
  </si>
  <si>
    <t xml:space="preserve">                      Disagree</t>
  </si>
  <si>
    <t xml:space="preserve">                      Not Applicable</t>
  </si>
  <si>
    <t>Citizenship Attestation</t>
  </si>
  <si>
    <t xml:space="preserve">          Yes</t>
  </si>
  <si>
    <t xml:space="preserve">          No</t>
  </si>
  <si>
    <t xml:space="preserve">          Facility Contact Person</t>
  </si>
  <si>
    <t xml:space="preserve">          Other</t>
  </si>
  <si>
    <r>
      <t xml:space="preserve">For the purpose of complying with Neb. Rev. Stat. </t>
    </r>
    <r>
      <rPr>
        <sz val="11"/>
        <color theme="1"/>
        <rFont val="Calibri"/>
        <family val="2"/>
      </rPr>
      <t>§§</t>
    </r>
    <r>
      <rPr>
        <sz val="11"/>
        <color theme="1"/>
        <rFont val="Arial"/>
        <family val="2"/>
      </rPr>
      <t xml:space="preserve">4-108 through 4-114, I attest as follows </t>
    </r>
    <r>
      <rPr>
        <i/>
        <sz val="11"/>
        <color theme="1"/>
        <rFont val="Arial"/>
        <family val="2"/>
      </rPr>
      <t>(</t>
    </r>
    <r>
      <rPr>
        <i/>
        <u/>
        <sz val="11"/>
        <color theme="1"/>
        <rFont val="Arial"/>
        <family val="2"/>
      </rPr>
      <t>check one</t>
    </r>
    <r>
      <rPr>
        <i/>
        <sz val="11"/>
        <color theme="1"/>
        <rFont val="Arial"/>
        <family val="2"/>
      </rPr>
      <t>)</t>
    </r>
    <r>
      <rPr>
        <sz val="11"/>
        <color theme="1"/>
        <rFont val="Arial"/>
        <family val="2"/>
      </rPr>
      <t xml:space="preserve">:
      </t>
    </r>
    <r>
      <rPr>
        <b/>
        <sz val="11"/>
        <color theme="1"/>
        <rFont val="Calibri"/>
        <family val="2"/>
        <scheme val="minor"/>
      </rPr>
      <t xml:space="preserve">I am a citizen of the United States.
            </t>
    </r>
    <r>
      <rPr>
        <sz val="11"/>
        <color theme="1"/>
        <rFont val="Calibri"/>
        <family val="2"/>
        <scheme val="minor"/>
      </rPr>
      <t xml:space="preserve">OR
        </t>
    </r>
    <r>
      <rPr>
        <b/>
        <sz val="11"/>
        <color theme="1"/>
        <rFont val="Calibri"/>
        <family val="2"/>
        <scheme val="minor"/>
      </rPr>
      <t>I am a qualified alien under the federal Immigration and Nationality Act, and will 
        provide my immigration status, alien number, and USCIS documentation upon request.</t>
    </r>
    <r>
      <rPr>
        <b/>
        <sz val="8"/>
        <color theme="1"/>
        <rFont val="Calibri"/>
        <family val="2"/>
        <scheme val="minor"/>
      </rPr>
      <t xml:space="preserve">
</t>
    </r>
    <r>
      <rPr>
        <sz val="11"/>
        <color theme="1"/>
        <rFont val="Arial"/>
        <family val="2"/>
      </rPr>
      <t>I hereby attest that my responses and the information provided on this form and any related application for public benefits are true, complete, and accurate, and I understand that this information may be used to verify my lawful presence in the United States.</t>
    </r>
  </si>
  <si>
    <t xml:space="preserve">       No</t>
  </si>
  <si>
    <t xml:space="preserve">       Yes</t>
  </si>
  <si>
    <r>
      <t>Maximum Circulating H</t>
    </r>
    <r>
      <rPr>
        <b/>
        <vertAlign val="subscript"/>
        <sz val="10"/>
        <color theme="1"/>
        <rFont val="Arial"/>
        <family val="2"/>
      </rPr>
      <t>2</t>
    </r>
    <r>
      <rPr>
        <b/>
        <sz val="10"/>
        <color theme="1"/>
        <rFont val="Arial"/>
        <family val="2"/>
      </rPr>
      <t>O Flow Rate (gpm)</t>
    </r>
  </si>
  <si>
    <t xml:space="preserve">       Yes
       No</t>
  </si>
  <si>
    <r>
      <t xml:space="preserve">                           Yes</t>
    </r>
    <r>
      <rPr>
        <b/>
        <sz val="5"/>
        <color theme="1"/>
        <rFont val="Calibri"/>
        <family val="2"/>
        <scheme val="minor"/>
      </rPr>
      <t xml:space="preserve">
</t>
    </r>
    <r>
      <rPr>
        <b/>
        <sz val="11"/>
        <color theme="1"/>
        <rFont val="Calibri"/>
        <family val="2"/>
        <scheme val="minor"/>
      </rPr>
      <t xml:space="preserve">                           No</t>
    </r>
  </si>
  <si>
    <t xml:space="preserve">        Yes
        No</t>
  </si>
  <si>
    <r>
      <t xml:space="preserve">For 'Stack Height', provide the distance from </t>
    </r>
    <r>
      <rPr>
        <b/>
        <u/>
        <sz val="11"/>
        <color theme="1"/>
        <rFont val="Calibri"/>
        <family val="2"/>
        <scheme val="minor"/>
      </rPr>
      <t>ground level to the top of the stack</t>
    </r>
    <r>
      <rPr>
        <b/>
        <sz val="11"/>
        <color theme="1"/>
        <rFont val="Calibri"/>
        <family val="2"/>
        <scheme val="minor"/>
      </rPr>
      <t>.  For stacks, vents, or release points on the roof of a building, add the height of the building to the stack height.</t>
    </r>
  </si>
  <si>
    <t>feet long</t>
  </si>
  <si>
    <t>degrees Celsius (°C)</t>
  </si>
  <si>
    <t>All emission units that are subject to a NSPS, NESHAP, and/or construction permit requirements are not insignificant activities. This includes all types of emissions units listed in this document. For those units subject to a NSPS, NESHAP, and/or construction permit requirements, you must assign an emission unit identification number, complete the appropriate emission unit application forms, and calculate and submit emissions as part of the Annual Emission Inventory Report to the LLCHD.</t>
  </si>
  <si>
    <r>
      <t xml:space="preserve">Any existing, new, or reconstructed stationary reciprocating internal combustion engine (RICE) located at a major or area source of hazardous air pollutant emissions, excluding stationary RICE being tested at a stationary RICE test cell/stand, is an affected source under the National Emission Standards for Hazardous Air Pollutants Maximum Achievable Control Technology (NESHAP MACT) requirements set forth under 40 CFR 63 Subpart ZZZZ.  </t>
    </r>
    <r>
      <rPr>
        <b/>
        <u/>
        <sz val="11"/>
        <color theme="1"/>
        <rFont val="Calibri"/>
        <family val="2"/>
        <scheme val="minor"/>
      </rPr>
      <t>Please note that any RICE subject to this NESHAP MACT subpart, whether or not it has applicable requirements, cannot be an insignificant activity.</t>
    </r>
  </si>
  <si>
    <t>CLICK HERE FOR EPA'S LIST OF HAZARDOUS AIR POLLUTANTS (HAP).</t>
  </si>
  <si>
    <t>For 'Release Factor', enter the amount of VOC that is actually emitted into the atmosphere as a result of material use.  For most materials, this will be 100% unless you have supporting data that shows a lower release factor.</t>
  </si>
  <si>
    <t xml:space="preserve">If you answered "Yes" in Column G, then the corresponding cell in Column H will be highlighted in yellow.  Here you must identify the control device/method associated with that emission unit.  Please use a description that will allow you to clearly identify the control device/method. </t>
  </si>
  <si>
    <t xml:space="preserve">Please note that many sheets have up to 300 rows. Please either print only the required number of pages or set the 'Print Area' on each sheet by going to the 'Page Layout' tab at the top, click 'Print Area' then 'Set Print Area'. You will then be able to drag a blue box around the cells you will to print. </t>
  </si>
  <si>
    <t xml:space="preserve">       Initial Construction Permit</t>
  </si>
  <si>
    <t xml:space="preserve">       PSD Construction Permit</t>
  </si>
  <si>
    <t>I certify under penalty of law that, based on information and belief formed after reasonable inquiry, the statements and information contained in this Air Quality Construction Permit application are true, complete, and accurate.  I certify that all hard copies of this application are identical in content.</t>
  </si>
  <si>
    <t>I certify under penalty of law that, based on information and belief formed after reasonable inquiry, the statements and information contained in the electronic copy of the Air Quality Construction Permit application are identical in content to the hard copy submittal.</t>
  </si>
  <si>
    <t>Part B:  New Process Description</t>
  </si>
  <si>
    <t>On separate sheet(s) of paper, provide a detailed narrative description of the process or equipmen you are planning to construct/reconstruct/modify. Explain the stages in each process that may result in the discharge of an air pollutant. Include all emission points, emission units, pollution control equipment, and identification numbers. The narrative should complement the facility layout and process flow diagrams.</t>
  </si>
  <si>
    <t>Part C:  Process Layout Diagram</t>
  </si>
  <si>
    <t>On a separate sheet(s) of paper, provide a detailed diagram or drawing that includes all processes and/or equipment identified in this application. Make sure all elements in the drawing are properly identified, drawn to scale, and consistent with other sections of this application. The diagram should show the location of all new/modified buildings, structures, stacks, and property boundaries. Fences or other public access restrictions should be shown or identified and described. Be sure to identify adjacent roads and include a north arrow.  Include an effective date for the diagram.</t>
  </si>
  <si>
    <t>Part D:  Facility Description</t>
  </si>
  <si>
    <t>On separate sheet(s) of paper, provide a brief narrative description of the facility. Explain the stages in each process that may result in the discharge of an air pollutant. Include all emission points, emission units, pollution control equipment, and identification numbers. The narrative should complement the facility layout and process flow diagrams.</t>
  </si>
  <si>
    <t xml:space="preserve">Is a New Process Description attached to your application? </t>
  </si>
  <si>
    <t xml:space="preserve">Is a Process Layout Diagram included with your application? </t>
  </si>
  <si>
    <t xml:space="preserve">Is a Facility Description included with your application? </t>
  </si>
  <si>
    <t>SECTION 3  –  EMISSION UNIT SUMMARY</t>
  </si>
  <si>
    <t>Table 3-B:  New/Modified/Reconstructed Stack / Release Point Information</t>
  </si>
  <si>
    <t>PM</t>
  </si>
  <si>
    <t>Criteria Air Pollutants</t>
  </si>
  <si>
    <t>Hazardous Air Pollutants</t>
  </si>
  <si>
    <t>Additionally, if your source is a major source for PSD purposes, and the MPTE meets or exceeds any of the PSD permit thresholds, your source will be required to obtain a PSD construction permit unless you accept enforceable requirements in your  permit to limit emissions to levels that are below PSD construction permit thresholds.</t>
  </si>
  <si>
    <t>If you require a construction permit (either PSD or non-PSD), complete and submit the remainder of this application.</t>
  </si>
  <si>
    <t>Part C:  Toxic 'Best Available Control Technology' (T-BACT) Determination</t>
  </si>
  <si>
    <t>Avoid T-BACT</t>
  </si>
  <si>
    <t>Not Avoid T-BACT</t>
  </si>
  <si>
    <t>Part D:  Toxic 'Maximum Achievable Control Technology' (MACT) Determination</t>
  </si>
  <si>
    <t>Part E:  Source Elected Requirements for Actual Emission Reductions</t>
  </si>
  <si>
    <t>Emission
Unit #</t>
  </si>
  <si>
    <t>Individual
HAP</t>
  </si>
  <si>
    <t>Instructions for Section 6 - Table 6-B:  Source-Elected Emission Limits</t>
  </si>
  <si>
    <t xml:space="preserve">         Yes</t>
  </si>
  <si>
    <t xml:space="preserve">         No</t>
  </si>
  <si>
    <t>Agree to emission limit?</t>
  </si>
  <si>
    <t>Agreed to throughput limits or controls?</t>
  </si>
  <si>
    <t>For each emission unit that you agree to limit, be sure to enter either a limit or a zero for every pollutant.  Failure to do so will result in un-completed cells appearing yellow.</t>
  </si>
  <si>
    <t>Next, you are given the opportunity to take an emission 'cap' for this specific project.  Doing so may allow you to avoid requirements such as 'Best Available Control Technology' for Hazardous Air Pollutants, or avoid requirements to conduct pre-construction modeling.  If you wish to take a project-specific limit for any pollutants, click the drop-down and select "Yes".  If not, select "No".   If you select "Yes", you will be prompted to enter the desired emission limit in units of pounds.</t>
  </si>
  <si>
    <r>
      <t xml:space="preserve">Prior to Table 6-B, you are given the opportunity to take an emission 'cap' for the entire facility.  Doing so may allow you to avoid major source designations for the purposes of Title V permitting, PSD permitting, or for Hazardous Air Pollutants.  If you wish to take a major source-avoidance limit for any pollutants, click the drop-down and select "Yes".  If not, select "No".   If you select "Yes", you will be prompted to enter the desired emission limit in units of </t>
    </r>
    <r>
      <rPr>
        <b/>
        <u/>
        <sz val="11"/>
        <rFont val="Calibri"/>
        <family val="2"/>
        <scheme val="minor"/>
      </rPr>
      <t>pounds</t>
    </r>
    <r>
      <rPr>
        <b/>
        <sz val="11"/>
        <rFont val="Calibri"/>
        <family val="2"/>
        <scheme val="minor"/>
      </rPr>
      <t>.</t>
    </r>
  </si>
  <si>
    <t>Proceeding to Table 6-B, if you wish to agree to a pollutant-specific emission limit for a particular emission unit, click the drop-down and select "Yes".  If you do not wish to agree to any emission limits for that emission unit, select "No".</t>
  </si>
  <si>
    <t>Enter the pollutant-specific emission limit(s) you wish to agree to for each emission unit.  If you only wish to agree to a limit for one pollutant, and do not wish to limit the emissions of other pollutants for a given emission unit, then for those pollutants you do not wish to limit, enter a zero (0).  Zeros will appear as a dash (-).</t>
  </si>
  <si>
    <t>As seen in the example table below, the emission unit numbers and SCC codes entered on Table 3-A, as well as the responses provided in Table 6-A, have been automatically imported into Table 6-B.  In each row than contains an emission unit, the cell under "Agree to emission limit?" is highlighted in yellow, indicating a required entry.  The following items will offer a further explanation of what is requested in each column.</t>
  </si>
  <si>
    <t>If you meet or exceed any of the construction permit thresholds, your source may be required to obtain a construction permit.  If you do not meet or exceed the construction permit thresholds, your source does not require a construction permit.  Complete Section 6 of this application.  If your source will not require a construction permit, print and submit Sections 1 through 6 of this  permit application as evidence that your source does not require a construction permit.</t>
  </si>
  <si>
    <t>Instructions for Section 8:  Applicable Rules and Requirements</t>
  </si>
  <si>
    <t>SECTION 8:  APPLICABLE RULES AND REQUIREMENTS</t>
  </si>
  <si>
    <t>Instructions for Section 9:  Compliance Plan</t>
  </si>
  <si>
    <t>SECTION 9:  COMPLIANCE PLAN</t>
  </si>
  <si>
    <t>In the form below, indicate whether your source will be in compliance with all applicable rules and regulations identified in Section 8.  If there are regulations that your source will not be in compliance with, either at the time that the permit is issued, or when the compliance date of the regulation is reached, then indicate which rules the source will be out of compliance with, and describe why compliance cannot or will not be acheived.</t>
  </si>
  <si>
    <t>For those rules that your source will not be in compliance with, complete one of the provided forms in the worksheet labeled Table 9-A - Compliance Schedule.</t>
  </si>
  <si>
    <t>When you have completed Parts A, B, and Table 9-A (if necessary) continue to the "Application Checklist".</t>
  </si>
  <si>
    <t>Instructions for Table 9-A:  Compliance Schedule</t>
  </si>
  <si>
    <t xml:space="preserve">The regulations you indicated your source would not be in compliance with, as indicated in the Section 9 form, have been automatically imported into this form.  For each rule that your source will not be in compliance with, provide a narrative description of how compliance with the requirement will be acheived, and provide a detailed schedule of how your source will acheive compliance.  </t>
  </si>
  <si>
    <t>TABLE 9-A:  COMPLIANCE SCHEDULE</t>
  </si>
  <si>
    <t>Will your source require a PSD construction permit?</t>
  </si>
  <si>
    <r>
      <t xml:space="preserve">All applications must include this completeness checklist.  </t>
    </r>
    <r>
      <rPr>
        <b/>
        <u/>
        <sz val="11"/>
        <rFont val="Calibri"/>
        <family val="2"/>
        <scheme val="minor"/>
      </rPr>
      <t>On the form provided below, please indicate which application forms and sections are included with your Air Quality Construction Permit Application packet.</t>
    </r>
    <r>
      <rPr>
        <b/>
        <sz val="11"/>
        <rFont val="Calibri"/>
        <family val="2"/>
        <scheme val="minor"/>
      </rPr>
      <t xml:space="preserve">  The LLCHD recommends including a cover letter identifying additional attachments and supplemental information.</t>
    </r>
  </si>
  <si>
    <t>All applications must include a completeness checklist.  The following are general instructions for the completion and submittal of an Air Quality Construction Permit Application. These instructions do not cover the individual Sections in this Application.</t>
  </si>
  <si>
    <t>Applications are incomplete unless all information requested herein is supplied.  Failure to supply any additional information requested by the Department to enable it to act on the application may result in denial of a construction permit.  Enclosed forms may be copied as needed.</t>
  </si>
  <si>
    <t>Largest HAP Calculation Array</t>
  </si>
  <si>
    <t>Information entered in this sheet will be used to populate cells in other tables in this application.</t>
  </si>
  <si>
    <r>
      <t xml:space="preserve">In Table 4-A, below, you must list all insignificant activities at your facility, except for those included in items </t>
    </r>
    <r>
      <rPr>
        <b/>
        <u/>
        <sz val="11"/>
        <color theme="1"/>
        <rFont val="Calibri"/>
        <family val="2"/>
        <scheme val="minor"/>
      </rPr>
      <t>A.1 through A.42</t>
    </r>
    <r>
      <rPr>
        <b/>
        <sz val="11"/>
        <color theme="1"/>
        <rFont val="Calibri"/>
        <family val="2"/>
        <scheme val="minor"/>
      </rPr>
      <t xml:space="preserve"> in the 'Instructions for Section 4'. </t>
    </r>
  </si>
  <si>
    <t>For stationary external combustion units, include the heat input rating, the type of fuel (or fuels) burned, and the average annual days in service.</t>
  </si>
  <si>
    <t xml:space="preserve">In Table 4-B below, provide the requested information for lubricating and heavy oil storage vessels. </t>
  </si>
  <si>
    <t xml:space="preserve">In Table 4-C below, provide the requested information for wet cooling towers. </t>
  </si>
  <si>
    <t>If you elect to take emission limits on VOC or HAP in Section 6 of this application, lubricating and heavy oil storage cannot be considered an insignificant activity.  If you accept a VOC or HAP emission limit, or accept throughput limits or control requirements to reduce VOC/HAP emissions below an applicable threshold, you will need to remove the equipment from this table and add the equipment as emission units in Table 3-A of this application.</t>
  </si>
  <si>
    <r>
      <t>If you elect to accept limits on emissions of PM or  PM</t>
    </r>
    <r>
      <rPr>
        <b/>
        <vertAlign val="subscript"/>
        <sz val="11"/>
        <color theme="1"/>
        <rFont val="Calibri"/>
        <family val="2"/>
        <scheme val="minor"/>
      </rPr>
      <t>10</t>
    </r>
    <r>
      <rPr>
        <b/>
        <sz val="11"/>
        <color theme="1"/>
        <rFont val="Calibri"/>
        <family val="2"/>
        <scheme val="minor"/>
      </rPr>
      <t xml:space="preserve"> in Section 6 of this application, cooling towers cannot be considered insignificant activities.  If you accept a PM or PM</t>
    </r>
    <r>
      <rPr>
        <b/>
        <vertAlign val="subscript"/>
        <sz val="11"/>
        <color theme="1"/>
        <rFont val="Calibri"/>
        <family val="2"/>
        <scheme val="minor"/>
      </rPr>
      <t>10</t>
    </r>
    <r>
      <rPr>
        <b/>
        <sz val="11"/>
        <color theme="1"/>
        <rFont val="Calibri"/>
        <family val="2"/>
        <scheme val="minor"/>
      </rPr>
      <t xml:space="preserve"> emission limit, or accept a throughput limit or control requirements to reduce PM or PM</t>
    </r>
    <r>
      <rPr>
        <b/>
        <vertAlign val="subscript"/>
        <sz val="11"/>
        <color theme="1"/>
        <rFont val="Calibri"/>
        <family val="2"/>
        <scheme val="minor"/>
      </rPr>
      <t>10</t>
    </r>
    <r>
      <rPr>
        <b/>
        <sz val="11"/>
        <color theme="1"/>
        <rFont val="Calibri"/>
        <family val="2"/>
        <scheme val="minor"/>
      </rPr>
      <t xml:space="preserve"> emissions below an applicable threshold, you will need to remove the cooling towers from this table and add them to Table 3-A of this application.</t>
    </r>
  </si>
  <si>
    <t>B.  Conditionally Insignificant Equipment/Activities</t>
  </si>
  <si>
    <t>Fire suppression systems, excluding Reciprocating Interal Combustion Engines (RICE) emergency pumps at a fixed site.</t>
  </si>
  <si>
    <t>C.  Insignificant Equipment/Activities</t>
  </si>
  <si>
    <t>The Department has determined that the following insignificant activities must be included in the Section 4 of this application.  The emissions associated with the following activities do not need to be included in Section 5 of this application, nor in the Annual Emissions Inventory reports unless the emissions data is requested by LLCHD.</t>
  </si>
  <si>
    <r>
      <t xml:space="preserve">Process cooling towers with a circulating water flow rate less than 2,000 gallons per minute.  In Table 4-C, include the circulating water flow rate, total dissolved solids concentration, estimated drift loss, and average annual days in service.  </t>
    </r>
    <r>
      <rPr>
        <b/>
        <u/>
        <sz val="11"/>
        <color theme="1"/>
        <rFont val="Calibri"/>
        <family val="2"/>
        <scheme val="minor"/>
      </rPr>
      <t/>
    </r>
  </si>
  <si>
    <t>Space heaters.  In the Description column of Table 4-A, include the heat input rating and fuel type.  If you have several space heaters with the same heat input rating &amp; fuel type, you may group them together and indicate the number of heaters with the same rating and fuel type.</t>
  </si>
  <si>
    <r>
      <t xml:space="preserve">Fuel storage and distribution equipment, including storage vessels (tanks) with aggregate annual throughput of less than 1 million gallons for the entire facility.  Records verifying aggregate annual fuel throughput must be maintained for 5 years and made available to LLCHD or U.S. EPA within 48 hours of a request for documentation of annual throughput.
</t>
    </r>
    <r>
      <rPr>
        <b/>
        <u/>
        <sz val="11"/>
        <color theme="1"/>
        <rFont val="Calibri"/>
        <family val="2"/>
        <scheme val="minor"/>
      </rPr>
      <t>Please note that gasoline storage tanks at area sources of HAPs cannot be considered insignificant activities, as these tanks are subject to NESHAP Subpart CCCCCC (§63.11111).  These tanks must be included as emission units in Section 3.</t>
    </r>
  </si>
  <si>
    <t>Comfort cooling towers.</t>
  </si>
  <si>
    <t xml:space="preserve">Storage and handling of lubricating and heavy oils with a vapor pressure less than 0.5 pounds per square inch (psi) under standard conditions, when held for source use only. </t>
  </si>
  <si>
    <r>
      <t xml:space="preserve">The following activities are considered insignificant for all Class I and Class II sources, and </t>
    </r>
    <r>
      <rPr>
        <b/>
        <u/>
        <sz val="11"/>
        <color theme="1"/>
        <rFont val="Calibri"/>
        <family val="2"/>
        <scheme val="minor"/>
      </rPr>
      <t>are exempt from inclusion</t>
    </r>
    <r>
      <rPr>
        <b/>
        <sz val="11"/>
        <color theme="1"/>
        <rFont val="Calibri"/>
        <family val="2"/>
        <scheme val="minor"/>
      </rPr>
      <t xml:space="preserve"> in Tables 4-A, 4-B, or 4-C.  Emissions from these activities are exempt from inclusion in the annual emission inventory report.</t>
    </r>
  </si>
  <si>
    <t>The Department has determined that the following activities are conditionally exempt from inclusion in the Construction Permit Application and Annual Emissions Inventory Reports. The following activities are exempt from inclusion in the Construction Permit Application and the Annual Emissions Inventory unless the activity emits a pollutant(s) subject to an emissions limitation elected herein. If the activity emits a pollutant subject to a emissions limitation agreed to in this application, the activity must be included in the Construction Permit Application on the appropriate emission unit form and in the Annual Emissions Inventory Report.</t>
  </si>
  <si>
    <t>Many boilers are now subject to requirements under the NESHAP MACT requirements set forth under 40 CFR Part 63 Subparts DDDDD and JJJJJJ.  All boilers and process heaters at 'major sources' of Hazardous Air Pollutants (HAPs) are subject to Subpart DDDDD, and must be included as an emission unit in Section 3.</t>
  </si>
  <si>
    <r>
      <t xml:space="preserve">Boilers at 'area sources' of HAPs that meet the definition of a "gas-fired boiler" set forth in Subpart JJJJJJ </t>
    </r>
    <r>
      <rPr>
        <b/>
        <u/>
        <sz val="11"/>
        <color theme="1"/>
        <rFont val="Calibri"/>
        <family val="2"/>
        <scheme val="minor"/>
      </rPr>
      <t>are not subject</t>
    </r>
    <r>
      <rPr>
        <b/>
        <sz val="11"/>
        <color theme="1"/>
        <rFont val="Calibri"/>
        <family val="2"/>
        <scheme val="minor"/>
      </rPr>
      <t xml:space="preserve"> to Subpart JJJJJJ.  In addition, process heaters at 'area sources' of HAPs </t>
    </r>
    <r>
      <rPr>
        <b/>
        <u/>
        <sz val="11"/>
        <color theme="1"/>
        <rFont val="Calibri"/>
        <family val="2"/>
        <scheme val="minor"/>
      </rPr>
      <t>are not subject</t>
    </r>
    <r>
      <rPr>
        <b/>
        <sz val="11"/>
        <color theme="1"/>
        <rFont val="Calibri"/>
        <family val="2"/>
        <scheme val="minor"/>
      </rPr>
      <t xml:space="preserve"> to Subpart JJJJJJ.  As such, any boilers meeting this definition that are lower than the applicable heat-input thresholds in Parts B, C, and D of these instructions may be considered insignificant activities. However, if you accept a NOx, SOx, or CO emission limit, or accept throughput limits or control requirements to reduce NOx/SOx/CO emissions below an applicable threshold, you will need to include new boilers as emission units in Table 3-A of this application.  Part B of these instructions provides additional detail about which boilers can be considered insignificant.   </t>
    </r>
    <r>
      <rPr>
        <b/>
        <u/>
        <sz val="11"/>
        <color theme="1"/>
        <rFont val="Calibri"/>
        <family val="2"/>
        <scheme val="minor"/>
      </rPr>
      <t>When listing boilers as insignificant activities on Table 4-A, the applicant must indicate whether the boiler has the ability to operate on a liquid or solid fuel as a back-up.</t>
    </r>
  </si>
  <si>
    <r>
      <t xml:space="preserve">Stationary internal combustion turbines at </t>
    </r>
    <r>
      <rPr>
        <b/>
        <u/>
        <sz val="11"/>
        <color theme="1"/>
        <rFont val="Calibri"/>
        <family val="2"/>
        <scheme val="minor"/>
      </rPr>
      <t>area sources of HAPs,</t>
    </r>
    <r>
      <rPr>
        <b/>
        <sz val="11"/>
        <color theme="1"/>
        <rFont val="Calibri"/>
        <family val="2"/>
        <scheme val="minor"/>
      </rPr>
      <t xml:space="preserve"> provided the following also apply:
  - Your source is not accepting any emission limits or fuel use limits to reduce emissions of NOx, SOx, or CO;
  - The turbine(s) </t>
    </r>
    <r>
      <rPr>
        <b/>
        <u/>
        <sz val="11"/>
        <color theme="1"/>
        <rFont val="Calibri"/>
        <family val="2"/>
        <scheme val="minor"/>
      </rPr>
      <t>is not</t>
    </r>
    <r>
      <rPr>
        <b/>
        <sz val="11"/>
        <color theme="1"/>
        <rFont val="Calibri"/>
        <family val="2"/>
        <scheme val="minor"/>
      </rPr>
      <t xml:space="preserve"> subject to a NSPS or NESHAP;
  - Only natural gas is used as a fuel source; and
  - Rating must be below 1,630 horsepower. 
In the Description column of Table 4-A, please include the size of the unit, the fuel used, and average hours or days of service.</t>
    </r>
  </si>
  <si>
    <r>
      <t xml:space="preserve">Stationary external combustion units using the listed fuel type and rated below the corresponding heat input rating are insignificant, unless one of the following statements applies to your facility:
  - Your source is accepting emission limits or fuel use limits to reduce emissions of NOx, SOx, or CO as a part of this application; or
  - Your source is currently a major source of HAPs.
</t>
    </r>
    <r>
      <rPr>
        <b/>
        <u/>
        <sz val="11"/>
        <color theme="1"/>
        <rFont val="Calibri"/>
        <family val="2"/>
        <scheme val="minor"/>
      </rPr>
      <t>Units producing heat (including steam heat) for processing are not considered insignificant activities.</t>
    </r>
    <r>
      <rPr>
        <b/>
        <sz val="11"/>
        <color theme="1"/>
        <rFont val="Calibri"/>
        <family val="2"/>
        <scheme val="minor"/>
      </rPr>
      <t xml:space="preserve">  In the Description column of Table 4-A, include heat input rating of the unit, fuel(s) fired, and average hours or days of service per year.  </t>
    </r>
    <r>
      <rPr>
        <b/>
        <u/>
        <sz val="11"/>
        <color theme="1"/>
        <rFont val="Calibri"/>
        <family val="2"/>
        <scheme val="minor"/>
      </rPr>
      <t>If you are accepting limits to reduce NOx, SOx, or CO, you must include all stationary external combustion units in the emission unit list in Table 3-A, and must also report emissions with the annual emission inventory report.</t>
    </r>
  </si>
  <si>
    <t>Insignificant activities are those activities and/or emission units that may be excluded from a construction permit application or, if included, listed in the application with a limited amount of support information.</t>
  </si>
  <si>
    <t>Emission Unit #(s)</t>
  </si>
  <si>
    <t>For 'Emission Unit #(s) (Column C), enter the number of the emission unit (or units) with which the material used is associated.  For example, if you utilize the same adhesive in emission units 3-2, and 5-1, then simply enter, "3-2, 5-1" as shown below.</t>
  </si>
  <si>
    <t>For 'Material Purpose' (Column D), provide a 1-word description of what the material used for, (e.g. adhesive, cleaner, stripper, lubricant, etc.)</t>
  </si>
  <si>
    <t>For 'Material Throughput' (Column E), enter the maximum annual throughput (in gallons) of the material at your source.  If you keep records of material use for certain materials in units other than gallons, use the appropriate Conversion Tool below to convert throughput to gallons.</t>
  </si>
  <si>
    <t>AP-42</t>
  </si>
  <si>
    <t>WebFire</t>
  </si>
  <si>
    <t>Stack Test</t>
  </si>
  <si>
    <t>Mass Balance</t>
  </si>
  <si>
    <t>Emission Factor Source</t>
  </si>
  <si>
    <t>WebFIRE</t>
  </si>
  <si>
    <r>
      <t xml:space="preserve">For 'Material Throughput' (Column E), enter the maximum annual throughput either in gallons, or in pounds.  </t>
    </r>
    <r>
      <rPr>
        <b/>
        <u/>
        <sz val="11"/>
        <rFont val="Calibri"/>
        <family val="2"/>
        <scheme val="minor"/>
      </rPr>
      <t>Only enter material throughput ONCE for each material.</t>
    </r>
    <r>
      <rPr>
        <b/>
        <sz val="11"/>
        <rFont val="Calibri"/>
        <family val="2"/>
        <scheme val="minor"/>
      </rPr>
      <t xml:space="preserve">  If you keep records of material use for certain materials in units other than gallons or pounds, use the appropriate Conversion Tool below to convert throughput to the appropriate unit.</t>
    </r>
  </si>
  <si>
    <t>For 'Throughput Units' (Column F), specify which units you have supplied material throughput data in.  Your only options are 'pounds' or 'gallons'.</t>
  </si>
  <si>
    <t>For 'HAP Content' (Column G), enter either the amount of each HAP by weight percent (weight %), or in pounds of HAP per gallon of material.  If you enter the weight percent, do not add the '%' sign…simply enter the number.  E.g.  If the HAP is 15% by weight, simply enter '15'.</t>
  </si>
  <si>
    <t>For 'HAP Content Units' (Column H), specify which units you have supplied the individual HAP content in.  Your only options are weight percent (weight %), or in pounds of HAP per gallon of material (lbs/gallon).</t>
  </si>
  <si>
    <r>
      <t xml:space="preserve">For 'Product Density' (Column I), </t>
    </r>
    <r>
      <rPr>
        <b/>
        <u/>
        <sz val="11"/>
        <rFont val="Calibri"/>
        <family val="2"/>
        <scheme val="minor"/>
      </rPr>
      <t>you are only required to enter density if the cell is highlighted in yellow.</t>
    </r>
    <r>
      <rPr>
        <b/>
        <sz val="11"/>
        <rFont val="Calibri"/>
        <family val="2"/>
        <scheme val="minor"/>
      </rPr>
      <t xml:space="preserve">  If prompted, provide the density of the material in units of 'pounds per gallon'.  If your MSDS provides density in the form of 'Specific Gravity', use the appropriate conversion tool below to convert specific gravity into pounds/gallon.  </t>
    </r>
    <r>
      <rPr>
        <b/>
        <u/>
        <sz val="11"/>
        <rFont val="Calibri"/>
        <family val="2"/>
        <scheme val="minor"/>
      </rPr>
      <t>Only enter product density ONCE for each material.</t>
    </r>
  </si>
  <si>
    <r>
      <t xml:space="preserve">For 'Release Factor' (Column K), enter the amount of HAP that is actually emitted into the atmosphere as a result of material use.  For most materials, this will be 100% unless you have supporting data that shows a lower release factor.  </t>
    </r>
    <r>
      <rPr>
        <b/>
        <u/>
        <sz val="11"/>
        <rFont val="Calibri"/>
        <family val="2"/>
        <scheme val="minor"/>
      </rPr>
      <t>Only enter the release factor ONCE for each material.</t>
    </r>
  </si>
  <si>
    <t>For 'Emission Unit #(s) (Column D), enter the number of the emission unit (or units) with which the material used is associated.  For example, if you utilize the same adhesive in emission units 3-2, and 5-1, then simply enter, "3-2, 5-1" as shown below.</t>
  </si>
  <si>
    <t>HAP Throughput</t>
  </si>
  <si>
    <t>In Column F, indicate whether you will agree to control emissions from the material listed in that row.  When you click on the cells under Column F, a drop-down box will give you two options, "Yes" or "No".   Choose the appropriate answer.</t>
  </si>
  <si>
    <t xml:space="preserve">If you select "No" in Column E, the associated cell in Column I will fill in dark gray, and the cell should be left blank.  If you select "Yes" in Column E, then you will be prompted to enter a throughput limit in Column I.  Be sure to use the same throughput limit as you used in Table 6-A. </t>
  </si>
  <si>
    <r>
      <t xml:space="preserve">If you select "No" in Column F, the associated cell in Column J will fill in dark gray and the cell should be left blank.  If you select "Yes" in Column F, then you will be prompted to enter a control device in Column J.  When you click on the cells under Column J, a drop-down box will give you three control options.   Choose the appropriate option.  </t>
    </r>
    <r>
      <rPr>
        <b/>
        <u/>
        <sz val="11"/>
        <rFont val="Calibri"/>
        <family val="2"/>
        <scheme val="minor"/>
      </rPr>
      <t>If you choose 'Other' as your control device, contact the Department.</t>
    </r>
    <r>
      <rPr>
        <b/>
        <sz val="11"/>
        <rFont val="Calibri"/>
        <family val="2"/>
        <scheme val="minor"/>
      </rPr>
      <t xml:space="preserve">  Staff will assist you with incorporating the proper control efficiency.</t>
    </r>
  </si>
  <si>
    <t>Once all required entries in each row are completed, an emission figure for each HAP will appear in Column L.  These figures incorporate any throughput limits or control devices you elected to use.</t>
  </si>
  <si>
    <t>If using emission factors or calculation methods other than those provided in AP-42 or WebFIRE, attach a copy of any alternate emission factors (including stack test results) and/or emission calculations as an attachment to this application.</t>
  </si>
  <si>
    <t xml:space="preserve">        Emission Factors from Stack Testing *</t>
  </si>
  <si>
    <t xml:space="preserve">        Material Mass-Balance Calculations *</t>
  </si>
  <si>
    <r>
      <t xml:space="preserve">        Other </t>
    </r>
    <r>
      <rPr>
        <sz val="11"/>
        <color theme="1"/>
        <rFont val="Calibri"/>
        <family val="2"/>
        <scheme val="minor"/>
      </rPr>
      <t>(specify &gt;&gt;&gt;&gt;) *</t>
    </r>
  </si>
  <si>
    <t xml:space="preserve">       Initial Operating Permit</t>
  </si>
  <si>
    <t xml:space="preserve">       Operating Permit Renewal</t>
  </si>
  <si>
    <t xml:space="preserve">       Modify Existing Operating or Construction Permit</t>
  </si>
  <si>
    <t>For reference, please note the following:
 - Facilities east of NW/SW 48th St. are likely within 50 miles of Iowa.
 - Facilities south of Rokeby Rd. / Hwy 2 are within 50 miles of Kansas.
 - Facilities within the following are likely within 50 miles of Missouri:
    - south and east of SW 2nd St. &amp; Saltillo Rd.
    - south and east of S 14th St. &amp; Pioneers Blvd.
    - south and east of N 33rd St. &amp; Holdrege St.
    - south and east of N 48th St. &amp; Fletcher Ave.
    - south and east of N 70th St. &amp; Bluff Rd.
    - south and east of N 98th St. &amp; Raymond Rd.
    - south and east of N 134th St. &amp; Rock Creek Rd.
    - south and east of N 162nd St. &amp; Ashland Rd.</t>
  </si>
  <si>
    <t xml:space="preserve">       I do not know the permit type.</t>
  </si>
  <si>
    <t xml:space="preserve">       Class II Operating Permit</t>
  </si>
  <si>
    <t xml:space="preserve">       Class I Operating Permit</t>
  </si>
  <si>
    <t xml:space="preserve">       Minor Source Construction Permit (most common const. permit)</t>
  </si>
  <si>
    <r>
      <t xml:space="preserve">Sources required to obtain a construction permit under Article 2, Sections 17 and/or 19 of the Lincoln-Lancaster County Air Pollution Control Program Regulations and Standards (LLCAPCPRS), </t>
    </r>
    <r>
      <rPr>
        <b/>
        <u/>
        <sz val="11"/>
        <color theme="1"/>
        <rFont val="Calibri"/>
        <family val="2"/>
        <scheme val="minor"/>
      </rPr>
      <t>or</t>
    </r>
    <r>
      <rPr>
        <b/>
        <sz val="11"/>
        <color theme="1"/>
        <rFont val="Calibri"/>
        <family val="2"/>
        <scheme val="minor"/>
      </rPr>
      <t xml:space="preserve"> required to obtain an operating permit under Article 2, Section 8 of the LLCAPCPRS must complete and return a permit application.  This application will determine whether or not your source requires a construction permit and/or operating permit, as well as what type of permit is appropriate for your source.</t>
    </r>
  </si>
  <si>
    <t>This sheet is designed to automatically populate emission unit numbers and Source Classification Code (SCC) information based on entries you provide.  Please answer the following questions:</t>
  </si>
  <si>
    <t>Does your facility have paved haul roads, unpaved haul roads, or both?</t>
  </si>
  <si>
    <t>Paved Roads</t>
  </si>
  <si>
    <t>Unpaved Roads</t>
  </si>
  <si>
    <t>Both Paved &amp; Unpaved Roads</t>
  </si>
  <si>
    <t>Haul Road Emission Units</t>
  </si>
  <si>
    <t>Miscellaneous Emission Units</t>
  </si>
  <si>
    <r>
      <t>In Table 3-B below,  emission unit numbers  and descriptions for any "</t>
    </r>
    <r>
      <rPr>
        <b/>
        <u/>
        <sz val="11"/>
        <color theme="1"/>
        <rFont val="Calibri"/>
        <family val="2"/>
        <scheme val="minor"/>
      </rPr>
      <t>Miscellaneous Emission Units</t>
    </r>
    <r>
      <rPr>
        <b/>
        <sz val="11"/>
        <color theme="1"/>
        <rFont val="Calibri"/>
        <family val="2"/>
        <scheme val="minor"/>
      </rPr>
      <t xml:space="preserve">" that you entered in Table 3-A have been automatically imported into Table 3-B.  If the emission unit description is too long to display in the box, you do not need to change the emission unit description.  </t>
    </r>
    <r>
      <rPr>
        <b/>
        <u/>
        <sz val="11"/>
        <color theme="1"/>
        <rFont val="Calibri"/>
        <family val="2"/>
        <scheme val="minor"/>
      </rPr>
      <t>You need not enter any stack/release point information for any grain receiving, handling, shipping, feed milling, and truck traffic emissions, as these are considered "fugitive" sources for which stack information is not required.</t>
    </r>
  </si>
  <si>
    <t>As shown in the example table below, you are required to enter several different stack parameters for each miscellaneous emission unit.   Please be sure to provide information in the specified units of measurement.  If you have information in units that are different than those required here, conversion tools have been provided to convert your data to the required units.  For emission units that release 'Fugitive' emissions, skip to item #6.</t>
  </si>
  <si>
    <t xml:space="preserve">After completing all of the questions above for your facility, you will find in Table 3-A below that some emission unit numbers, SCC codes, and emission unit descriptions have already been populated, and that some remain blank and highlighted in yellow.  The yellow highlighting indicates that additional information is needed.  If any cell in a row is highlighted yellow, specific instructions will appear in the cell to the right of the 'Emission Segment Description'.  Once the required entries have been made, the cell will fill in white, and the instructions will disappear.  For some cells, additional instructions are provided in 'drop-down' cells in which you must select from a provided list of entries. </t>
  </si>
  <si>
    <t>CAS No.</t>
  </si>
  <si>
    <t>100-yr GWP</t>
  </si>
  <si>
    <t>HFC-152</t>
  </si>
  <si>
    <t>HFC-161</t>
  </si>
  <si>
    <t>HFC-236cb</t>
  </si>
  <si>
    <t>HFC-236ea</t>
  </si>
  <si>
    <r>
      <t>CHF</t>
    </r>
    <r>
      <rPr>
        <vertAlign val="subscript"/>
        <sz val="11"/>
        <color theme="1"/>
        <rFont val="Calibri"/>
        <family val="2"/>
        <scheme val="minor"/>
      </rPr>
      <t>2</t>
    </r>
    <r>
      <rPr>
        <sz val="11"/>
        <color theme="1"/>
        <rFont val="Calibri"/>
        <family val="2"/>
        <scheme val="minor"/>
      </rPr>
      <t>CHFCF</t>
    </r>
    <r>
      <rPr>
        <vertAlign val="subscript"/>
        <sz val="11"/>
        <color theme="1"/>
        <rFont val="Calibri"/>
        <family val="2"/>
        <scheme val="minor"/>
      </rPr>
      <t>3</t>
    </r>
  </si>
  <si>
    <r>
      <t>CHF</t>
    </r>
    <r>
      <rPr>
        <vertAlign val="subscript"/>
        <sz val="11"/>
        <rFont val="Calibri"/>
        <family val="2"/>
        <scheme val="minor"/>
      </rPr>
      <t>3</t>
    </r>
  </si>
  <si>
    <r>
      <t>CH</t>
    </r>
    <r>
      <rPr>
        <vertAlign val="subscript"/>
        <sz val="11"/>
        <rFont val="Calibri"/>
        <family val="2"/>
        <scheme val="minor"/>
      </rPr>
      <t>2</t>
    </r>
    <r>
      <rPr>
        <sz val="11"/>
        <rFont val="Calibri"/>
        <family val="2"/>
        <scheme val="minor"/>
      </rPr>
      <t>F</t>
    </r>
    <r>
      <rPr>
        <vertAlign val="subscript"/>
        <sz val="11"/>
        <rFont val="Calibri"/>
        <family val="2"/>
        <scheme val="minor"/>
      </rPr>
      <t>2</t>
    </r>
  </si>
  <si>
    <r>
      <t>CH</t>
    </r>
    <r>
      <rPr>
        <vertAlign val="subscript"/>
        <sz val="11"/>
        <rFont val="Calibri"/>
        <family val="2"/>
        <scheme val="minor"/>
      </rPr>
      <t>3</t>
    </r>
    <r>
      <rPr>
        <sz val="11"/>
        <rFont val="Calibri"/>
        <family val="2"/>
        <scheme val="minor"/>
      </rPr>
      <t>F</t>
    </r>
  </si>
  <si>
    <r>
      <t>C</t>
    </r>
    <r>
      <rPr>
        <vertAlign val="subscript"/>
        <sz val="11"/>
        <rFont val="Calibri"/>
        <family val="2"/>
        <scheme val="minor"/>
      </rPr>
      <t>2</t>
    </r>
    <r>
      <rPr>
        <sz val="11"/>
        <rFont val="Calibri"/>
        <family val="2"/>
        <scheme val="minor"/>
      </rPr>
      <t>HF</t>
    </r>
    <r>
      <rPr>
        <vertAlign val="subscript"/>
        <sz val="11"/>
        <rFont val="Calibri"/>
        <family val="2"/>
        <scheme val="minor"/>
      </rPr>
      <t>5</t>
    </r>
  </si>
  <si>
    <r>
      <t>C</t>
    </r>
    <r>
      <rPr>
        <vertAlign val="subscript"/>
        <sz val="11"/>
        <rFont val="Calibri"/>
        <family val="2"/>
        <scheme val="minor"/>
      </rPr>
      <t>2</t>
    </r>
    <r>
      <rPr>
        <sz val="11"/>
        <rFont val="Calibri"/>
        <family val="2"/>
        <scheme val="minor"/>
      </rPr>
      <t>H</t>
    </r>
    <r>
      <rPr>
        <vertAlign val="subscript"/>
        <sz val="11"/>
        <rFont val="Calibri"/>
        <family val="2"/>
        <scheme val="minor"/>
      </rPr>
      <t>2</t>
    </r>
    <r>
      <rPr>
        <sz val="11"/>
        <rFont val="Calibri"/>
        <family val="2"/>
        <scheme val="minor"/>
      </rPr>
      <t>F</t>
    </r>
    <r>
      <rPr>
        <vertAlign val="subscript"/>
        <sz val="11"/>
        <rFont val="Calibri"/>
        <family val="2"/>
        <scheme val="minor"/>
      </rPr>
      <t>4</t>
    </r>
  </si>
  <si>
    <r>
      <t>CH</t>
    </r>
    <r>
      <rPr>
        <vertAlign val="subscript"/>
        <sz val="11"/>
        <rFont val="Calibri"/>
        <family val="2"/>
        <scheme val="minor"/>
      </rPr>
      <t>2</t>
    </r>
    <r>
      <rPr>
        <sz val="11"/>
        <rFont val="Calibri"/>
        <family val="2"/>
        <scheme val="minor"/>
      </rPr>
      <t>FCF</t>
    </r>
    <r>
      <rPr>
        <vertAlign val="subscript"/>
        <sz val="11"/>
        <rFont val="Calibri"/>
        <family val="2"/>
        <scheme val="minor"/>
      </rPr>
      <t>3</t>
    </r>
  </si>
  <si>
    <r>
      <t>C</t>
    </r>
    <r>
      <rPr>
        <vertAlign val="subscript"/>
        <sz val="11"/>
        <rFont val="Calibri"/>
        <family val="2"/>
        <scheme val="minor"/>
      </rPr>
      <t>2</t>
    </r>
    <r>
      <rPr>
        <sz val="11"/>
        <rFont val="Calibri"/>
        <family val="2"/>
        <scheme val="minor"/>
      </rPr>
      <t>H</t>
    </r>
    <r>
      <rPr>
        <vertAlign val="subscript"/>
        <sz val="11"/>
        <rFont val="Calibri"/>
        <family val="2"/>
        <scheme val="minor"/>
      </rPr>
      <t>3</t>
    </r>
    <r>
      <rPr>
        <sz val="11"/>
        <rFont val="Calibri"/>
        <family val="2"/>
        <scheme val="minor"/>
      </rPr>
      <t>F</t>
    </r>
    <r>
      <rPr>
        <vertAlign val="subscript"/>
        <sz val="11"/>
        <rFont val="Calibri"/>
        <family val="2"/>
        <scheme val="minor"/>
      </rPr>
      <t>3</t>
    </r>
  </si>
  <si>
    <r>
      <t>CH</t>
    </r>
    <r>
      <rPr>
        <vertAlign val="subscript"/>
        <sz val="11"/>
        <rFont val="Calibri"/>
        <family val="2"/>
        <scheme val="minor"/>
      </rPr>
      <t>2</t>
    </r>
    <r>
      <rPr>
        <sz val="11"/>
        <rFont val="Calibri"/>
        <family val="2"/>
        <scheme val="minor"/>
      </rPr>
      <t>FCH</t>
    </r>
    <r>
      <rPr>
        <vertAlign val="subscript"/>
        <sz val="11"/>
        <rFont val="Calibri"/>
        <family val="2"/>
        <scheme val="minor"/>
      </rPr>
      <t>2</t>
    </r>
    <r>
      <rPr>
        <sz val="11"/>
        <rFont val="Calibri"/>
        <family val="2"/>
        <scheme val="minor"/>
      </rPr>
      <t>F</t>
    </r>
  </si>
  <si>
    <r>
      <t>CH</t>
    </r>
    <r>
      <rPr>
        <vertAlign val="subscript"/>
        <sz val="11"/>
        <rFont val="Calibri"/>
        <family val="2"/>
        <scheme val="minor"/>
      </rPr>
      <t>3</t>
    </r>
    <r>
      <rPr>
        <sz val="11"/>
        <rFont val="Calibri"/>
        <family val="2"/>
        <scheme val="minor"/>
      </rPr>
      <t>CHF</t>
    </r>
    <r>
      <rPr>
        <vertAlign val="subscript"/>
        <sz val="11"/>
        <rFont val="Calibri"/>
        <family val="2"/>
        <scheme val="minor"/>
      </rPr>
      <t>2</t>
    </r>
  </si>
  <si>
    <r>
      <t>CH</t>
    </r>
    <r>
      <rPr>
        <vertAlign val="subscript"/>
        <sz val="11"/>
        <rFont val="Calibri"/>
        <family val="2"/>
        <scheme val="minor"/>
      </rPr>
      <t>3</t>
    </r>
    <r>
      <rPr>
        <sz val="11"/>
        <rFont val="Calibri"/>
        <family val="2"/>
        <scheme val="minor"/>
      </rPr>
      <t>CH</t>
    </r>
    <r>
      <rPr>
        <vertAlign val="subscript"/>
        <sz val="11"/>
        <rFont val="Calibri"/>
        <family val="2"/>
        <scheme val="minor"/>
      </rPr>
      <t>2</t>
    </r>
    <r>
      <rPr>
        <sz val="11"/>
        <rFont val="Calibri"/>
        <family val="2"/>
        <scheme val="minor"/>
      </rPr>
      <t>F</t>
    </r>
  </si>
  <si>
    <r>
      <t>C</t>
    </r>
    <r>
      <rPr>
        <vertAlign val="subscript"/>
        <sz val="11"/>
        <rFont val="Calibri"/>
        <family val="2"/>
        <scheme val="minor"/>
      </rPr>
      <t>3</t>
    </r>
    <r>
      <rPr>
        <sz val="11"/>
        <rFont val="Calibri"/>
        <family val="2"/>
        <scheme val="minor"/>
      </rPr>
      <t>HF</t>
    </r>
    <r>
      <rPr>
        <vertAlign val="subscript"/>
        <sz val="11"/>
        <rFont val="Calibri"/>
        <family val="2"/>
        <scheme val="minor"/>
      </rPr>
      <t>7</t>
    </r>
  </si>
  <si>
    <r>
      <t>CH</t>
    </r>
    <r>
      <rPr>
        <vertAlign val="subscript"/>
        <sz val="11"/>
        <color theme="1"/>
        <rFont val="Calibri"/>
        <family val="2"/>
        <scheme val="minor"/>
      </rPr>
      <t>2</t>
    </r>
    <r>
      <rPr>
        <sz val="11"/>
        <color theme="1"/>
        <rFont val="Calibri"/>
        <family val="2"/>
        <scheme val="minor"/>
      </rPr>
      <t>FCF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</si>
  <si>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t>
    </r>
    <r>
      <rPr>
        <vertAlign val="subscript"/>
        <sz val="11"/>
        <rFont val="Calibri"/>
        <family val="2"/>
        <scheme val="minor"/>
      </rPr>
      <t>3</t>
    </r>
    <r>
      <rPr>
        <sz val="11"/>
        <rFont val="Calibri"/>
        <family val="2"/>
        <scheme val="minor"/>
      </rPr>
      <t>H</t>
    </r>
    <r>
      <rPr>
        <vertAlign val="subscript"/>
        <sz val="11"/>
        <rFont val="Calibri"/>
        <family val="2"/>
        <scheme val="minor"/>
      </rPr>
      <t>2</t>
    </r>
    <r>
      <rPr>
        <sz val="11"/>
        <rFont val="Calibri"/>
        <family val="2"/>
        <scheme val="minor"/>
      </rPr>
      <t>F</t>
    </r>
    <r>
      <rPr>
        <vertAlign val="subscript"/>
        <sz val="11"/>
        <rFont val="Calibri"/>
        <family val="2"/>
        <scheme val="minor"/>
      </rPr>
      <t>6</t>
    </r>
  </si>
  <si>
    <r>
      <t>C</t>
    </r>
    <r>
      <rPr>
        <vertAlign val="subscript"/>
        <sz val="11"/>
        <rFont val="Calibri"/>
        <family val="2"/>
        <scheme val="minor"/>
      </rPr>
      <t>3</t>
    </r>
    <r>
      <rPr>
        <sz val="11"/>
        <rFont val="Calibri"/>
        <family val="2"/>
        <scheme val="minor"/>
      </rPr>
      <t>H</t>
    </r>
    <r>
      <rPr>
        <vertAlign val="subscript"/>
        <sz val="11"/>
        <rFont val="Calibri"/>
        <family val="2"/>
        <scheme val="minor"/>
      </rPr>
      <t>3</t>
    </r>
    <r>
      <rPr>
        <sz val="11"/>
        <rFont val="Calibri"/>
        <family val="2"/>
        <scheme val="minor"/>
      </rPr>
      <t>F</t>
    </r>
    <r>
      <rPr>
        <vertAlign val="subscript"/>
        <sz val="11"/>
        <rFont val="Calibri"/>
        <family val="2"/>
        <scheme val="minor"/>
      </rPr>
      <t>5</t>
    </r>
  </si>
  <si>
    <r>
      <t>CF</t>
    </r>
    <r>
      <rPr>
        <vertAlign val="subscript"/>
        <sz val="11"/>
        <rFont val="Calibri"/>
        <family val="2"/>
        <scheme val="minor"/>
      </rPr>
      <t>4</t>
    </r>
  </si>
  <si>
    <r>
      <t>C</t>
    </r>
    <r>
      <rPr>
        <vertAlign val="subscript"/>
        <sz val="11"/>
        <rFont val="Calibri"/>
        <family val="2"/>
        <scheme val="minor"/>
      </rPr>
      <t>2</t>
    </r>
    <r>
      <rPr>
        <sz val="11"/>
        <rFont val="Calibri"/>
        <family val="2"/>
        <scheme val="minor"/>
      </rPr>
      <t>F</t>
    </r>
    <r>
      <rPr>
        <vertAlign val="subscript"/>
        <sz val="11"/>
        <rFont val="Calibri"/>
        <family val="2"/>
        <scheme val="minor"/>
      </rPr>
      <t>6</t>
    </r>
  </si>
  <si>
    <r>
      <t>C</t>
    </r>
    <r>
      <rPr>
        <vertAlign val="subscript"/>
        <sz val="11"/>
        <rFont val="Calibri"/>
        <family val="2"/>
        <scheme val="minor"/>
      </rPr>
      <t>3</t>
    </r>
    <r>
      <rPr>
        <sz val="11"/>
        <rFont val="Calibri"/>
        <family val="2"/>
        <scheme val="minor"/>
      </rPr>
      <t>F</t>
    </r>
    <r>
      <rPr>
        <vertAlign val="subscript"/>
        <sz val="11"/>
        <rFont val="Calibri"/>
        <family val="2"/>
        <scheme val="minor"/>
      </rPr>
      <t>8</t>
    </r>
  </si>
  <si>
    <r>
      <t>C</t>
    </r>
    <r>
      <rPr>
        <vertAlign val="subscript"/>
        <sz val="11"/>
        <rFont val="Calibri"/>
        <family val="2"/>
        <scheme val="minor"/>
      </rPr>
      <t>4</t>
    </r>
    <r>
      <rPr>
        <sz val="11"/>
        <rFont val="Calibri"/>
        <family val="2"/>
        <scheme val="minor"/>
      </rPr>
      <t>F</t>
    </r>
    <r>
      <rPr>
        <vertAlign val="subscript"/>
        <sz val="11"/>
        <rFont val="Calibri"/>
        <family val="2"/>
        <scheme val="minor"/>
      </rPr>
      <t>10</t>
    </r>
  </si>
  <si>
    <r>
      <t>C</t>
    </r>
    <r>
      <rPr>
        <vertAlign val="subscript"/>
        <sz val="11"/>
        <rFont val="Calibri"/>
        <family val="2"/>
        <scheme val="minor"/>
      </rPr>
      <t>5</t>
    </r>
    <r>
      <rPr>
        <sz val="11"/>
        <rFont val="Calibri"/>
        <family val="2"/>
        <scheme val="minor"/>
      </rPr>
      <t>F</t>
    </r>
    <r>
      <rPr>
        <vertAlign val="subscript"/>
        <sz val="11"/>
        <rFont val="Calibri"/>
        <family val="2"/>
        <scheme val="minor"/>
      </rPr>
      <t>12</t>
    </r>
  </si>
  <si>
    <r>
      <t>C</t>
    </r>
    <r>
      <rPr>
        <vertAlign val="subscript"/>
        <sz val="11"/>
        <rFont val="Calibri"/>
        <family val="2"/>
        <scheme val="minor"/>
      </rPr>
      <t>6</t>
    </r>
    <r>
      <rPr>
        <sz val="11"/>
        <rFont val="Calibri"/>
        <family val="2"/>
        <scheme val="minor"/>
      </rPr>
      <t>F</t>
    </r>
    <r>
      <rPr>
        <vertAlign val="subscript"/>
        <sz val="11"/>
        <rFont val="Calibri"/>
        <family val="2"/>
        <scheme val="minor"/>
      </rPr>
      <t>14</t>
    </r>
  </si>
  <si>
    <r>
      <t>CO</t>
    </r>
    <r>
      <rPr>
        <vertAlign val="subscript"/>
        <sz val="11"/>
        <rFont val="Calibri"/>
        <family val="2"/>
        <scheme val="minor"/>
      </rPr>
      <t>2</t>
    </r>
  </si>
  <si>
    <r>
      <t>CH</t>
    </r>
    <r>
      <rPr>
        <vertAlign val="subscript"/>
        <sz val="11"/>
        <rFont val="Calibri"/>
        <family val="2"/>
        <scheme val="minor"/>
      </rPr>
      <t>4</t>
    </r>
  </si>
  <si>
    <r>
      <t>N</t>
    </r>
    <r>
      <rPr>
        <vertAlign val="subscript"/>
        <sz val="11"/>
        <rFont val="Calibri"/>
        <family val="2"/>
        <scheme val="minor"/>
      </rPr>
      <t>2</t>
    </r>
    <r>
      <rPr>
        <sz val="11"/>
        <rFont val="Calibri"/>
        <family val="2"/>
        <scheme val="minor"/>
      </rPr>
      <t>O</t>
    </r>
  </si>
  <si>
    <r>
      <t>SF</t>
    </r>
    <r>
      <rPr>
        <vertAlign val="subscript"/>
        <sz val="11"/>
        <rFont val="Calibri"/>
        <family val="2"/>
        <scheme val="minor"/>
      </rPr>
      <t>6</t>
    </r>
  </si>
  <si>
    <t>HFC-245fa</t>
  </si>
  <si>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</si>
  <si>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t>HFC-365mfc</t>
  </si>
  <si>
    <r>
      <t>CH</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</si>
  <si>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CFHCFHCF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</si>
  <si>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SF</t>
    </r>
    <r>
      <rPr>
        <vertAlign val="subscript"/>
        <sz val="11"/>
        <color theme="1"/>
        <rFont val="Calibri"/>
        <family val="2"/>
        <scheme val="minor"/>
      </rPr>
      <t>5</t>
    </r>
    <r>
      <rPr>
        <sz val="11"/>
        <color theme="1"/>
        <rFont val="Calibri"/>
        <family val="2"/>
        <scheme val="minor"/>
      </rPr>
      <t>CF</t>
    </r>
    <r>
      <rPr>
        <vertAlign val="subscript"/>
        <sz val="11"/>
        <color theme="1"/>
        <rFont val="Calibri"/>
        <family val="2"/>
        <scheme val="minor"/>
      </rPr>
      <t>3</t>
    </r>
  </si>
  <si>
    <r>
      <t>NF</t>
    </r>
    <r>
      <rPr>
        <vertAlign val="subscript"/>
        <sz val="11"/>
        <rFont val="Calibri"/>
        <family val="2"/>
        <scheme val="minor"/>
      </rPr>
      <t>3</t>
    </r>
  </si>
  <si>
    <t>The pollutants and GWP values presented herein are derived from 40 CFR Part 98 Table A-1, as revised on November 29, 2013.</t>
  </si>
  <si>
    <t>Perfluoromethane, CFC-14, Freon 14, Halon 14, R-14, and Tetrafluoromethane</t>
  </si>
  <si>
    <t>PFC-14</t>
  </si>
  <si>
    <t>PFC-116</t>
  </si>
  <si>
    <t>Perfluoroethane, CFC-116, R-116, Ethfluorane, Halocarbon, and Hexafluoroethane</t>
  </si>
  <si>
    <t>PFC-218</t>
  </si>
  <si>
    <t>Perfluoropropane, Freon 218, RC-218, R-218, and Octafluoropropane</t>
  </si>
  <si>
    <t>Perfluorocyclopropane</t>
  </si>
  <si>
    <r>
      <t>C-C</t>
    </r>
    <r>
      <rPr>
        <vertAlign val="subscript"/>
        <sz val="11"/>
        <color theme="1"/>
        <rFont val="Calibri"/>
        <family val="2"/>
        <scheme val="minor"/>
      </rPr>
      <t>3</t>
    </r>
    <r>
      <rPr>
        <sz val="11"/>
        <color theme="1"/>
        <rFont val="Calibri"/>
        <family val="2"/>
        <scheme val="minor"/>
      </rPr>
      <t>F</t>
    </r>
    <r>
      <rPr>
        <vertAlign val="subscript"/>
        <sz val="11"/>
        <color theme="1"/>
        <rFont val="Calibri"/>
        <family val="2"/>
        <scheme val="minor"/>
      </rPr>
      <t>6</t>
    </r>
  </si>
  <si>
    <t>PFC-3-1-10</t>
  </si>
  <si>
    <t>Perfluorobutane, R-610, Halocarbon 610, and Decafluorobutane</t>
  </si>
  <si>
    <t>PFC-318</t>
  </si>
  <si>
    <r>
      <t>C-C</t>
    </r>
    <r>
      <rPr>
        <vertAlign val="subscript"/>
        <sz val="11"/>
        <rFont val="Calibri"/>
        <family val="2"/>
        <scheme val="minor"/>
      </rPr>
      <t>4</t>
    </r>
    <r>
      <rPr>
        <sz val="11"/>
        <rFont val="Calibri"/>
        <family val="2"/>
        <scheme val="minor"/>
      </rPr>
      <t>F</t>
    </r>
    <r>
      <rPr>
        <vertAlign val="subscript"/>
        <sz val="11"/>
        <rFont val="Calibri"/>
        <family val="2"/>
        <scheme val="minor"/>
      </rPr>
      <t>8</t>
    </r>
  </si>
  <si>
    <t>Perfluorocyclobutane, Freon-C-31,8 and Octafluorocyclobutane</t>
  </si>
  <si>
    <t>Perfluoropentane, R-41(12), Perflenapent, and Dodecafluoropentane</t>
  </si>
  <si>
    <t>Perfluorohexane, FC-72, Perfluoro-compound FC-72, and Tetradecafluorohexane</t>
  </si>
  <si>
    <t>PFC-4-1-12</t>
  </si>
  <si>
    <t>PFC-5-1-14</t>
  </si>
  <si>
    <t>PFC-9-1-18</t>
  </si>
  <si>
    <r>
      <t>C</t>
    </r>
    <r>
      <rPr>
        <vertAlign val="subscript"/>
        <sz val="11"/>
        <rFont val="Calibri"/>
        <family val="2"/>
        <scheme val="minor"/>
      </rPr>
      <t>10</t>
    </r>
    <r>
      <rPr>
        <sz val="11"/>
        <rFont val="Calibri"/>
        <family val="2"/>
        <scheme val="minor"/>
      </rPr>
      <t>F</t>
    </r>
    <r>
      <rPr>
        <vertAlign val="subscript"/>
        <sz val="11"/>
        <rFont val="Calibri"/>
        <family val="2"/>
        <scheme val="minor"/>
      </rPr>
      <t>18</t>
    </r>
  </si>
  <si>
    <r>
      <t>CHF</t>
    </r>
    <r>
      <rPr>
        <vertAlign val="subscript"/>
        <sz val="11"/>
        <color theme="1"/>
        <rFont val="Calibri"/>
        <family val="2"/>
        <scheme val="minor"/>
      </rPr>
      <t>2</t>
    </r>
    <r>
      <rPr>
        <sz val="11"/>
        <color theme="1"/>
        <rFont val="Calibri"/>
        <family val="2"/>
        <scheme val="minor"/>
      </rPr>
      <t>OCHCICF</t>
    </r>
    <r>
      <rPr>
        <vertAlign val="subscript"/>
        <sz val="11"/>
        <color theme="1"/>
        <rFont val="Calibri"/>
        <family val="2"/>
        <scheme val="minor"/>
      </rPr>
      <t>3</t>
    </r>
  </si>
  <si>
    <t>Isoflurane</t>
  </si>
  <si>
    <t>Hydrofluoroethers (HFEs)</t>
  </si>
  <si>
    <t>E1730133</t>
  </si>
  <si>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t>
    </r>
    <r>
      <rPr>
        <vertAlign val="subscript"/>
        <sz val="11"/>
        <color theme="1"/>
        <rFont val="Calibri"/>
        <family val="2"/>
        <scheme val="minor"/>
      </rPr>
      <t>2</t>
    </r>
    <r>
      <rPr>
        <sz val="11"/>
        <color theme="1"/>
        <rFont val="Calibri"/>
        <family val="2"/>
        <scheme val="minor"/>
      </rPr>
      <t>F</t>
    </r>
    <r>
      <rPr>
        <vertAlign val="subscript"/>
        <sz val="11"/>
        <color theme="1"/>
        <rFont val="Calibri"/>
        <family val="2"/>
        <scheme val="minor"/>
      </rPr>
      <t>4</t>
    </r>
    <r>
      <rPr>
        <sz val="11"/>
        <color theme="1"/>
        <rFont val="Calibri"/>
        <family val="2"/>
        <scheme val="minor"/>
      </rPr>
      <t>OCHF</t>
    </r>
  </si>
  <si>
    <t>H-Galden 1040x, HG-11</t>
  </si>
  <si>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</si>
  <si>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t>HFE-7100</t>
  </si>
  <si>
    <r>
      <t>C</t>
    </r>
    <r>
      <rPr>
        <vertAlign val="subscript"/>
        <sz val="11"/>
        <color theme="1"/>
        <rFont val="Calibri"/>
        <family val="2"/>
        <scheme val="minor"/>
      </rPr>
      <t>4</t>
    </r>
    <r>
      <rPr>
        <sz val="11"/>
        <color theme="1"/>
        <rFont val="Calibri"/>
        <family val="2"/>
        <scheme val="minor"/>
      </rPr>
      <t>F</t>
    </r>
    <r>
      <rPr>
        <vertAlign val="subscript"/>
        <sz val="11"/>
        <color theme="1"/>
        <rFont val="Calibri"/>
        <family val="2"/>
        <scheme val="minor"/>
      </rPr>
      <t>9</t>
    </r>
    <r>
      <rPr>
        <sz val="11"/>
        <color theme="1"/>
        <rFont val="Calibri"/>
        <family val="2"/>
        <scheme val="minor"/>
      </rPr>
      <t>OCH</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</si>
  <si>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</si>
  <si>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</si>
  <si>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CHFOCF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</si>
  <si>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</si>
  <si>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t>HG-10</t>
  </si>
  <si>
    <r>
      <t>CHF</t>
    </r>
    <r>
      <rPr>
        <vertAlign val="subscript"/>
        <sz val="11"/>
        <color theme="1"/>
        <rFont val="Calibri"/>
        <family val="2"/>
        <scheme val="minor"/>
      </rPr>
      <t>2</t>
    </r>
    <r>
      <rPr>
        <sz val="11"/>
        <color theme="1"/>
        <rFont val="Calibri"/>
        <family val="2"/>
        <scheme val="minor"/>
      </rPr>
      <t>OCHFCF</t>
    </r>
    <r>
      <rPr>
        <vertAlign val="subscript"/>
        <sz val="11"/>
        <color theme="1"/>
        <rFont val="Calibri"/>
        <family val="2"/>
        <scheme val="minor"/>
      </rPr>
      <t>3</t>
    </r>
  </si>
  <si>
    <t>Desflurane</t>
  </si>
  <si>
    <r>
      <t>CF</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</si>
  <si>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</si>
  <si>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</si>
  <si>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</si>
  <si>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</si>
  <si>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</si>
  <si>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</si>
  <si>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</si>
  <si>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</si>
  <si>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t>HG-01</t>
  </si>
  <si>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</si>
  <si>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</si>
  <si>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</si>
  <si>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CHFCF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</si>
  <si>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</si>
  <si>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</si>
  <si>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</si>
  <si>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</si>
  <si>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</si>
  <si>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t>HFE-7000</t>
  </si>
  <si>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CFCF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</si>
  <si>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t>HFE-7100 (Chemical Blend)</t>
  </si>
  <si>
    <t>HFE-7200</t>
  </si>
  <si>
    <t>HFE-7200 (Chemical Blend)</t>
  </si>
  <si>
    <r>
      <t>C</t>
    </r>
    <r>
      <rPr>
        <vertAlign val="subscript"/>
        <sz val="11"/>
        <color theme="1"/>
        <rFont val="Calibri"/>
        <family val="2"/>
        <scheme val="minor"/>
      </rPr>
      <t>4</t>
    </r>
    <r>
      <rPr>
        <sz val="11"/>
        <color theme="1"/>
        <rFont val="Calibri"/>
        <family val="2"/>
        <scheme val="minor"/>
      </rPr>
      <t>F</t>
    </r>
    <r>
      <rPr>
        <vertAlign val="subscript"/>
        <sz val="11"/>
        <color theme="1"/>
        <rFont val="Calibri"/>
        <family val="2"/>
        <scheme val="minor"/>
      </rPr>
      <t>9</t>
    </r>
    <r>
      <rPr>
        <sz val="11"/>
        <color theme="1"/>
        <rFont val="Calibri"/>
        <family val="2"/>
        <scheme val="minor"/>
      </rPr>
      <t>OC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5</t>
    </r>
  </si>
  <si>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CFCF</t>
    </r>
    <r>
      <rPr>
        <vertAlign val="subscript"/>
        <sz val="11"/>
        <color theme="1"/>
        <rFont val="Calibri"/>
        <family val="2"/>
        <scheme val="minor"/>
      </rPr>
      <t>2</t>
    </r>
    <r>
      <rPr>
        <sz val="11"/>
        <color theme="1"/>
        <rFont val="Calibri"/>
        <family val="2"/>
        <scheme val="minor"/>
      </rPr>
      <t>OC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5</t>
    </r>
  </si>
  <si>
    <r>
      <t>CH</t>
    </r>
    <r>
      <rPr>
        <vertAlign val="subscript"/>
        <sz val="11"/>
        <color theme="1"/>
        <rFont val="Calibri"/>
        <family val="2"/>
        <scheme val="minor"/>
      </rPr>
      <t>2</t>
    </r>
    <r>
      <rPr>
        <sz val="11"/>
        <color theme="1"/>
        <rFont val="Calibri"/>
        <family val="2"/>
        <scheme val="minor"/>
      </rPr>
      <t>FOCH(CF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</si>
  <si>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t>Sevoflurane</t>
  </si>
  <si>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CHOCH</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</si>
  <si>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</si>
  <si>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r>
      <t>CH</t>
    </r>
    <r>
      <rPr>
        <vertAlign val="subscript"/>
        <sz val="11"/>
        <color theme="1"/>
        <rFont val="Calibri"/>
        <family val="2"/>
        <scheme val="minor"/>
      </rPr>
      <t>3</t>
    </r>
    <r>
      <rPr>
        <sz val="11"/>
        <color theme="1"/>
        <rFont val="Calibri"/>
        <family val="2"/>
        <scheme val="minor"/>
      </rPr>
      <t>OCF(CF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</si>
  <si>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t>HT-70</t>
  </si>
  <si>
    <t>NA</t>
  </si>
  <si>
    <r>
      <t>X-(CF</t>
    </r>
    <r>
      <rPr>
        <vertAlign val="subscript"/>
        <sz val="11"/>
        <color theme="1"/>
        <rFont val="Calibri"/>
        <family val="2"/>
        <scheme val="minor"/>
      </rPr>
      <t>2</t>
    </r>
    <r>
      <rPr>
        <sz val="11"/>
        <color theme="1"/>
        <rFont val="Calibri"/>
        <family val="2"/>
        <scheme val="minor"/>
      </rPr>
      <t>)</t>
    </r>
    <r>
      <rPr>
        <vertAlign val="subscript"/>
        <sz val="11"/>
        <color theme="1"/>
        <rFont val="Calibri"/>
        <family val="2"/>
        <scheme val="minor"/>
      </rPr>
      <t>4</t>
    </r>
    <r>
      <rPr>
        <sz val="11"/>
        <color theme="1"/>
        <rFont val="Calibri"/>
        <family val="2"/>
        <scheme val="minor"/>
      </rPr>
      <t>CH(OH)-X</t>
    </r>
  </si>
  <si>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CHOH</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</si>
  <si>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OH</t>
    </r>
  </si>
  <si>
    <r>
      <t>CF</t>
    </r>
    <r>
      <rPr>
        <vertAlign val="subscript"/>
        <sz val="11"/>
        <color theme="1"/>
        <rFont val="Calibri"/>
        <family val="2"/>
        <scheme val="minor"/>
      </rPr>
      <t>3</t>
    </r>
    <r>
      <rPr>
        <sz val="11"/>
        <color theme="1"/>
        <rFont val="Calibri"/>
        <family val="2"/>
        <scheme val="minor"/>
      </rPr>
      <t>OCF(CF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</si>
  <si>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 xml:space="preserve">ADDITIONAL INSTRUCTIONS FOR </t>
    </r>
    <r>
      <rPr>
        <b/>
        <i/>
        <u/>
        <sz val="12"/>
        <color theme="1"/>
        <rFont val="Calibri"/>
        <family val="2"/>
        <scheme val="minor"/>
      </rPr>
      <t>'Miscellaneous Emission Units'</t>
    </r>
  </si>
  <si>
    <t>Diesel</t>
  </si>
  <si>
    <t>200 horsepower Emergency Generator</t>
  </si>
  <si>
    <t>20.5 MMBtu/hr Boiler</t>
  </si>
  <si>
    <t>Distillate Oil</t>
  </si>
  <si>
    <r>
      <t>Does your facility have any miscellaneous emission units like boilers rated at or above
10 MMBtu/hr (</t>
    </r>
    <r>
      <rPr>
        <b/>
        <u/>
        <sz val="11"/>
        <color theme="1"/>
        <rFont val="Calibri"/>
        <family val="2"/>
        <scheme val="minor"/>
      </rPr>
      <t>&gt;</t>
    </r>
    <r>
      <rPr>
        <b/>
        <sz val="11"/>
        <color theme="1"/>
        <rFont val="Calibri"/>
        <family val="2"/>
        <scheme val="minor"/>
      </rPr>
      <t xml:space="preserve"> 300 horsepower), emergency generators, gasoline pumps/tanks, etc.?.........      Yes             No</t>
    </r>
  </si>
  <si>
    <t>Breathing Losses</t>
  </si>
  <si>
    <t>Working Losses</t>
  </si>
  <si>
    <t>Fixed-Roof Gasoline Storage Tanks</t>
  </si>
  <si>
    <t>Instructions for Section 3 - Table 3-B:  Stack / Release Point Information</t>
  </si>
  <si>
    <t>tons</t>
  </si>
  <si>
    <t>Emission Unit Description</t>
  </si>
  <si>
    <t>Emission Factors Used in Calculation Table</t>
  </si>
  <si>
    <t>WebFIRE Emission Factors</t>
  </si>
  <si>
    <t>c.</t>
  </si>
  <si>
    <t>b.</t>
  </si>
  <si>
    <t>d.</t>
  </si>
  <si>
    <t>e.</t>
  </si>
  <si>
    <t>f.</t>
  </si>
  <si>
    <t>g.</t>
  </si>
  <si>
    <t>h.</t>
  </si>
  <si>
    <t>To calculate the emissions from your facility's haul roads, you must enter the following information.</t>
  </si>
  <si>
    <t>Class I Source?</t>
  </si>
  <si>
    <t>Class II Source?</t>
  </si>
  <si>
    <t>No permit required?</t>
  </si>
  <si>
    <t>Operating Permit Classification</t>
  </si>
  <si>
    <t>Construction Permit Classification</t>
  </si>
  <si>
    <t>Const.Pmt. required?</t>
  </si>
  <si>
    <t>Permit Emission Limit Matrix</t>
  </si>
  <si>
    <t>T-BACT required?</t>
  </si>
  <si>
    <t>Const.Pmt. - also new Class I</t>
  </si>
  <si>
    <t>OpPmt Major Source - 
Require Only Title V Permit</t>
  </si>
  <si>
    <t>ConstPmt Major Source - Require ConstPmt &amp; Title V Permit</t>
  </si>
  <si>
    <t>OpPmt Major Source - 
Synthetic Minor Permit</t>
  </si>
  <si>
    <t>OpPmt Major Source - 
Class I or II avoidance construction permit</t>
  </si>
  <si>
    <t>OpPmt Class II Source - 
Not Avoid Class II pmt</t>
  </si>
  <si>
    <t>Op Pmt Class II Source -
ConstPmt to avoid Class II permit</t>
  </si>
  <si>
    <t>ConstPmt Major Source - Require ConstPmt &amp; Class II Operating Pmt</t>
  </si>
  <si>
    <t>ConstPmt Major Source - Require ONLY Construction Permit</t>
  </si>
  <si>
    <t>Subject to MACT?</t>
  </si>
  <si>
    <t>Part A:  Permitting Requirement Determination</t>
  </si>
  <si>
    <t>Submit Sections 1-5, along with this page of Section 6 to the Department to demonstrate that no permit is required.</t>
  </si>
  <si>
    <t>Const. Permit, Class II Permit, &amp; Toxic BACT Threshold</t>
  </si>
  <si>
    <t>Class I Permit &amp;Toxic MACT Threshold</t>
  </si>
  <si>
    <t>Class II Operating Permit &amp; Construction Permit Threshold</t>
  </si>
  <si>
    <t>Class I Operating Permit Threshold</t>
  </si>
  <si>
    <t>Greenhouse Gases</t>
  </si>
  <si>
    <t>ConstPmt Minor Source - Require ONLY Construction Permit</t>
  </si>
  <si>
    <t>ConstPmt Minor Source - Require  Construction Permit &amp; Class II Operating Permit</t>
  </si>
  <si>
    <t>By choosing to limit actual emissions to less than BOTH the Class II Operating Permit thresholds and the major source (Class I or Title V) thresholds, you will only be required to obtain a Construction Permit permit for your source.  Proceed with the remainder of this section.</t>
  </si>
  <si>
    <t>By choosing to limit actual emissions to less than the Class II Operating Permit thresholds, you will only be required to obtain a Construction Permit permit for your source.  Proceed with the remainder of this section.</t>
  </si>
  <si>
    <t>By obtaining a Construction Permit containing requirements to maintain actual emissions below Class I or Class II Operating Permit thresholds, you can avoid being classified as a 'Synthetic Minor Source', or you can avoid the requirement to obtain a Class II operating permit for your source, depending on what you choose to accept.  Proceed to Part B below.</t>
  </si>
  <si>
    <t>Do you wish to obtain a construction permit containing federally enforceable requirements to maintain actual facility-wide emissions below Class II operating permit thresholds?</t>
  </si>
  <si>
    <t>Do you wish to obtain a Construction Permit containing federally enforceable requirements to maintain actual facility-wide emissions below Class II operating permit thresholds?</t>
  </si>
  <si>
    <t xml:space="preserve">Your source's facility-wide maximum potential to emit does not exceed any applicable permitting threshold, and no operating permit or construction permit is necessary.  </t>
  </si>
  <si>
    <t>Do you wish to take federally enforceable requirements in your operating permit to maintain actual facility-wide emissions below Class I operating permit thresholds?</t>
  </si>
  <si>
    <t>Do you wish to obtain a Construction Permit containing federally enforceable requirements to maintain actual facility-wide emissions below Class I and/or Class II operating permit thresholds?</t>
  </si>
  <si>
    <t xml:space="preserve">The maximum potential to emit for this construction/reconstruction/modification does not exceed any applicable permitting threshold, and no Operating Permit or Construction Permit is necessary.  </t>
  </si>
  <si>
    <t>Do you wish to obtain a Construction Permit containing federally enforceable requirements to maintain actual facility-wide emissions below Class I (Title V) operating permit thresholds?</t>
  </si>
  <si>
    <t>Do you wish to accept federally enforceable requirements to limit actual emissions of HAPs associated with this project to less than 2.5 tons for each individual HAP, and less than 10 tons for total combined HAPs?</t>
  </si>
  <si>
    <t>By choosing NOT to limit actual emissions to less than the Class II Operating Permit thresholds, you will be required to obtain a Construction Permit permit AND a Class II Operating Permit for your source.  Proceed with the remainder of this section.</t>
  </si>
  <si>
    <t>By NOT accepting requirements to maintain actual emissions below major source thresholds, you will be required to obtain a Class I (Title V) Operating Permit for your source.  Proceed with the remainder of this section.</t>
  </si>
  <si>
    <t>By NOT accepting requirements to maintain actual emissions below major source thresholds, in addition to a Construction Permit, you will be required to obtain a Class I (Title V) Operating Permit for your source.  Proceed with the remainder of this section.</t>
  </si>
  <si>
    <t>By choosing to limit actual emissions to less than major source thresholds, while also choosing NOT to limit actual emissions to less than Class II Operating Permit thresholds, in addition to a Construction Permit, you will be required to obtain a Class II Operating Permit for your source.  Proceed with the remainder of this section.</t>
  </si>
  <si>
    <t>By accepting limits in your Construction Permit to keep actual individual HAP emissions less than 2.5 tons per year, and actual total HAP emissions less than 10 tons per year, you will NOT be required to submit a 'Toxics BACT' analysis.  Proceed with the remainder of this section.</t>
  </si>
  <si>
    <t>By NOT accepting limits in your Construction Permit to keep actual individual HAP emissions less than 2.5 tons per year, and actual total HAP emissions less than 10 tons per year, you will be required to submit a 'Toxics BACT' analysis, which may require the installation of control equipment to reduce HAP emissions.  Proceed with the remainder of this section.</t>
  </si>
  <si>
    <t>By obtaining a Construction Permit containing requirements to maintain actual emissions below Class II Permit thresholds, you will avoid the requirement to obtain a Class II Operating Permit for your source.  Proceed with the remainder of this section.</t>
  </si>
  <si>
    <t>By accepting requirements to maintain actual emissions below the major source thresholds, you will avoid the requirement to obtain a Class I (Title V) Operating Permit for your source.  Proceed with the remainder of this section.</t>
  </si>
  <si>
    <t>By NOT obtaining a Construction Permit containing requirements to maintain actual emissions to less than the Class II Operating Permit thresholds, you will be required to obtain a Class II Operating Permit for your source.  Proceed with the remainder of this section.</t>
  </si>
  <si>
    <t>This project's maximum potential to emit hazardous air pollutants (HAPs) exceeds the 'toxics Best Available Control Technology' (T-BACT) thresholds, and may require you to install control equipment to reduce HAPs.  Please answer the following question.</t>
  </si>
  <si>
    <t>This project's maximum potential to emit exceeds Construction Permit thresholds, and will require a Construction Permit.  You may also be required to obtain a Class II Operating Permit unless you accept federally enforceable emission limits.  Please answer the following question.</t>
  </si>
  <si>
    <t>This project's maximum potential to emit exceeds Construction Permit thresholds, and will require a Construction Permit.  You may also be required to obtain a Class I (Title V) Operating Permit unless you accept federally enforceable emission limits.  Please answer the following questions.</t>
  </si>
  <si>
    <t>Your source's facility-wide maximum potential to emit exceeds Class II operating permit thresholds, and may require a Class II operating permit.  Please answer the following questions.</t>
  </si>
  <si>
    <t>Your source's facility-wide maximum potential to emit exceeds major source thresholds, and may require a Class I operating permit.  However, if you agree to accept federally enforceable requirements to maintain actual emissions to less than major source thresholds, you can avoid the requirement to obtain a Class I (Title V) operating permit.  Please answer the following questions.</t>
  </si>
  <si>
    <t>In Part A, you have indicated that you would like to obtain a construction permit that would limit potential facility-wide emissions to less than the Class I or Class II Operating Permit thresholds.  Please select from the following options:</t>
  </si>
  <si>
    <r>
      <t xml:space="preserve">Part B:  Construction Permit Information </t>
    </r>
    <r>
      <rPr>
        <sz val="13"/>
        <color theme="1"/>
        <rFont val="Calibri"/>
        <family val="2"/>
        <scheme val="minor"/>
      </rPr>
      <t>(applies only to major sources avoiding a Class I permit)</t>
    </r>
  </si>
  <si>
    <t>SECTION 6 – SOURCE CLASS &amp; PERMIT DETERMINATION</t>
  </si>
  <si>
    <t>SECTION 6:  SOURCE CLASS &amp; PERMIT DETERMINATION</t>
  </si>
  <si>
    <r>
      <t xml:space="preserve">This table is only to be used for the purpose of a construction permit application, </t>
    </r>
    <r>
      <rPr>
        <b/>
        <u/>
        <sz val="14"/>
        <color rgb="FFFF0000"/>
        <rFont val="Calibri"/>
        <family val="2"/>
        <scheme val="minor"/>
      </rPr>
      <t>OR</t>
    </r>
    <r>
      <rPr>
        <b/>
        <sz val="14"/>
        <color rgb="FFFF0000"/>
        <rFont val="Calibri"/>
        <family val="2"/>
        <scheme val="minor"/>
      </rPr>
      <t xml:space="preserve"> if you are seeking to obtain a construction permit limiting facility-wide potential emissions </t>
    </r>
    <r>
      <rPr>
        <b/>
        <u/>
        <sz val="14"/>
        <color rgb="FFFF0000"/>
        <rFont val="Calibri"/>
        <family val="2"/>
        <scheme val="minor"/>
      </rPr>
      <t>in addition</t>
    </r>
    <r>
      <rPr>
        <b/>
        <sz val="14"/>
        <color rgb="FFFF0000"/>
        <rFont val="Calibri"/>
        <family val="2"/>
        <scheme val="minor"/>
      </rPr>
      <t xml:space="preserve"> to an operating permit.  If you are not seeking to obtain a construction permit, proceed to Table 7-A.</t>
    </r>
  </si>
  <si>
    <r>
      <t xml:space="preserve">Using the drop-down box provided, indicate whether or not you would like to accept unit-specific emission limits for any 'Miscellaneous Emission Units' as part of the construction permit.  For those units that you do agree to limit, enter the limit for each pollutant in units of </t>
    </r>
    <r>
      <rPr>
        <b/>
        <i/>
        <u/>
        <sz val="11"/>
        <color theme="1"/>
        <rFont val="Arial"/>
        <family val="2"/>
      </rPr>
      <t>pounds</t>
    </r>
    <r>
      <rPr>
        <b/>
        <i/>
        <sz val="11"/>
        <color theme="1"/>
        <rFont val="Arial"/>
        <family val="2"/>
      </rPr>
      <t>.  For pollutants you do not wish to limit, enter zero (0).</t>
    </r>
  </si>
  <si>
    <t>8-1</t>
  </si>
  <si>
    <t>9-1</t>
  </si>
  <si>
    <t>9-2</t>
  </si>
  <si>
    <t>10-1</t>
  </si>
  <si>
    <t>10-2</t>
  </si>
  <si>
    <t>Part F:  Table 6-A – Source-Elected Throughput Limits and Emission Control Requirements</t>
  </si>
  <si>
    <r>
      <t xml:space="preserve">Do you wish to accept </t>
    </r>
    <r>
      <rPr>
        <b/>
        <i/>
        <u/>
        <sz val="12"/>
        <color theme="1"/>
        <rFont val="Calibri"/>
        <family val="2"/>
        <scheme val="minor"/>
      </rPr>
      <t>facility-wide</t>
    </r>
    <r>
      <rPr>
        <b/>
        <i/>
        <sz val="12"/>
        <color theme="1"/>
        <rFont val="Calibri"/>
        <family val="2"/>
        <scheme val="minor"/>
      </rPr>
      <t xml:space="preserve"> emission limits as part of a construction permit?  If "Yes", enter the limit(s) in units of pounds.  For pollutants with no limit, enter zero (0).</t>
    </r>
  </si>
  <si>
    <t>Part G:  Source-Elected Facility-Wide Emission Limits</t>
  </si>
  <si>
    <t>Part H:  Source-Elected Emission Limits For All New/Modified Equipment</t>
  </si>
  <si>
    <t>If you indicated in Parts A and/or B of Section 6 that you would like to take a facility-wide emission limit(s) as a condition of a Construction Permit to avoid being classified as either a Class I or a Class II source, then complete the following.  If you do not wish to take a facility-wide emission limit(s), check "No" and proceed to Part H, below.</t>
  </si>
  <si>
    <t>If this is a Construction Permit application, and you wish accept emission limits that will apply to ALL new and/or modified equipment listed in Table 3-A (either to avoid requiring an operating permit, or to avoid applicability of 'Best Available Control Technology' (BACT) requirements, then complete the following.  If you do not wish to take such limits, or if this application is for an Operating Permit, check "No" and proceed to Part I, below.</t>
  </si>
  <si>
    <r>
      <t xml:space="preserve">Do you wish to accept emission limits </t>
    </r>
    <r>
      <rPr>
        <b/>
        <i/>
        <u/>
        <sz val="12"/>
        <color theme="1"/>
        <rFont val="Calibri"/>
        <family val="2"/>
        <scheme val="minor"/>
      </rPr>
      <t>that will apply to all of the emission units listed in Table 3-A</t>
    </r>
    <r>
      <rPr>
        <b/>
        <i/>
        <sz val="12"/>
        <color theme="1"/>
        <rFont val="Calibri"/>
        <family val="2"/>
        <scheme val="minor"/>
      </rPr>
      <t xml:space="preserve"> as part of a Construction Permit?  If "Yes", enter the limit(s) in units of </t>
    </r>
    <r>
      <rPr>
        <b/>
        <i/>
        <u/>
        <sz val="12"/>
        <color theme="1"/>
        <rFont val="Calibri"/>
        <family val="2"/>
        <scheme val="minor"/>
      </rPr>
      <t>pounds</t>
    </r>
    <r>
      <rPr>
        <b/>
        <i/>
        <sz val="12"/>
        <color theme="1"/>
        <rFont val="Calibri"/>
        <family val="2"/>
        <scheme val="minor"/>
      </rPr>
      <t>.  For pollutants with no limit, enter zero (0).</t>
    </r>
  </si>
  <si>
    <t>Part I:  Table 6-B – Source-Elected Unit-Specific Emission Limits</t>
  </si>
  <si>
    <t>14-1</t>
  </si>
  <si>
    <t>16-2, 15-1</t>
  </si>
  <si>
    <t>Trifluoromethyl sulphur pentafluoride*</t>
  </si>
  <si>
    <t>Nitrogen trifluoride*</t>
  </si>
  <si>
    <t>HCFE-235da2*</t>
  </si>
  <si>
    <t>(Octafluorotetramethy-lene) hydroxymethyl group*</t>
  </si>
  <si>
    <t>Bis(trifluoromethyl)-methanol*</t>
  </si>
  <si>
    <t>2,2,3,3,3-pentafluoropropanol*</t>
  </si>
  <si>
    <t>PFPMIE*</t>
  </si>
  <si>
    <t>HFE-125*</t>
  </si>
  <si>
    <t>HFE-43-10pccc*</t>
  </si>
  <si>
    <t>HFE-134*</t>
  </si>
  <si>
    <t>HFE-143a*</t>
  </si>
  <si>
    <t>HFE-227ea*</t>
  </si>
  <si>
    <t>HFE-236ca12*</t>
  </si>
  <si>
    <t>HFE-236ea2*</t>
  </si>
  <si>
    <t>HFE-236fa*</t>
  </si>
  <si>
    <t>HFE-245cb2*</t>
  </si>
  <si>
    <t>HFE-245fa1*</t>
  </si>
  <si>
    <t>HFE-245fa2*</t>
  </si>
  <si>
    <t>HFE-254cb2*</t>
  </si>
  <si>
    <t>HFE-263fb2*</t>
  </si>
  <si>
    <t>HFE-329mcc2*</t>
  </si>
  <si>
    <t>HFE-338mcf2*</t>
  </si>
  <si>
    <t>HFE-338pcc13*</t>
  </si>
  <si>
    <t>HFE-347mcc3*</t>
  </si>
  <si>
    <t>HFE-347mcf2*</t>
  </si>
  <si>
    <t>HFE-347pcf2*</t>
  </si>
  <si>
    <t>HFE-356mec3*</t>
  </si>
  <si>
    <t>HFE-356pcc3*</t>
  </si>
  <si>
    <t>HFE-356pcf2*</t>
  </si>
  <si>
    <t>HFE-356pcf3*</t>
  </si>
  <si>
    <t>HFE-365mcf3*</t>
  </si>
  <si>
    <t>HFE-374pc2*</t>
  </si>
  <si>
    <t>HFE-449s1*</t>
  </si>
  <si>
    <t>HFE-449s1 (Chemical Blend)*</t>
  </si>
  <si>
    <t>HFE-569sf2*</t>
  </si>
  <si>
    <t>HFE-569sf2 (Chemical Blend)*</t>
  </si>
  <si>
    <t>HFE-347mmz1*</t>
  </si>
  <si>
    <t>HFE-356mm1*</t>
  </si>
  <si>
    <t>HFE-338mmz1*</t>
  </si>
  <si>
    <t>HFE-347mmy1*</t>
  </si>
  <si>
    <r>
      <t xml:space="preserve">Names followed by an asterisk (*) denote pollutants that are only GHGs subject to the Greenhouse Gas Mandatory Reporting Rule set forth in 40 CFR Part 98.  These are not GHGs regulated by the PSD &amp; Title V Greenhouse Gas Tailoring Rule.  </t>
    </r>
    <r>
      <rPr>
        <b/>
        <u/>
        <sz val="11"/>
        <color theme="1"/>
        <rFont val="Calibri"/>
        <family val="2"/>
        <scheme val="minor"/>
      </rPr>
      <t>Do not include these pollutants</t>
    </r>
    <r>
      <rPr>
        <b/>
        <sz val="11"/>
        <color theme="1"/>
        <rFont val="Calibri"/>
        <family val="2"/>
        <scheme val="minor"/>
      </rPr>
      <t xml:space="preserve"> in your CO</t>
    </r>
    <r>
      <rPr>
        <b/>
        <vertAlign val="subscript"/>
        <sz val="11"/>
        <color theme="1"/>
        <rFont val="Calibri"/>
        <family val="2"/>
        <scheme val="minor"/>
      </rPr>
      <t>2</t>
    </r>
    <r>
      <rPr>
        <b/>
        <sz val="11"/>
        <color theme="1"/>
        <rFont val="Calibri"/>
        <family val="2"/>
        <scheme val="minor"/>
      </rPr>
      <t>e calculations.</t>
    </r>
  </si>
  <si>
    <t>Road Type(s)</t>
  </si>
  <si>
    <t>Engine Type(s)</t>
  </si>
  <si>
    <t>Gasoline</t>
  </si>
  <si>
    <t>If you have other emission units at your facility, such as boilers rated at or above 10 million Btu's per hour (10 MMBtu/hr, or approximately 300 horsepower), stationary engines (including emergency generators, gasoline storage and distribution equipment, or other units that are not directly related to the crushing/reclaim equipment, these units need to be included as 'Miscellaneous Emission Units'.  After you have completed filling in all emission unit information for your crushing/reclaim operation, scroll down to the portion of Table 3-A designated for Miscellaneous Emission Units.
For the Emission "Point #", add '1' to the last emission point number that appears in Table 3-A.  For example, if the last Emission Unit # is '4-1', then the first emission point number under the Miscellaneous Emission Units would be '5'.  For each emission unit, you must also assign a 'Segment #'.  If there's only one process associated with that unit, then the emission segment number should be '1'.  If the emission unit has multiple processes, then continue numbering '1', '2', '3', and so on for each additional process.  Continue this numbering scheme for each miscellaneous emission unit at your facility.  An example is provided below.</t>
  </si>
  <si>
    <t>Reclaimed Material Screening Emission Units</t>
  </si>
  <si>
    <t>Crushing/Reclaim Equipment Emission Units</t>
  </si>
  <si>
    <t>Sizing Screening of Crushed Material</t>
  </si>
  <si>
    <t>Truck Unloading of Reclaimed Material</t>
  </si>
  <si>
    <t>Transfer Reclaimed Material to Storage Piles</t>
  </si>
  <si>
    <t>Transfer Reclaimed Material to Crusher</t>
  </si>
  <si>
    <t>Primary Crushing of Reclaimed Material</t>
  </si>
  <si>
    <t>Conveying of Oversized Crushed Material</t>
  </si>
  <si>
    <t>Transfer Oversized Crushed Material for Secondary Crushing</t>
  </si>
  <si>
    <t>Secondary Crushing of Oversized Material</t>
  </si>
  <si>
    <t>Transfer Crushed Material to Storage Piles</t>
  </si>
  <si>
    <t>Truck Loading of Crushed Material for Transfer Off-Site</t>
  </si>
  <si>
    <t xml:space="preserve">                     Yes             No</t>
  </si>
  <si>
    <t>Conveying of Finished Crushed Material</t>
  </si>
  <si>
    <t xml:space="preserve"> </t>
  </si>
  <si>
    <t>Sizing Screening of Crushed/Reclaimed Material</t>
  </si>
  <si>
    <t>Stationary Engines - Screening and/or Crushing Power Units</t>
  </si>
  <si>
    <t>Engine SCCs</t>
  </si>
  <si>
    <t>Diesel (&lt; 600 horsepower)</t>
  </si>
  <si>
    <r>
      <t>Diesel (</t>
    </r>
    <r>
      <rPr>
        <u/>
        <sz val="11"/>
        <color theme="1"/>
        <rFont val="Calibri"/>
        <family val="2"/>
        <scheme val="minor"/>
      </rPr>
      <t>&gt;</t>
    </r>
    <r>
      <rPr>
        <sz val="11"/>
        <color theme="1"/>
        <rFont val="Calibri"/>
        <family val="2"/>
        <scheme val="minor"/>
      </rPr>
      <t xml:space="preserve"> 600 horsepower)</t>
    </r>
  </si>
  <si>
    <t>Natural Gas (4-Stroke Rich Burn)</t>
  </si>
  <si>
    <t>Natural Gas (4-Stroke Lean Burn)</t>
  </si>
  <si>
    <t>&gt;600 hp Diesel Engine</t>
  </si>
  <si>
    <t>&lt;600 hp Diesel Engine</t>
  </si>
  <si>
    <t>4SRB Nat. Gas Engine</t>
  </si>
  <si>
    <t>4SLB Nat. Gas Engine</t>
  </si>
  <si>
    <t>Gasoline Engine</t>
  </si>
  <si>
    <t>yards</t>
  </si>
  <si>
    <t>N/A</t>
  </si>
  <si>
    <t>VMT</t>
  </si>
  <si>
    <t>=</t>
  </si>
  <si>
    <t>Acre-days</t>
  </si>
  <si>
    <t>HAPs</t>
  </si>
  <si>
    <t>If you wish, you may enter the emission factors you use for each Miscellaneous Emission Unit in the table to the right.</t>
  </si>
  <si>
    <t>1000 gals</t>
  </si>
  <si>
    <r>
      <t xml:space="preserve">Provide the average </t>
    </r>
    <r>
      <rPr>
        <b/>
        <u/>
        <sz val="11"/>
        <rFont val="Calibri"/>
        <family val="2"/>
        <scheme val="minor"/>
      </rPr>
      <t>empty</t>
    </r>
    <r>
      <rPr>
        <b/>
        <sz val="11"/>
        <rFont val="Calibri"/>
        <family val="2"/>
        <scheme val="minor"/>
      </rPr>
      <t xml:space="preserve"> weight of all material hauling trucks (in tons):</t>
    </r>
  </si>
  <si>
    <r>
      <t xml:space="preserve">Provide the average </t>
    </r>
    <r>
      <rPr>
        <b/>
        <u/>
        <sz val="11"/>
        <rFont val="Calibri"/>
        <family val="2"/>
        <scheme val="minor"/>
      </rPr>
      <t>empty</t>
    </r>
    <r>
      <rPr>
        <b/>
        <sz val="11"/>
        <rFont val="Calibri"/>
        <family val="2"/>
        <scheme val="minor"/>
      </rPr>
      <t xml:space="preserve"> weight of all front-end loaders (in tons):</t>
    </r>
  </si>
  <si>
    <r>
      <t xml:space="preserve">Provide the average </t>
    </r>
    <r>
      <rPr>
        <b/>
        <u/>
        <sz val="11"/>
        <rFont val="Calibri"/>
        <family val="2"/>
        <scheme val="minor"/>
      </rPr>
      <t>hauling capacity</t>
    </r>
    <r>
      <rPr>
        <b/>
        <sz val="11"/>
        <rFont val="Calibri"/>
        <family val="2"/>
        <scheme val="minor"/>
      </rPr>
      <t xml:space="preserve"> of all material hauling trucks (in tons):</t>
    </r>
  </si>
  <si>
    <r>
      <t xml:space="preserve">Provide the average </t>
    </r>
    <r>
      <rPr>
        <b/>
        <u/>
        <sz val="11"/>
        <rFont val="Calibri"/>
        <family val="2"/>
        <scheme val="minor"/>
      </rPr>
      <t>loader capacity</t>
    </r>
    <r>
      <rPr>
        <b/>
        <sz val="11"/>
        <rFont val="Calibri"/>
        <family val="2"/>
        <scheme val="minor"/>
      </rPr>
      <t xml:space="preserve"> for all front-end loaders (in cubic yards):</t>
    </r>
  </si>
  <si>
    <t>Required Information for Emission Calculations</t>
  </si>
  <si>
    <t>Proceed to the next question.</t>
  </si>
  <si>
    <t>Crushing/Reclaim Emission Factors</t>
  </si>
  <si>
    <t>Screening Emission Factors</t>
  </si>
  <si>
    <t>Storage Pile Emission Factors</t>
  </si>
  <si>
    <t>Stationary Engine Emission Factors</t>
  </si>
  <si>
    <t>Truck VMT Totals</t>
  </si>
  <si>
    <t>Loader VMT Totals</t>
  </si>
  <si>
    <t>1 - Loaded</t>
  </si>
  <si>
    <t>2 - Loaded</t>
  </si>
  <si>
    <t>3 - Loaded</t>
  </si>
  <si>
    <t>1 - Empty</t>
  </si>
  <si>
    <t>2 - Empty</t>
  </si>
  <si>
    <t>3 - Empty</t>
  </si>
  <si>
    <t>Paved</t>
  </si>
  <si>
    <t>Unpaved</t>
  </si>
  <si>
    <t>From AP-42 Chapter 13.2.1 - The predictive emission factor for paved road travel</t>
  </si>
  <si>
    <t>Equation 1</t>
  </si>
  <si>
    <t>Where:</t>
  </si>
  <si>
    <r>
      <t>E = Emission Factor (lb PM</t>
    </r>
    <r>
      <rPr>
        <vertAlign val="subscript"/>
        <sz val="10"/>
        <rFont val="Arial"/>
        <family val="2"/>
      </rPr>
      <t>10</t>
    </r>
    <r>
      <rPr>
        <sz val="10"/>
        <color indexed="8"/>
        <rFont val="Calibri"/>
        <family val="2"/>
      </rPr>
      <t xml:space="preserve"> / VMT)</t>
    </r>
  </si>
  <si>
    <r>
      <rPr>
        <i/>
        <sz val="14"/>
        <color indexed="8"/>
        <rFont val="Calibri"/>
        <family val="2"/>
      </rPr>
      <t>k</t>
    </r>
    <r>
      <rPr>
        <sz val="10"/>
        <color indexed="8"/>
        <rFont val="Calibri"/>
        <family val="2"/>
      </rPr>
      <t xml:space="preserve"> = particle size multiplier</t>
    </r>
  </si>
  <si>
    <t>for PM10 in lbs/VMT - from AP-42 Table 13.2.1-1</t>
  </si>
  <si>
    <r>
      <rPr>
        <i/>
        <sz val="14"/>
        <color indexed="8"/>
        <rFont val="Calibri"/>
        <family val="2"/>
      </rPr>
      <t>sL</t>
    </r>
    <r>
      <rPr>
        <sz val="10"/>
        <color indexed="8"/>
        <rFont val="Calibri"/>
        <family val="2"/>
      </rPr>
      <t xml:space="preserve"> = road surface silt loading</t>
    </r>
  </si>
  <si>
    <t>from AP-42 Table 13.2.1-3, for concrete batch plant</t>
  </si>
  <si>
    <r>
      <rPr>
        <i/>
        <sz val="14"/>
        <color indexed="8"/>
        <rFont val="Calibri"/>
        <family val="2"/>
      </rPr>
      <t>W</t>
    </r>
    <r>
      <rPr>
        <sz val="10"/>
        <color indexed="8"/>
        <rFont val="Calibri"/>
        <family val="2"/>
      </rPr>
      <t xml:space="preserve"> = vehicle weight</t>
    </r>
  </si>
  <si>
    <t>From AP-42 Chapter 13.2.2 - The predictive emission factor for unpaved road travel</t>
  </si>
  <si>
    <t>Equation 1a</t>
  </si>
  <si>
    <r>
      <rPr>
        <i/>
        <sz val="14"/>
        <color indexed="8"/>
        <rFont val="Calibri"/>
        <family val="2"/>
      </rPr>
      <t>E</t>
    </r>
    <r>
      <rPr>
        <sz val="10"/>
        <color indexed="8"/>
        <rFont val="Calibri"/>
        <family val="2"/>
      </rPr>
      <t xml:space="preserve"> = Emission Factor (lb PM</t>
    </r>
    <r>
      <rPr>
        <vertAlign val="subscript"/>
        <sz val="10"/>
        <rFont val="Arial"/>
        <family val="2"/>
      </rPr>
      <t>10</t>
    </r>
    <r>
      <rPr>
        <sz val="10"/>
        <color indexed="8"/>
        <rFont val="Calibri"/>
        <family val="2"/>
      </rPr>
      <t xml:space="preserve"> / VMT)</t>
    </r>
  </si>
  <si>
    <t>for PM10 in lbs/VMT - from AP-42 Table 13.2.2-2</t>
  </si>
  <si>
    <r>
      <rPr>
        <i/>
        <sz val="14"/>
        <color indexed="8"/>
        <rFont val="Calibri"/>
        <family val="2"/>
      </rPr>
      <t>s</t>
    </r>
    <r>
      <rPr>
        <sz val="10"/>
        <color indexed="8"/>
        <rFont val="Calibri"/>
        <family val="2"/>
      </rPr>
      <t xml:space="preserve"> = road surface silt content</t>
    </r>
  </si>
  <si>
    <t>from AP-42 Table 13.2.2-1, for stone quarrying and processing</t>
  </si>
  <si>
    <r>
      <rPr>
        <i/>
        <sz val="14"/>
        <color indexed="8"/>
        <rFont val="Calibri"/>
        <family val="2"/>
      </rPr>
      <t>a</t>
    </r>
    <r>
      <rPr>
        <sz val="10"/>
        <color indexed="8"/>
        <rFont val="Calibri"/>
        <family val="2"/>
      </rPr>
      <t xml:space="preserve"> = empirical constant</t>
    </r>
  </si>
  <si>
    <t>from AP-42 Table 13.2.2-2</t>
  </si>
  <si>
    <r>
      <rPr>
        <i/>
        <sz val="14"/>
        <color indexed="8"/>
        <rFont val="Calibri"/>
        <family val="2"/>
      </rPr>
      <t>b</t>
    </r>
    <r>
      <rPr>
        <sz val="10"/>
        <color indexed="8"/>
        <rFont val="Calibri"/>
        <family val="2"/>
      </rPr>
      <t xml:space="preserve"> = empirical constant</t>
    </r>
  </si>
  <si>
    <t>PM10 =</t>
  </si>
  <si>
    <t>PM2.5=</t>
  </si>
  <si>
    <t>for PM2.5 in lbs/VMT - from AP-42 Table 13.2.2-2</t>
  </si>
  <si>
    <t>for PM2.5 in lbs/VMT - from AP-42 Table 13.2.1-1</t>
  </si>
  <si>
    <t>lbs/Mgal</t>
  </si>
  <si>
    <t>lbs/MMcf</t>
  </si>
  <si>
    <t>lbs/ton</t>
  </si>
  <si>
    <t>Primary Crushing Process</t>
  </si>
  <si>
    <t>Secondary Crushing Process</t>
  </si>
  <si>
    <t>Screening Process</t>
  </si>
  <si>
    <t>Conveying Process</t>
  </si>
  <si>
    <t>Unloading Process</t>
  </si>
  <si>
    <t>Loading Process</t>
  </si>
  <si>
    <t>Storage Piles</t>
  </si>
  <si>
    <t>tons/yr</t>
  </si>
  <si>
    <t>40 CFR 60, Subpart OOO</t>
  </si>
  <si>
    <t>NSPS for Non-Metallic Mineral Processing Plants</t>
  </si>
  <si>
    <t>For the purposes of this permit application, all material handling, crushing, screening, and truck traffic emissions are considered "fugitive" sources, for which stack information is not required.  Stack information for any 'Miscellaneous' emission units is provided below.</t>
  </si>
  <si>
    <t>The North American Industry Classification System (NAICS) code for your facility can be found at the address below.  A NAICS code(s) has already been provided.  Remove the provided code(s) if not applicable to your facility.</t>
  </si>
  <si>
    <t>Raw &amp; Reclaimed/Crushed Material Storage Piles</t>
  </si>
  <si>
    <t>Unloading of Sand</t>
  </si>
  <si>
    <t>Batch Plant Type</t>
  </si>
  <si>
    <r>
      <t xml:space="preserve">Provide the average </t>
    </r>
    <r>
      <rPr>
        <b/>
        <u/>
        <sz val="11"/>
        <rFont val="Calibri"/>
        <family val="2"/>
        <scheme val="minor"/>
      </rPr>
      <t>hauling capacity</t>
    </r>
    <r>
      <rPr>
        <b/>
        <sz val="11"/>
        <rFont val="Calibri"/>
        <family val="2"/>
        <scheme val="minor"/>
      </rPr>
      <t xml:space="preserve"> of all </t>
    </r>
    <r>
      <rPr>
        <b/>
        <u/>
        <sz val="11"/>
        <rFont val="Calibri"/>
        <family val="2"/>
        <scheme val="minor"/>
      </rPr>
      <t>front end loaders</t>
    </r>
    <r>
      <rPr>
        <b/>
        <sz val="11"/>
        <rFont val="Calibri"/>
        <family val="2"/>
        <scheme val="minor"/>
      </rPr>
      <t xml:space="preserve"> (in yards):</t>
    </r>
  </si>
  <si>
    <r>
      <t xml:space="preserve">Provide the average </t>
    </r>
    <r>
      <rPr>
        <b/>
        <u/>
        <sz val="11"/>
        <rFont val="Calibri"/>
        <family val="2"/>
        <scheme val="minor"/>
      </rPr>
      <t>empty</t>
    </r>
    <r>
      <rPr>
        <b/>
        <sz val="11"/>
        <rFont val="Calibri"/>
        <family val="2"/>
        <scheme val="minor"/>
      </rPr>
      <t xml:space="preserve"> weight of all </t>
    </r>
    <r>
      <rPr>
        <b/>
        <u/>
        <sz val="11"/>
        <rFont val="Calibri"/>
        <family val="2"/>
        <scheme val="minor"/>
      </rPr>
      <t>front end loaders</t>
    </r>
    <r>
      <rPr>
        <b/>
        <sz val="11"/>
        <rFont val="Calibri"/>
        <family val="2"/>
        <scheme val="minor"/>
      </rPr>
      <t xml:space="preserve"> (in tons):</t>
    </r>
  </si>
  <si>
    <r>
      <t xml:space="preserve">For each </t>
    </r>
    <r>
      <rPr>
        <b/>
        <u/>
        <sz val="11"/>
        <rFont val="Calibri"/>
        <family val="2"/>
        <scheme val="minor"/>
      </rPr>
      <t>crushing unit,</t>
    </r>
    <r>
      <rPr>
        <b/>
        <sz val="11"/>
        <rFont val="Calibri"/>
        <family val="2"/>
        <scheme val="minor"/>
      </rPr>
      <t xml:space="preserve"> enter the average 'round trip' distance a </t>
    </r>
    <r>
      <rPr>
        <b/>
        <u/>
        <sz val="11"/>
        <rFont val="Calibri"/>
        <family val="2"/>
        <scheme val="minor"/>
      </rPr>
      <t>material hauling truck</t>
    </r>
    <r>
      <rPr>
        <b/>
        <sz val="11"/>
        <rFont val="Calibri"/>
        <family val="2"/>
        <scheme val="minor"/>
      </rPr>
      <t xml:space="preserve"> travels on </t>
    </r>
    <r>
      <rPr>
        <b/>
        <u/>
        <sz val="11"/>
        <rFont val="Calibri"/>
        <family val="2"/>
        <scheme val="minor"/>
      </rPr>
      <t>paved</t>
    </r>
    <r>
      <rPr>
        <b/>
        <sz val="11"/>
        <rFont val="Calibri"/>
        <family val="2"/>
        <scheme val="minor"/>
      </rPr>
      <t xml:space="preserve"> roads (truck enters the facility, receives a load, and then exits).</t>
    </r>
  </si>
  <si>
    <r>
      <t xml:space="preserve">For each </t>
    </r>
    <r>
      <rPr>
        <b/>
        <u/>
        <sz val="11"/>
        <rFont val="Calibri"/>
        <family val="2"/>
        <scheme val="minor"/>
      </rPr>
      <t>crushing unit,</t>
    </r>
    <r>
      <rPr>
        <b/>
        <sz val="11"/>
        <rFont val="Calibri"/>
        <family val="2"/>
        <scheme val="minor"/>
      </rPr>
      <t xml:space="preserve"> enter the average 'round trip' distance a </t>
    </r>
    <r>
      <rPr>
        <b/>
        <u/>
        <sz val="11"/>
        <rFont val="Calibri"/>
        <family val="2"/>
        <scheme val="minor"/>
      </rPr>
      <t>material hauling truck</t>
    </r>
    <r>
      <rPr>
        <b/>
        <sz val="11"/>
        <rFont val="Calibri"/>
        <family val="2"/>
        <scheme val="minor"/>
      </rPr>
      <t xml:space="preserve"> travels on </t>
    </r>
    <r>
      <rPr>
        <b/>
        <u/>
        <sz val="11"/>
        <rFont val="Calibri"/>
        <family val="2"/>
        <scheme val="minor"/>
      </rPr>
      <t>unpaved</t>
    </r>
    <r>
      <rPr>
        <b/>
        <sz val="11"/>
        <rFont val="Calibri"/>
        <family val="2"/>
        <scheme val="minor"/>
      </rPr>
      <t xml:space="preserve"> roads (truck enters the facility, receives a load, and then exits).</t>
    </r>
  </si>
  <si>
    <r>
      <t xml:space="preserve">For each </t>
    </r>
    <r>
      <rPr>
        <b/>
        <u/>
        <sz val="11"/>
        <rFont val="Calibri"/>
        <family val="2"/>
        <scheme val="minor"/>
      </rPr>
      <t>screening unit,</t>
    </r>
    <r>
      <rPr>
        <b/>
        <sz val="11"/>
        <rFont val="Calibri"/>
        <family val="2"/>
        <scheme val="minor"/>
      </rPr>
      <t xml:space="preserve"> enter the average 'round trip' distance a </t>
    </r>
    <r>
      <rPr>
        <b/>
        <u/>
        <sz val="11"/>
        <rFont val="Calibri"/>
        <family val="2"/>
        <scheme val="minor"/>
      </rPr>
      <t>front-end loader</t>
    </r>
    <r>
      <rPr>
        <b/>
        <sz val="11"/>
        <rFont val="Calibri"/>
        <family val="2"/>
        <scheme val="minor"/>
      </rPr>
      <t xml:space="preserve"> travels on </t>
    </r>
    <r>
      <rPr>
        <b/>
        <u/>
        <sz val="11"/>
        <rFont val="Calibri"/>
        <family val="2"/>
        <scheme val="minor"/>
      </rPr>
      <t>unpaved</t>
    </r>
    <r>
      <rPr>
        <b/>
        <sz val="11"/>
        <rFont val="Calibri"/>
        <family val="2"/>
        <scheme val="minor"/>
      </rPr>
      <t xml:space="preserve"> roads (between the plant feeders/conveyors and storage piles).</t>
    </r>
  </si>
  <si>
    <r>
      <t xml:space="preserve">For each </t>
    </r>
    <r>
      <rPr>
        <b/>
        <u/>
        <sz val="11"/>
        <rFont val="Calibri"/>
        <family val="2"/>
        <scheme val="minor"/>
      </rPr>
      <t>screening unit,</t>
    </r>
    <r>
      <rPr>
        <b/>
        <sz val="11"/>
        <rFont val="Calibri"/>
        <family val="2"/>
        <scheme val="minor"/>
      </rPr>
      <t xml:space="preserve"> enter the average 'round trip' distance a </t>
    </r>
    <r>
      <rPr>
        <b/>
        <u/>
        <sz val="11"/>
        <rFont val="Calibri"/>
        <family val="2"/>
        <scheme val="minor"/>
      </rPr>
      <t>front-end loader</t>
    </r>
    <r>
      <rPr>
        <b/>
        <sz val="11"/>
        <rFont val="Calibri"/>
        <family val="2"/>
        <scheme val="minor"/>
      </rPr>
      <t xml:space="preserve"> travels on </t>
    </r>
    <r>
      <rPr>
        <b/>
        <u/>
        <sz val="11"/>
        <rFont val="Calibri"/>
        <family val="2"/>
        <scheme val="minor"/>
      </rPr>
      <t>paved</t>
    </r>
    <r>
      <rPr>
        <b/>
        <sz val="11"/>
        <rFont val="Calibri"/>
        <family val="2"/>
        <scheme val="minor"/>
      </rPr>
      <t xml:space="preserve"> roads (between the plant feeders/conveyors and storage piles).</t>
    </r>
  </si>
  <si>
    <r>
      <t xml:space="preserve">For each </t>
    </r>
    <r>
      <rPr>
        <b/>
        <u/>
        <sz val="11"/>
        <rFont val="Calibri"/>
        <family val="2"/>
        <scheme val="minor"/>
      </rPr>
      <t>crushing unit</t>
    </r>
    <r>
      <rPr>
        <b/>
        <sz val="11"/>
        <rFont val="Calibri"/>
        <family val="2"/>
        <scheme val="minor"/>
      </rPr>
      <t xml:space="preserve"> enter the average 'round trip' distance a </t>
    </r>
    <r>
      <rPr>
        <b/>
        <u/>
        <sz val="11"/>
        <rFont val="Calibri"/>
        <family val="2"/>
        <scheme val="minor"/>
      </rPr>
      <t>front end loader</t>
    </r>
    <r>
      <rPr>
        <b/>
        <sz val="11"/>
        <rFont val="Calibri"/>
        <family val="2"/>
        <scheme val="minor"/>
      </rPr>
      <t xml:space="preserve"> travels on </t>
    </r>
    <r>
      <rPr>
        <b/>
        <u/>
        <sz val="11"/>
        <rFont val="Calibri"/>
        <family val="2"/>
        <scheme val="minor"/>
      </rPr>
      <t>paved</t>
    </r>
    <r>
      <rPr>
        <b/>
        <sz val="11"/>
        <rFont val="Calibri"/>
        <family val="2"/>
        <scheme val="minor"/>
      </rPr>
      <t xml:space="preserve"> roads (between the plant and  storage piles).</t>
    </r>
  </si>
  <si>
    <r>
      <t xml:space="preserve">For each </t>
    </r>
    <r>
      <rPr>
        <b/>
        <u/>
        <sz val="11"/>
        <rFont val="Calibri"/>
        <family val="2"/>
        <scheme val="minor"/>
      </rPr>
      <t>crushing unit</t>
    </r>
    <r>
      <rPr>
        <b/>
        <sz val="11"/>
        <rFont val="Calibri"/>
        <family val="2"/>
        <scheme val="minor"/>
      </rPr>
      <t xml:space="preserve"> enter the average 'round trip' distance a </t>
    </r>
    <r>
      <rPr>
        <b/>
        <u/>
        <sz val="11"/>
        <rFont val="Calibri"/>
        <family val="2"/>
        <scheme val="minor"/>
      </rPr>
      <t>front end loader</t>
    </r>
    <r>
      <rPr>
        <b/>
        <sz val="11"/>
        <rFont val="Calibri"/>
        <family val="2"/>
        <scheme val="minor"/>
      </rPr>
      <t xml:space="preserve"> travels 
on </t>
    </r>
    <r>
      <rPr>
        <b/>
        <u/>
        <sz val="11"/>
        <rFont val="Calibri"/>
        <family val="2"/>
        <scheme val="minor"/>
      </rPr>
      <t>unpaved</t>
    </r>
    <r>
      <rPr>
        <b/>
        <sz val="11"/>
        <rFont val="Calibri"/>
        <family val="2"/>
        <scheme val="minor"/>
      </rPr>
      <t xml:space="preserve"> roads (between the plant and storage piles).</t>
    </r>
  </si>
  <si>
    <r>
      <t xml:space="preserve">As shown in the example tables below, both emission units 5-1 and 5-2 (which represent the 20.5 MMBtu/hr boiler), have different emissions associated with them for fuel oil and natural gas operation.  However the boiler cannot run simultaneously on natural gas and fuel oil for 8,760 hours/yr.  For scenarios like this, compare the emission values between the two emission unit #'s associated with a single emission point, and replace the lowest emission value for each pollutant with a zero (0).  This will ensure that a true maximum potential to emit for your facility is calculated, and that you are not penalized for emissions from mutually-exclusive operating scenarios.  Repeat this process for any other emission units with mutually-exclusive operating scenarios.  
The first example table shows the cells (highlighted in </t>
    </r>
    <r>
      <rPr>
        <b/>
        <u/>
        <sz val="11"/>
        <rFont val="Calibri"/>
        <family val="2"/>
        <scheme val="minor"/>
      </rPr>
      <t>green</t>
    </r>
    <r>
      <rPr>
        <b/>
        <sz val="11"/>
        <rFont val="Calibri"/>
        <family val="2"/>
        <scheme val="minor"/>
      </rPr>
      <t xml:space="preserve">) with the lower emission values for the respective pollutant between the two operating scenarios (natural gas and fuel oil).  The second example table shows those lower values having been replaced with zeros.  Cells highlighted in </t>
    </r>
    <r>
      <rPr>
        <b/>
        <u/>
        <sz val="11"/>
        <rFont val="Calibri"/>
        <family val="2"/>
        <scheme val="minor"/>
      </rPr>
      <t>yellow</t>
    </r>
    <r>
      <rPr>
        <b/>
        <sz val="11"/>
        <rFont val="Calibri"/>
        <family val="2"/>
        <scheme val="minor"/>
      </rPr>
      <t xml:space="preserve"> indicate that an emission value must still be entered.</t>
    </r>
  </si>
  <si>
    <r>
      <t xml:space="preserve">To calculate the emissions from your </t>
    </r>
    <r>
      <rPr>
        <u/>
        <sz val="11"/>
        <color theme="1"/>
        <rFont val="Calibri"/>
        <family val="2"/>
        <scheme val="minor"/>
      </rPr>
      <t>screening unit(s)</t>
    </r>
    <r>
      <rPr>
        <sz val="11"/>
        <color theme="1"/>
        <rFont val="Calibri"/>
        <family val="2"/>
        <scheme val="minor"/>
      </rPr>
      <t xml:space="preserve">, enter the throughput capacity for each screener in the space provided in units of </t>
    </r>
    <r>
      <rPr>
        <u/>
        <sz val="11"/>
        <color theme="1"/>
        <rFont val="Calibri"/>
        <family val="2"/>
        <scheme val="minor"/>
      </rPr>
      <t>'tons per hour'</t>
    </r>
    <r>
      <rPr>
        <sz val="11"/>
        <color theme="1"/>
        <rFont val="Calibri"/>
        <family val="2"/>
        <scheme val="minor"/>
      </rPr>
      <t>.  When entering the screening capacities, please enter them in the same order that you entered the equipment on Table 3-A.</t>
    </r>
  </si>
  <si>
    <r>
      <rPr>
        <b/>
        <u/>
        <sz val="12"/>
        <color theme="1"/>
        <rFont val="Calibri"/>
        <family val="2"/>
        <scheme val="minor"/>
      </rPr>
      <t>Enter all distances in units of feet</t>
    </r>
    <r>
      <rPr>
        <b/>
        <sz val="12"/>
        <color theme="1"/>
        <rFont val="Calibri"/>
        <family val="2"/>
        <scheme val="minor"/>
      </rPr>
      <t>, but do not include any labels in the boxes.</t>
    </r>
  </si>
  <si>
    <t>Default Concrete Composition (4000 psi mix)</t>
  </si>
  <si>
    <r>
      <t>yd</t>
    </r>
    <r>
      <rPr>
        <vertAlign val="superscript"/>
        <sz val="10"/>
        <color theme="1"/>
        <rFont val="Arial"/>
        <family val="2"/>
      </rPr>
      <t>3</t>
    </r>
    <r>
      <rPr>
        <sz val="10"/>
        <color theme="1"/>
        <rFont val="Arial"/>
        <family val="2"/>
      </rPr>
      <t xml:space="preserve"> wt.</t>
    </r>
  </si>
  <si>
    <t>percent</t>
  </si>
  <si>
    <t>cement wieght</t>
  </si>
  <si>
    <t>sand 
wieght</t>
  </si>
  <si>
    <t>agg wieght</t>
  </si>
  <si>
    <t>water wieght</t>
  </si>
  <si>
    <t>Unloading of Aggregate</t>
  </si>
  <si>
    <t>Sand Transfer Process</t>
  </si>
  <si>
    <t>Convey Aggregate to Storage</t>
  </si>
  <si>
    <t>Convey Sand to Storage</t>
  </si>
  <si>
    <t>Pneumatic X-fer Cement to Silo</t>
  </si>
  <si>
    <t>Weigh Hopper Loading Cement/Sand/Agg</t>
  </si>
  <si>
    <t>Central Mix Plant - Truck Loading</t>
  </si>
  <si>
    <t>Transit Mix Plant - Truck Loading</t>
  </si>
  <si>
    <t>Pneumatic Xfer Cement Supplement</t>
  </si>
  <si>
    <t>Concrete - Paved</t>
  </si>
  <si>
    <t>Concrete - Unpaved</t>
  </si>
  <si>
    <t>Crushing - Paved</t>
  </si>
  <si>
    <t>Crushing - Unpaved</t>
  </si>
  <si>
    <t>Screening - Paved</t>
  </si>
  <si>
    <t>Screening - Unpaved</t>
  </si>
  <si>
    <t>Raw Material - Paved</t>
  </si>
  <si>
    <t>Raw Material - Unpaved</t>
  </si>
  <si>
    <t>i.</t>
  </si>
  <si>
    <t>j.</t>
  </si>
  <si>
    <t>k.</t>
  </si>
  <si>
    <t>l.</t>
  </si>
  <si>
    <r>
      <t xml:space="preserve">Provide the average </t>
    </r>
    <r>
      <rPr>
        <b/>
        <u/>
        <sz val="11"/>
        <rFont val="Calibri"/>
        <family val="2"/>
        <scheme val="minor"/>
      </rPr>
      <t>hauling capacity</t>
    </r>
    <r>
      <rPr>
        <b/>
        <sz val="11"/>
        <rFont val="Calibri"/>
        <family val="2"/>
        <scheme val="minor"/>
      </rPr>
      <t xml:space="preserve"> of all </t>
    </r>
    <r>
      <rPr>
        <b/>
        <u/>
        <sz val="11"/>
        <rFont val="Calibri"/>
        <family val="2"/>
        <scheme val="minor"/>
      </rPr>
      <t>sand/aggregate delivery trucks</t>
    </r>
    <r>
      <rPr>
        <b/>
        <sz val="11"/>
        <rFont val="Calibri"/>
        <family val="2"/>
        <scheme val="minor"/>
      </rPr>
      <t xml:space="preserve"> (in tons):</t>
    </r>
  </si>
  <si>
    <r>
      <t xml:space="preserve">Provide the average </t>
    </r>
    <r>
      <rPr>
        <b/>
        <u/>
        <sz val="11"/>
        <rFont val="Calibri"/>
        <family val="2"/>
        <scheme val="minor"/>
      </rPr>
      <t>empty</t>
    </r>
    <r>
      <rPr>
        <b/>
        <sz val="11"/>
        <rFont val="Calibri"/>
        <family val="2"/>
        <scheme val="minor"/>
      </rPr>
      <t xml:space="preserve"> weight of all </t>
    </r>
    <r>
      <rPr>
        <b/>
        <u/>
        <sz val="11"/>
        <rFont val="Calibri"/>
        <family val="2"/>
        <scheme val="minor"/>
      </rPr>
      <t>sand/aggregate delivery trucks</t>
    </r>
    <r>
      <rPr>
        <b/>
        <sz val="11"/>
        <rFont val="Calibri"/>
        <family val="2"/>
        <scheme val="minor"/>
      </rPr>
      <t xml:space="preserve"> (in tons):</t>
    </r>
  </si>
  <si>
    <t>If your facility does not have one of the road types (paved or unpaved), enter a zero (0) for the distance traveled on that type of road, as well as zeros for the hauling capacity and truck weight.</t>
  </si>
  <si>
    <t>If you receive sand/aggregate by rail, or receive cement by rail, then enter a zero (0) for the distance traveled by that type of truck, as well as zeros for the hauling capacity and truck weight.</t>
  </si>
  <si>
    <t>If you do not use a front end loader to transfer material to your batch plant, enter a zero (0) for the distance traveled by loaders, as well as for the hauling capacity and weight.</t>
  </si>
  <si>
    <t>Cement - Paved</t>
  </si>
  <si>
    <t>Cement - Unpaved</t>
  </si>
  <si>
    <r>
      <t>Truck PM</t>
    </r>
    <r>
      <rPr>
        <b/>
        <vertAlign val="subscript"/>
        <sz val="11"/>
        <color theme="1"/>
        <rFont val="Calibri"/>
        <family val="2"/>
        <scheme val="minor"/>
      </rPr>
      <t>10</t>
    </r>
    <r>
      <rPr>
        <b/>
        <sz val="11"/>
        <color theme="1"/>
        <rFont val="Calibri"/>
        <family val="2"/>
        <scheme val="minor"/>
      </rPr>
      <t xml:space="preserve"> Emission Totals</t>
    </r>
  </si>
  <si>
    <r>
      <t>Loader PM</t>
    </r>
    <r>
      <rPr>
        <b/>
        <vertAlign val="subscript"/>
        <sz val="11"/>
        <color theme="1"/>
        <rFont val="Calibri"/>
        <family val="2"/>
        <scheme val="minor"/>
      </rPr>
      <t>10</t>
    </r>
    <r>
      <rPr>
        <b/>
        <sz val="11"/>
        <color theme="1"/>
        <rFont val="Calibri"/>
        <family val="2"/>
        <scheme val="minor"/>
      </rPr>
      <t xml:space="preserve"> Emission Totals</t>
    </r>
  </si>
  <si>
    <r>
      <t>Truck PM</t>
    </r>
    <r>
      <rPr>
        <b/>
        <vertAlign val="subscript"/>
        <sz val="11"/>
        <color theme="1"/>
        <rFont val="Calibri"/>
        <family val="2"/>
        <scheme val="minor"/>
      </rPr>
      <t>2.5</t>
    </r>
    <r>
      <rPr>
        <b/>
        <sz val="11"/>
        <color theme="1"/>
        <rFont val="Calibri"/>
        <family val="2"/>
        <scheme val="minor"/>
      </rPr>
      <t xml:space="preserve"> Emission Totals</t>
    </r>
  </si>
  <si>
    <r>
      <t>Loader PM</t>
    </r>
    <r>
      <rPr>
        <b/>
        <vertAlign val="subscript"/>
        <sz val="11"/>
        <color theme="1"/>
        <rFont val="Calibri"/>
        <family val="2"/>
        <scheme val="minor"/>
      </rPr>
      <t>2.5</t>
    </r>
    <r>
      <rPr>
        <b/>
        <sz val="11"/>
        <color theme="1"/>
        <rFont val="Calibri"/>
        <family val="2"/>
        <scheme val="minor"/>
      </rPr>
      <t xml:space="preserve"> Emission Totals</t>
    </r>
  </si>
  <si>
    <t>PAVED</t>
  </si>
  <si>
    <t>UNPAVED</t>
  </si>
  <si>
    <r>
      <rPr>
        <b/>
        <u/>
        <sz val="12"/>
        <color theme="1"/>
        <rFont val="Calibri"/>
        <family val="2"/>
        <scheme val="minor"/>
      </rPr>
      <t>Enter all distances in units of feet,</t>
    </r>
    <r>
      <rPr>
        <b/>
        <sz val="12"/>
        <color theme="1"/>
        <rFont val="Calibri"/>
        <family val="2"/>
        <scheme val="minor"/>
      </rPr>
      <t xml:space="preserve"> but do not include any labels in the boxes.</t>
    </r>
  </si>
  <si>
    <t>PM10</t>
  </si>
  <si>
    <t>PM2.5</t>
  </si>
  <si>
    <t>CO2e</t>
  </si>
  <si>
    <t>Ind. HAP</t>
  </si>
  <si>
    <t>Tot. HAP</t>
  </si>
  <si>
    <t>Reclaim/Aggregate Transfer Process</t>
  </si>
  <si>
    <t>Trucks-&gt;</t>
  </si>
  <si>
    <t>Loaders-&gt;</t>
  </si>
  <si>
    <t>NOTE:  If your plant utilizes a Baghouse, then in the table below, select "Fabric Filter".</t>
  </si>
  <si>
    <r>
      <t xml:space="preserve">To calculate the emissions from your facility's storage piles, enter the </t>
    </r>
    <r>
      <rPr>
        <b/>
        <u/>
        <sz val="11"/>
        <rFont val="Calibri"/>
        <family val="2"/>
        <scheme val="minor"/>
      </rPr>
      <t>combined</t>
    </r>
    <r>
      <rPr>
        <b/>
        <sz val="11"/>
        <rFont val="Calibri"/>
        <family val="2"/>
        <scheme val="minor"/>
      </rPr>
      <t xml:space="preserve"> square feet of storage piles, on average, for </t>
    </r>
    <r>
      <rPr>
        <b/>
        <u/>
        <sz val="12"/>
        <color rgb="FFFF0000"/>
        <rFont val="Calibri"/>
        <family val="2"/>
        <scheme val="minor"/>
      </rPr>
      <t>ALL</t>
    </r>
    <r>
      <rPr>
        <b/>
        <sz val="11"/>
        <rFont val="Calibri"/>
        <family val="2"/>
        <scheme val="minor"/>
      </rPr>
      <t xml:space="preserve"> material storage at your facility, including any reclaimed material storage (if any).</t>
    </r>
  </si>
  <si>
    <t>Instructions for Section 5 - Table 5-B:  Maximum Potential to Emit (MPTE) - Regulated Air Pollutant Emissions from Crushing &amp; Screening Units</t>
  </si>
  <si>
    <t>Haul Road Emission Totals for Concrete Batch Plant(s)</t>
  </si>
  <si>
    <t>Haul Road Emission Totals for Crushing &amp; Screening</t>
  </si>
  <si>
    <t>Conbined Totals (tons)</t>
  </si>
  <si>
    <t>Combined Totals (lbs)</t>
  </si>
  <si>
    <t>Primary Totals (lbs)</t>
  </si>
  <si>
    <t>Reclaim Totals (lbs)</t>
  </si>
  <si>
    <t xml:space="preserve">For 'Hourly Process Rate' (Column C), enter the maximum hourly processing/throughput rate for the associated emission unit.  As shown in the example table, when entering the Hourly Process Rate, do not round any further than the 4th decimal place.  In Column F, the maximum annual throughput rate will be calculated automatically by multiplying the hourly rate that you provide by 8,760 hours/year. </t>
  </si>
  <si>
    <t>The emission unit numbers and SCC codes entered on Table 3-A have been automatically imported into Table 5-A.  Proceed to the following instructions to complete emission calculations for your facility.</t>
  </si>
  <si>
    <t>Continue entering data in a similar manner as prescribed.  Information entered in this table will be used to populate data in Table 5-E of this application.</t>
  </si>
  <si>
    <t>The emission unit numbers and SCC codes entered on Table 3-A have been automatically imported into Table 5-B.  Proceed to the following instructions to complete emission calculations for your facility.</t>
  </si>
  <si>
    <t>VMT/yr</t>
  </si>
  <si>
    <t>Continue entering data in a similar manner as prescribed.  Information entered in this table will be used to populate data in Table 7-E of this application.</t>
  </si>
  <si>
    <t>As seen in the Table 6-A below, the emission unit numbers and SCC codes entered on Table 3-A have been automatically imported.  In addition, the calculated maximum annual throughput rates and throughput units from Tables 5-A and 5-B have been imported as well.</t>
  </si>
  <si>
    <t>In Columns D and F, the maximum annual throughput calculated in Tables 5-A and 5-B, as well as the throughput units, have been imported so that you can easily compare the maximum throughput to a throughput limit, should you choose to accept one.</t>
  </si>
  <si>
    <r>
      <t xml:space="preserve">To calculate the emissions from your </t>
    </r>
    <r>
      <rPr>
        <u/>
        <sz val="11"/>
        <color theme="1"/>
        <rFont val="Calibri"/>
        <family val="2"/>
        <scheme val="minor"/>
      </rPr>
      <t>crushing unit(s)</t>
    </r>
    <r>
      <rPr>
        <sz val="11"/>
        <color theme="1"/>
        <rFont val="Calibri"/>
        <family val="2"/>
        <scheme val="minor"/>
      </rPr>
      <t xml:space="preserve">, enter the throughput capacity for each crusher in the space provided in units of </t>
    </r>
    <r>
      <rPr>
        <u/>
        <sz val="11"/>
        <color theme="1"/>
        <rFont val="Calibri"/>
        <family val="2"/>
        <scheme val="minor"/>
      </rPr>
      <t>'tons per hour'</t>
    </r>
    <r>
      <rPr>
        <sz val="11"/>
        <color theme="1"/>
        <rFont val="Calibri"/>
        <family val="2"/>
        <scheme val="minor"/>
      </rPr>
      <t>.  When entering the crushing capacities, please enter them in the same order that you entered the equipment on Table 3-A.</t>
    </r>
  </si>
  <si>
    <t>Instructions for Section 7 - Table 7-B:  Facility-Wide APTE - Regulated Air Pollutant Emissions from Crushing &amp; Screening Units</t>
  </si>
  <si>
    <r>
      <t xml:space="preserve">Table 5-B:  MPTE </t>
    </r>
    <r>
      <rPr>
        <b/>
        <sz val="11"/>
        <color theme="1"/>
        <rFont val="Calibri"/>
        <family val="2"/>
      </rPr>
      <t>–</t>
    </r>
    <r>
      <rPr>
        <b/>
        <sz val="11"/>
        <color theme="1"/>
        <rFont val="Arial"/>
        <family val="2"/>
      </rPr>
      <t xml:space="preserve"> Regulated Air Pollutant Emissions from Rock / Concrete / Asphalt Crushing &amp; Screening Units</t>
    </r>
  </si>
  <si>
    <t>VMT=</t>
  </si>
  <si>
    <t xml:space="preserve">VMT = </t>
  </si>
  <si>
    <r>
      <t xml:space="preserve">Table 7-B:  APTE </t>
    </r>
    <r>
      <rPr>
        <b/>
        <sz val="11"/>
        <color theme="1"/>
        <rFont val="Calibri"/>
        <family val="2"/>
      </rPr>
      <t>–</t>
    </r>
    <r>
      <rPr>
        <b/>
        <sz val="11"/>
        <color theme="1"/>
        <rFont val="Arial"/>
        <family val="2"/>
      </rPr>
      <t xml:space="preserve"> Regulated Air Pollutant Emissions from Rock / Concrete / Asphalt Crushing &amp; Screening Units</t>
    </r>
  </si>
  <si>
    <r>
      <t xml:space="preserve">Table 7-D:  APTE </t>
    </r>
    <r>
      <rPr>
        <b/>
        <sz val="11"/>
        <color theme="1"/>
        <rFont val="Calibri"/>
        <family val="2"/>
      </rPr>
      <t>–</t>
    </r>
    <r>
      <rPr>
        <b/>
        <sz val="11"/>
        <color theme="1"/>
        <rFont val="Arial"/>
        <family val="2"/>
      </rPr>
      <t xml:space="preserve"> HAP Emissions from HAP-Containing Materials</t>
    </r>
  </si>
  <si>
    <r>
      <t xml:space="preserve">Table 7-C:  APTE </t>
    </r>
    <r>
      <rPr>
        <b/>
        <sz val="11"/>
        <color theme="1"/>
        <rFont val="Calibri"/>
        <family val="2"/>
      </rPr>
      <t>–</t>
    </r>
    <r>
      <rPr>
        <b/>
        <sz val="11"/>
        <color theme="1"/>
        <rFont val="Arial"/>
        <family val="2"/>
      </rPr>
      <t xml:space="preserve"> VOC Emissions from VOC-Containing Materials</t>
    </r>
  </si>
  <si>
    <t>Table 7-E:  Actual Potential to Emit and Operating / Construction Permit Thresholds</t>
  </si>
  <si>
    <t>Instructions for Section 5 - Table 5-E:  Maximum Potential to Emit and Construction Permit Thresholds</t>
  </si>
  <si>
    <t>Table 5-E:  Maximum Potential to Emit and Operating / Construction Permit Thresholds</t>
  </si>
  <si>
    <t>Instructions for Section 5 - Table 5-D:  Maximum Potential to Emit (MPTE) - HAP Emissions from HAP-Containing Materials</t>
  </si>
  <si>
    <t>Table 5-D:  MPTE - HAP Emissions from HAP-Containing Materials</t>
  </si>
  <si>
    <t>For each HAP-containing material used in the new/modified/reconstructed emission units, enter the requested information in Table 5-D in the manner shown in the example table below.  Do not include HAP emissions from materials that are used in an 'Insignificant Activity', as prescribed in the Instructions for Section 4.</t>
  </si>
  <si>
    <t>Instructions for Section 5 - Table 5-C:  Maximum Potential to Emit (MPTE) - VOC Emissions from VOC-Containing Materials</t>
  </si>
  <si>
    <t>For each VOC-containing material used at your source, enter the requested information in Table 5-C in the manner shown in the example table below.  Do not include VOC emissions from materials that are used in an 'Insignificant Activity', as prescribed in the Instructions for Section 4.</t>
  </si>
  <si>
    <r>
      <t xml:space="preserve">Table 5-C:  MPTE </t>
    </r>
    <r>
      <rPr>
        <b/>
        <sz val="11"/>
        <color theme="1"/>
        <rFont val="Calibri"/>
        <family val="2"/>
      </rPr>
      <t>–</t>
    </r>
    <r>
      <rPr>
        <b/>
        <sz val="11"/>
        <color theme="1"/>
        <rFont val="Arial"/>
        <family val="2"/>
      </rPr>
      <t xml:space="preserve"> VOC Emissions from VOC-Containing Materials</t>
    </r>
  </si>
  <si>
    <t>Instructions for Section 7 - Table 7-C:  Facility-Wide APTE - VOC Emissions from VOC-Containing Materials</t>
  </si>
  <si>
    <t>Instructions for Section 7 - Table 7-D:  Facility Wide APTE - HAP Emissions from HAP-Containing Materials</t>
  </si>
  <si>
    <t>Please review the information presented in Table 7-D for accuracy.  If you find errors or inconsistent data, please contact the Department for assistance.</t>
  </si>
  <si>
    <t>Instructions for Section 7 - Table 7-E:  Actual Potential to Emit and Construction Permit Thresholds</t>
  </si>
  <si>
    <t xml:space="preserve">Table 7-E does not require any user inputs.  This table serves to compare your facility's actual potential to emit (APTE) to the operating permit thresholds established in the LLCAPCPRS.  </t>
  </si>
  <si>
    <t>Asphalt Batch Plant Emission Units</t>
  </si>
  <si>
    <t>Does your facility have any stationary engines are are associated with your batch plant or
any crushing/screening machine(s)?  If so, how many?..........................................................       Yes              No</t>
  </si>
  <si>
    <t>How many  asphalt plants are you applying to permit?</t>
  </si>
  <si>
    <t>Drum Dryer/Mixer SCC</t>
  </si>
  <si>
    <t>Batch Mix Plant</t>
  </si>
  <si>
    <t>Drum Mix Plant</t>
  </si>
  <si>
    <t>If drum mix, flow direction</t>
  </si>
  <si>
    <t>Parallel Flow</t>
  </si>
  <si>
    <t>Counter Flow</t>
  </si>
  <si>
    <t>#2 Fuel Oil</t>
  </si>
  <si>
    <t>Asphalt Oil Heater Type</t>
  </si>
  <si>
    <t># List</t>
  </si>
  <si>
    <t>Oil Heater SCC</t>
  </si>
  <si>
    <t>Material Storage Pile Emission Units</t>
  </si>
  <si>
    <t>LPG</t>
  </si>
  <si>
    <t>Waste Oil</t>
  </si>
  <si>
    <t>Batch Mix - Natural Gas</t>
  </si>
  <si>
    <t>Batch Mix - #2 Oil</t>
  </si>
  <si>
    <t>Batch Mix - #6 Oil</t>
  </si>
  <si>
    <t>Drum - Parallel Flow - #6 Oil</t>
  </si>
  <si>
    <t>Drum - Counter Flow - #6 Oil</t>
  </si>
  <si>
    <t>Drum - Parallel Flow - Nat Gas</t>
  </si>
  <si>
    <t>Drum - Counter Flow - Nat Gas</t>
  </si>
  <si>
    <t>Drum - Parallel Flow - #2 Oil</t>
  </si>
  <si>
    <t>Drum - Counter Flow - #2 Oil</t>
  </si>
  <si>
    <t>Oil Heater - Nat Gas</t>
  </si>
  <si>
    <t>Oil Heater - #2/Distillate</t>
  </si>
  <si>
    <t>Oil Heater - LPG/Propane</t>
  </si>
  <si>
    <t>Storage Silo Filling</t>
  </si>
  <si>
    <t>Hot Mix Loadout - Silo to Truck</t>
  </si>
  <si>
    <t>Yard: Asphalt in Truck Beds</t>
  </si>
  <si>
    <t>Oil heater emission factors derived from space heaters and boilers.</t>
  </si>
  <si>
    <t>ton wt.</t>
  </si>
  <si>
    <t>asphalt weight</t>
  </si>
  <si>
    <t>mineral filler 
weight</t>
  </si>
  <si>
    <t>RAP/agg weight</t>
  </si>
  <si>
    <t>water weight</t>
  </si>
  <si>
    <t>Do you have any screening machines not associated with any crusher(s)? (stand-alone)  
If so, how many ....................................................................................................................       Yes             No</t>
  </si>
  <si>
    <t>Truck Unloading of Raw Materials</t>
  </si>
  <si>
    <t>Transfer Raw Materials to Storage Piles</t>
  </si>
  <si>
    <t>Transfer Sand/Gravel/Aggregate to Feeder</t>
  </si>
  <si>
    <t>Feeder Loading of Sand/Gravel/Aggregate</t>
  </si>
  <si>
    <t>Conveying of Sand/Gravel/Aggregate</t>
  </si>
  <si>
    <t>Sand/Gravel/Aggregate Scalping Screen</t>
  </si>
  <si>
    <t xml:space="preserve">Identify what type of plant this is: </t>
  </si>
  <si>
    <t>What type of fuel does your asphalt oil heater burn?</t>
  </si>
  <si>
    <t xml:space="preserve">                    Yes             No</t>
  </si>
  <si>
    <t>Asphaltic Oil Heater</t>
  </si>
  <si>
    <t>Plant Type (concatenated)</t>
  </si>
  <si>
    <t>Fugitive PM</t>
  </si>
  <si>
    <t>Fugitive PM, VOC, CO, HAP</t>
  </si>
  <si>
    <t>Fugitive VOC, CO, HAP</t>
  </si>
  <si>
    <t>Hot Mix Load-Out - Silo to Truck</t>
  </si>
  <si>
    <t>Yard Emissions: Asphalt in Truck Beds</t>
  </si>
  <si>
    <t>In the space provided to the right, enter the name or number designation you use to identify this plant.</t>
  </si>
  <si>
    <t>Please answer the following questions.</t>
  </si>
  <si>
    <t>Provide the information requested below.</t>
  </si>
  <si>
    <t>Paved Haul Roads - Truck Traffic</t>
  </si>
  <si>
    <t>Paved Haul Roads - Loader Traffic</t>
  </si>
  <si>
    <t>Unpaved Haul Roads - Truck Traffic</t>
  </si>
  <si>
    <t>Unpaved Haul Roads - Loader Traffic</t>
  </si>
  <si>
    <t>Does this crusher have a sizing screen following the primary crusher?</t>
  </si>
  <si>
    <t xml:space="preserve">If material is too large following the primary crushing, is oversized material returned back to the primary crusher? </t>
  </si>
  <si>
    <t>Is crushed material stockpiled on-site?</t>
  </si>
  <si>
    <t>Is crushed material trucked off-site?</t>
  </si>
  <si>
    <t>Do you have any rock, concrete, or asphalt crushing machines are you applying
to permit?  If so, how many?.................................................................................................       Yes             No</t>
  </si>
  <si>
    <r>
      <t xml:space="preserve">To calculate the emissions from your </t>
    </r>
    <r>
      <rPr>
        <b/>
        <u/>
        <sz val="11"/>
        <rFont val="Calibri"/>
        <family val="2"/>
        <scheme val="minor"/>
      </rPr>
      <t>asphalt plant(s)</t>
    </r>
    <r>
      <rPr>
        <b/>
        <sz val="11"/>
        <rFont val="Calibri"/>
        <family val="2"/>
        <scheme val="minor"/>
      </rPr>
      <t xml:space="preserve">, enter the throughput capacity for each plant in the space provided in units of </t>
    </r>
    <r>
      <rPr>
        <b/>
        <u/>
        <sz val="11"/>
        <rFont val="Calibri"/>
        <family val="2"/>
        <scheme val="minor"/>
      </rPr>
      <t>'tons per hour'</t>
    </r>
    <r>
      <rPr>
        <b/>
        <sz val="11"/>
        <rFont val="Calibri"/>
        <family val="2"/>
        <scheme val="minor"/>
      </rPr>
      <t>.  When entering the throughput capacities, please enter them in the same order that you entered the equipment on Table 3-A.</t>
    </r>
  </si>
  <si>
    <t>To calculate the emissions from your stationary engines, enter the maximum hourly fuel use rate for each engine in the space provided.  For diesel-fired or gasoline-fired engines, enter the fuel througput rate in units of 'gallons per hour'.  For natural-gas fired engines, enter fuel use in units of 'cubic feet per hour'.</t>
  </si>
  <si>
    <r>
      <t xml:space="preserve">For each </t>
    </r>
    <r>
      <rPr>
        <b/>
        <u/>
        <sz val="11"/>
        <rFont val="Calibri"/>
        <family val="2"/>
        <scheme val="minor"/>
      </rPr>
      <t>asphalt plant</t>
    </r>
    <r>
      <rPr>
        <b/>
        <sz val="11"/>
        <rFont val="Calibri"/>
        <family val="2"/>
        <scheme val="minor"/>
      </rPr>
      <t xml:space="preserve"> enter the average 'round trip' distance a </t>
    </r>
    <r>
      <rPr>
        <b/>
        <u/>
        <sz val="11"/>
        <rFont val="Calibri"/>
        <family val="2"/>
        <scheme val="minor"/>
      </rPr>
      <t>asphalt truck</t>
    </r>
    <r>
      <rPr>
        <b/>
        <sz val="11"/>
        <rFont val="Calibri"/>
        <family val="2"/>
        <scheme val="minor"/>
      </rPr>
      <t xml:space="preserve"> travels on </t>
    </r>
    <r>
      <rPr>
        <b/>
        <u/>
        <sz val="11"/>
        <rFont val="Calibri"/>
        <family val="2"/>
        <scheme val="minor"/>
      </rPr>
      <t>paved</t>
    </r>
    <r>
      <rPr>
        <b/>
        <sz val="11"/>
        <rFont val="Calibri"/>
        <family val="2"/>
        <scheme val="minor"/>
      </rPr>
      <t xml:space="preserve"> roads (truck enters the facility, receives a load, and then exits).</t>
    </r>
  </si>
  <si>
    <r>
      <t xml:space="preserve">For each </t>
    </r>
    <r>
      <rPr>
        <b/>
        <u/>
        <sz val="11"/>
        <rFont val="Calibri"/>
        <family val="2"/>
        <scheme val="minor"/>
      </rPr>
      <t>asphalt batch plant</t>
    </r>
    <r>
      <rPr>
        <b/>
        <sz val="11"/>
        <rFont val="Calibri"/>
        <family val="2"/>
        <scheme val="minor"/>
      </rPr>
      <t xml:space="preserve"> enter the average 'round trip' distance a </t>
    </r>
    <r>
      <rPr>
        <b/>
        <u/>
        <sz val="11"/>
        <rFont val="Calibri"/>
        <family val="2"/>
        <scheme val="minor"/>
      </rPr>
      <t>asphalt truck</t>
    </r>
    <r>
      <rPr>
        <b/>
        <sz val="11"/>
        <rFont val="Calibri"/>
        <family val="2"/>
        <scheme val="minor"/>
      </rPr>
      <t xml:space="preserve"> travels on </t>
    </r>
    <r>
      <rPr>
        <b/>
        <u/>
        <sz val="11"/>
        <rFont val="Calibri"/>
        <family val="2"/>
        <scheme val="minor"/>
      </rPr>
      <t>unpaved</t>
    </r>
    <r>
      <rPr>
        <b/>
        <sz val="11"/>
        <rFont val="Calibri"/>
        <family val="2"/>
        <scheme val="minor"/>
      </rPr>
      <t xml:space="preserve"> roads (truck enters the facility, receives a load, and then exits).</t>
    </r>
  </si>
  <si>
    <r>
      <t xml:space="preserve">Provide the average </t>
    </r>
    <r>
      <rPr>
        <b/>
        <u/>
        <sz val="11"/>
        <rFont val="Calibri"/>
        <family val="2"/>
        <scheme val="minor"/>
      </rPr>
      <t>empty</t>
    </r>
    <r>
      <rPr>
        <b/>
        <sz val="11"/>
        <rFont val="Calibri"/>
        <family val="2"/>
        <scheme val="minor"/>
      </rPr>
      <t xml:space="preserve"> weight of all </t>
    </r>
    <r>
      <rPr>
        <b/>
        <u/>
        <sz val="11"/>
        <rFont val="Calibri"/>
        <family val="2"/>
        <scheme val="minor"/>
      </rPr>
      <t>asphalt trucks</t>
    </r>
    <r>
      <rPr>
        <b/>
        <sz val="11"/>
        <rFont val="Calibri"/>
        <family val="2"/>
        <scheme val="minor"/>
      </rPr>
      <t xml:space="preserve"> (in tons):</t>
    </r>
  </si>
  <si>
    <r>
      <t xml:space="preserve">For each </t>
    </r>
    <r>
      <rPr>
        <b/>
        <u/>
        <sz val="11"/>
        <rFont val="Calibri"/>
        <family val="2"/>
        <scheme val="minor"/>
      </rPr>
      <t>asphalt plant</t>
    </r>
    <r>
      <rPr>
        <b/>
        <sz val="11"/>
        <rFont val="Calibri"/>
        <family val="2"/>
        <scheme val="minor"/>
      </rPr>
      <t xml:space="preserve"> enter the average 'round trip' distance a </t>
    </r>
    <r>
      <rPr>
        <b/>
        <u/>
        <sz val="11"/>
        <rFont val="Calibri"/>
        <family val="2"/>
        <scheme val="minor"/>
      </rPr>
      <t>asphalt oil delivery truck</t>
    </r>
    <r>
      <rPr>
        <b/>
        <sz val="11"/>
        <rFont val="Calibri"/>
        <family val="2"/>
        <scheme val="minor"/>
      </rPr>
      <t xml:space="preserve"> travels on </t>
    </r>
    <r>
      <rPr>
        <b/>
        <u/>
        <sz val="11"/>
        <rFont val="Calibri"/>
        <family val="2"/>
        <scheme val="minor"/>
      </rPr>
      <t>paved</t>
    </r>
    <r>
      <rPr>
        <b/>
        <sz val="11"/>
        <rFont val="Calibri"/>
        <family val="2"/>
        <scheme val="minor"/>
      </rPr>
      <t xml:space="preserve"> roads (truck enters the facility, delivers a load, and then exits).</t>
    </r>
  </si>
  <si>
    <r>
      <t xml:space="preserve">Provide the average </t>
    </r>
    <r>
      <rPr>
        <b/>
        <u/>
        <sz val="11"/>
        <rFont val="Calibri"/>
        <family val="2"/>
        <scheme val="minor"/>
      </rPr>
      <t>hauling capacity</t>
    </r>
    <r>
      <rPr>
        <b/>
        <sz val="11"/>
        <rFont val="Calibri"/>
        <family val="2"/>
        <scheme val="minor"/>
      </rPr>
      <t xml:space="preserve"> of all </t>
    </r>
    <r>
      <rPr>
        <b/>
        <u/>
        <sz val="11"/>
        <rFont val="Calibri"/>
        <family val="2"/>
        <scheme val="minor"/>
      </rPr>
      <t>asphalt oil delivery trucks</t>
    </r>
    <r>
      <rPr>
        <b/>
        <sz val="11"/>
        <rFont val="Calibri"/>
        <family val="2"/>
        <scheme val="minor"/>
      </rPr>
      <t xml:space="preserve"> (in tons):</t>
    </r>
  </si>
  <si>
    <r>
      <t xml:space="preserve">Provide the average </t>
    </r>
    <r>
      <rPr>
        <b/>
        <u/>
        <sz val="11"/>
        <rFont val="Calibri"/>
        <family val="2"/>
        <scheme val="minor"/>
      </rPr>
      <t>empty</t>
    </r>
    <r>
      <rPr>
        <b/>
        <sz val="11"/>
        <rFont val="Calibri"/>
        <family val="2"/>
        <scheme val="minor"/>
      </rPr>
      <t xml:space="preserve"> weight of all </t>
    </r>
    <r>
      <rPr>
        <b/>
        <u/>
        <sz val="11"/>
        <rFont val="Calibri"/>
        <family val="2"/>
        <scheme val="minor"/>
      </rPr>
      <t>asphalt oil delivery trucks</t>
    </r>
    <r>
      <rPr>
        <b/>
        <sz val="11"/>
        <rFont val="Calibri"/>
        <family val="2"/>
        <scheme val="minor"/>
      </rPr>
      <t xml:space="preserve"> (in tons):</t>
    </r>
  </si>
  <si>
    <r>
      <t xml:space="preserve">For each </t>
    </r>
    <r>
      <rPr>
        <b/>
        <u/>
        <sz val="11"/>
        <rFont val="Calibri"/>
        <family val="2"/>
        <scheme val="minor"/>
      </rPr>
      <t>asphalt plant</t>
    </r>
    <r>
      <rPr>
        <b/>
        <sz val="11"/>
        <rFont val="Calibri"/>
        <family val="2"/>
        <scheme val="minor"/>
      </rPr>
      <t xml:space="preserve"> enter the average 'round trip' distance a </t>
    </r>
    <r>
      <rPr>
        <b/>
        <u/>
        <sz val="11"/>
        <rFont val="Calibri"/>
        <family val="2"/>
        <scheme val="minor"/>
      </rPr>
      <t>sand/aggregate delivery truck</t>
    </r>
    <r>
      <rPr>
        <b/>
        <sz val="11"/>
        <rFont val="Calibri"/>
        <family val="2"/>
        <scheme val="minor"/>
      </rPr>
      <t xml:space="preserve"> travels on </t>
    </r>
    <r>
      <rPr>
        <b/>
        <u/>
        <sz val="11"/>
        <rFont val="Calibri"/>
        <family val="2"/>
        <scheme val="minor"/>
      </rPr>
      <t>paved</t>
    </r>
    <r>
      <rPr>
        <b/>
        <sz val="11"/>
        <rFont val="Calibri"/>
        <family val="2"/>
        <scheme val="minor"/>
      </rPr>
      <t xml:space="preserve"> roads (truck enters the facility, delivers a load, and then exits).</t>
    </r>
  </si>
  <si>
    <r>
      <t xml:space="preserve">For each </t>
    </r>
    <r>
      <rPr>
        <b/>
        <u/>
        <sz val="11"/>
        <rFont val="Calibri"/>
        <family val="2"/>
        <scheme val="minor"/>
      </rPr>
      <t>asphalt plant</t>
    </r>
    <r>
      <rPr>
        <b/>
        <sz val="11"/>
        <rFont val="Calibri"/>
        <family val="2"/>
        <scheme val="minor"/>
      </rPr>
      <t xml:space="preserve"> enter the average 'round trip' distance a </t>
    </r>
    <r>
      <rPr>
        <b/>
        <u/>
        <sz val="11"/>
        <rFont val="Calibri"/>
        <family val="2"/>
        <scheme val="minor"/>
      </rPr>
      <t>sand/aggregate delivery truck</t>
    </r>
    <r>
      <rPr>
        <b/>
        <sz val="11"/>
        <rFont val="Calibri"/>
        <family val="2"/>
        <scheme val="minor"/>
      </rPr>
      <t xml:space="preserve"> travels on </t>
    </r>
    <r>
      <rPr>
        <b/>
        <u/>
        <sz val="11"/>
        <rFont val="Calibri"/>
        <family val="2"/>
        <scheme val="minor"/>
      </rPr>
      <t>unpaved</t>
    </r>
    <r>
      <rPr>
        <b/>
        <sz val="11"/>
        <rFont val="Calibri"/>
        <family val="2"/>
        <scheme val="minor"/>
      </rPr>
      <t xml:space="preserve"> roads (truck enters the facility, delivers a load, and then exits).</t>
    </r>
  </si>
  <si>
    <r>
      <t xml:space="preserve">For each </t>
    </r>
    <r>
      <rPr>
        <b/>
        <u/>
        <sz val="11"/>
        <rFont val="Calibri"/>
        <family val="2"/>
        <scheme val="minor"/>
      </rPr>
      <t>asphalt plant</t>
    </r>
    <r>
      <rPr>
        <b/>
        <sz val="11"/>
        <rFont val="Calibri"/>
        <family val="2"/>
        <scheme val="minor"/>
      </rPr>
      <t xml:space="preserve"> enter the average 'round trip' distance a </t>
    </r>
    <r>
      <rPr>
        <b/>
        <u/>
        <sz val="11"/>
        <rFont val="Calibri"/>
        <family val="2"/>
        <scheme val="minor"/>
      </rPr>
      <t>front end loader</t>
    </r>
    <r>
      <rPr>
        <b/>
        <sz val="11"/>
        <rFont val="Calibri"/>
        <family val="2"/>
        <scheme val="minor"/>
      </rPr>
      <t xml:space="preserve"> travels on </t>
    </r>
    <r>
      <rPr>
        <b/>
        <u/>
        <sz val="11"/>
        <rFont val="Calibri"/>
        <family val="2"/>
        <scheme val="minor"/>
      </rPr>
      <t>paved</t>
    </r>
    <r>
      <rPr>
        <b/>
        <sz val="11"/>
        <rFont val="Calibri"/>
        <family val="2"/>
        <scheme val="minor"/>
      </rPr>
      <t xml:space="preserve"> roads (between the plant feeders/conveyors and  storage piles).</t>
    </r>
  </si>
  <si>
    <r>
      <t xml:space="preserve">For each </t>
    </r>
    <r>
      <rPr>
        <b/>
        <u/>
        <sz val="11"/>
        <rFont val="Calibri"/>
        <family val="2"/>
        <scheme val="minor"/>
      </rPr>
      <t>asphalt plant</t>
    </r>
    <r>
      <rPr>
        <b/>
        <sz val="11"/>
        <rFont val="Calibri"/>
        <family val="2"/>
        <scheme val="minor"/>
      </rPr>
      <t xml:space="preserve"> enter the average 'round trip' distance a </t>
    </r>
    <r>
      <rPr>
        <b/>
        <u/>
        <sz val="11"/>
        <rFont val="Calibri"/>
        <family val="2"/>
        <scheme val="minor"/>
      </rPr>
      <t>front end loader</t>
    </r>
    <r>
      <rPr>
        <b/>
        <sz val="11"/>
        <rFont val="Calibri"/>
        <family val="2"/>
        <scheme val="minor"/>
      </rPr>
      <t xml:space="preserve"> travels 
on </t>
    </r>
    <r>
      <rPr>
        <b/>
        <u/>
        <sz val="11"/>
        <rFont val="Calibri"/>
        <family val="2"/>
        <scheme val="minor"/>
      </rPr>
      <t>unpaved</t>
    </r>
    <r>
      <rPr>
        <b/>
        <sz val="11"/>
        <rFont val="Calibri"/>
        <family val="2"/>
        <scheme val="minor"/>
      </rPr>
      <t xml:space="preserve"> roads (between the plant feeders/conveyors and storage piles).</t>
    </r>
  </si>
  <si>
    <r>
      <t xml:space="preserve">For each </t>
    </r>
    <r>
      <rPr>
        <b/>
        <u/>
        <sz val="11"/>
        <rFont val="Calibri"/>
        <family val="2"/>
        <scheme val="minor"/>
      </rPr>
      <t>asphalt plant</t>
    </r>
    <r>
      <rPr>
        <b/>
        <sz val="11"/>
        <rFont val="Calibri"/>
        <family val="2"/>
        <scheme val="minor"/>
      </rPr>
      <t xml:space="preserve"> enter the average 'round trip' distance a </t>
    </r>
    <r>
      <rPr>
        <b/>
        <u/>
        <sz val="11"/>
        <rFont val="Calibri"/>
        <family val="2"/>
        <scheme val="minor"/>
      </rPr>
      <t>asphalt oil delivery truck</t>
    </r>
    <r>
      <rPr>
        <b/>
        <sz val="11"/>
        <rFont val="Calibri"/>
        <family val="2"/>
        <scheme val="minor"/>
      </rPr>
      <t xml:space="preserve"> travels on </t>
    </r>
    <r>
      <rPr>
        <b/>
        <u/>
        <sz val="11"/>
        <rFont val="Calibri"/>
        <family val="2"/>
        <scheme val="minor"/>
      </rPr>
      <t>unpaved</t>
    </r>
    <r>
      <rPr>
        <b/>
        <sz val="11"/>
        <rFont val="Calibri"/>
        <family val="2"/>
        <scheme val="minor"/>
      </rPr>
      <t xml:space="preserve"> roads (truck enters the facility, delivers a load, and then exits).</t>
    </r>
  </si>
  <si>
    <r>
      <t xml:space="preserve">Provide the average </t>
    </r>
    <r>
      <rPr>
        <b/>
        <u/>
        <sz val="11"/>
        <rFont val="Calibri"/>
        <family val="2"/>
        <scheme val="minor"/>
      </rPr>
      <t>hauling capacity</t>
    </r>
    <r>
      <rPr>
        <b/>
        <sz val="11"/>
        <rFont val="Calibri"/>
        <family val="2"/>
        <scheme val="minor"/>
      </rPr>
      <t xml:space="preserve"> of all </t>
    </r>
    <r>
      <rPr>
        <b/>
        <u/>
        <sz val="11"/>
        <rFont val="Calibri"/>
        <family val="2"/>
        <scheme val="minor"/>
      </rPr>
      <t>asphalt trucks</t>
    </r>
    <r>
      <rPr>
        <b/>
        <sz val="11"/>
        <rFont val="Calibri"/>
        <family val="2"/>
        <scheme val="minor"/>
      </rPr>
      <t xml:space="preserve"> (in tons):</t>
    </r>
  </si>
  <si>
    <r>
      <t xml:space="preserve">To calculate the emissions from your </t>
    </r>
    <r>
      <rPr>
        <b/>
        <u/>
        <sz val="11"/>
        <rFont val="Calibri"/>
        <family val="2"/>
        <scheme val="minor"/>
      </rPr>
      <t>asphalt plant(s)</t>
    </r>
    <r>
      <rPr>
        <b/>
        <sz val="11"/>
        <rFont val="Calibri"/>
        <family val="2"/>
        <scheme val="minor"/>
      </rPr>
      <t xml:space="preserve">, enter the 'British thermal unit' (Btu) rating for each plant's </t>
    </r>
    <r>
      <rPr>
        <b/>
        <u/>
        <sz val="11"/>
        <rFont val="Calibri"/>
        <family val="2"/>
        <scheme val="minor"/>
      </rPr>
      <t>dryer burner</t>
    </r>
    <r>
      <rPr>
        <b/>
        <sz val="11"/>
        <rFont val="Calibri"/>
        <family val="2"/>
        <scheme val="minor"/>
      </rPr>
      <t xml:space="preserve"> in the space provided.  Enter the rating in units of </t>
    </r>
    <r>
      <rPr>
        <b/>
        <u/>
        <sz val="11"/>
        <rFont val="Calibri"/>
        <family val="2"/>
        <scheme val="minor"/>
      </rPr>
      <t>'million Btu's per hour'</t>
    </r>
    <r>
      <rPr>
        <b/>
        <sz val="11"/>
        <rFont val="Calibri"/>
        <family val="2"/>
        <scheme val="minor"/>
      </rPr>
      <t xml:space="preserve"> or '</t>
    </r>
    <r>
      <rPr>
        <b/>
        <u/>
        <sz val="11"/>
        <rFont val="Calibri"/>
        <family val="2"/>
        <scheme val="minor"/>
      </rPr>
      <t>MMBtu/hr'</t>
    </r>
    <r>
      <rPr>
        <b/>
        <sz val="11"/>
        <rFont val="Calibri"/>
        <family val="2"/>
        <scheme val="minor"/>
      </rPr>
      <t xml:space="preserve">.  When entering the </t>
    </r>
    <r>
      <rPr>
        <b/>
        <u/>
        <sz val="11"/>
        <rFont val="Calibri"/>
        <family val="2"/>
        <scheme val="minor"/>
      </rPr>
      <t>dryer burner</t>
    </r>
    <r>
      <rPr>
        <b/>
        <sz val="11"/>
        <rFont val="Calibri"/>
        <family val="2"/>
        <scheme val="minor"/>
      </rPr>
      <t xml:space="preserve"> rating, enter them in the same order that you entered the equipment on Table 3-A.</t>
    </r>
  </si>
  <si>
    <r>
      <t xml:space="preserve">To calculate the emissions from your </t>
    </r>
    <r>
      <rPr>
        <b/>
        <u/>
        <sz val="11"/>
        <rFont val="Calibri"/>
        <family val="2"/>
        <scheme val="minor"/>
      </rPr>
      <t>asphalt plant(s)</t>
    </r>
    <r>
      <rPr>
        <b/>
        <sz val="11"/>
        <rFont val="Calibri"/>
        <family val="2"/>
        <scheme val="minor"/>
      </rPr>
      <t xml:space="preserve">, enter the 'British thermal unit' (Btu) rating for each plant's </t>
    </r>
    <r>
      <rPr>
        <b/>
        <u/>
        <sz val="11"/>
        <rFont val="Calibri"/>
        <family val="2"/>
        <scheme val="minor"/>
      </rPr>
      <t>oil heater</t>
    </r>
    <r>
      <rPr>
        <b/>
        <sz val="11"/>
        <rFont val="Calibri"/>
        <family val="2"/>
        <scheme val="minor"/>
      </rPr>
      <t xml:space="preserve"> in the space provided.  Enter the rating in units of </t>
    </r>
    <r>
      <rPr>
        <b/>
        <u/>
        <sz val="11"/>
        <rFont val="Calibri"/>
        <family val="2"/>
        <scheme val="minor"/>
      </rPr>
      <t>'million Btu's per hour'</t>
    </r>
    <r>
      <rPr>
        <b/>
        <sz val="11"/>
        <rFont val="Calibri"/>
        <family val="2"/>
        <scheme val="minor"/>
      </rPr>
      <t xml:space="preserve"> or '</t>
    </r>
    <r>
      <rPr>
        <b/>
        <u/>
        <sz val="11"/>
        <rFont val="Calibri"/>
        <family val="2"/>
        <scheme val="minor"/>
      </rPr>
      <t>MMBtu/hr'</t>
    </r>
    <r>
      <rPr>
        <b/>
        <sz val="11"/>
        <rFont val="Calibri"/>
        <family val="2"/>
        <scheme val="minor"/>
      </rPr>
      <t xml:space="preserve">.  When entering the </t>
    </r>
    <r>
      <rPr>
        <b/>
        <u/>
        <sz val="11"/>
        <rFont val="Calibri"/>
        <family val="2"/>
        <scheme val="minor"/>
      </rPr>
      <t>oil heater</t>
    </r>
    <r>
      <rPr>
        <b/>
        <sz val="11"/>
        <rFont val="Calibri"/>
        <family val="2"/>
        <scheme val="minor"/>
      </rPr>
      <t xml:space="preserve"> rating, enter them in the same order that you entered the equipment on Table 3-A.</t>
    </r>
  </si>
  <si>
    <t>Fuel Btu Conversions</t>
  </si>
  <si>
    <t>Nat Gas</t>
  </si>
  <si>
    <t>#6 Oil</t>
  </si>
  <si>
    <t>Residual</t>
  </si>
  <si>
    <t>#2 Oil/Diesel</t>
  </si>
  <si>
    <t>MMBtu</t>
  </si>
  <si>
    <t>Std Units</t>
  </si>
  <si>
    <t>`</t>
  </si>
  <si>
    <t>Oil Heater - #6 Oil</t>
  </si>
  <si>
    <t>Asphalt Batch Plant Emission Factors</t>
  </si>
  <si>
    <t>Does this plant's dryer burn natural gas?</t>
  </si>
  <si>
    <t>Does this plant's dryer burn #2 oil?</t>
  </si>
  <si>
    <t>Does this plant's dryer burn #6 oil?</t>
  </si>
  <si>
    <t>Asphalt - Paved</t>
  </si>
  <si>
    <t>Asphalt - Unpaved</t>
  </si>
  <si>
    <t>Oil Only - Paved</t>
  </si>
  <si>
    <t>Oil Only - Unpaved</t>
  </si>
  <si>
    <t>Asphalt</t>
  </si>
  <si>
    <t>Ethylbenzene</t>
  </si>
  <si>
    <t>N-Hexane</t>
  </si>
  <si>
    <t>All Asphalt Production &amp; Handling</t>
  </si>
  <si>
    <t>Plant 1 Oil Heater</t>
  </si>
  <si>
    <t>Plant 1 Burner - Nat Gas</t>
  </si>
  <si>
    <t>Plant 1 Burner - #2 Oil</t>
  </si>
  <si>
    <t>Plant 1 Burner - #6 Oil</t>
  </si>
  <si>
    <t>Plant 2 Oil Heater</t>
  </si>
  <si>
    <t>Plant 2 Burner - Nat Gas</t>
  </si>
  <si>
    <t>Plant 2 Burner - #2 Oil</t>
  </si>
  <si>
    <t>Plant 2 Burner - #6 Oil</t>
  </si>
  <si>
    <t>Plant 3 Oil Heater</t>
  </si>
  <si>
    <t>Plant 3 Burner - Nat Gas</t>
  </si>
  <si>
    <t>Plant 3 Burner - #2 Oil</t>
  </si>
  <si>
    <t>Plant 3 Burner - #6 Oil</t>
  </si>
  <si>
    <t>Engine #1</t>
  </si>
  <si>
    <t>Engine #2</t>
  </si>
  <si>
    <t>Engine #3</t>
  </si>
  <si>
    <t>Engine #4</t>
  </si>
  <si>
    <t>Per-Unit Emission Calculations</t>
  </si>
  <si>
    <t>Plant 1 - Largest HAPs</t>
  </si>
  <si>
    <t>Plant 3 - Largest HAPs</t>
  </si>
  <si>
    <t>Plant 2 - Largest HAPs</t>
  </si>
  <si>
    <t>Totals</t>
  </si>
  <si>
    <t>Largest HAPs Emission Calculations</t>
  </si>
  <si>
    <t>ASPHALT PLANT &amp; RECLAIM GENERAL SOURCE PERMIT APPLICATION</t>
  </si>
  <si>
    <r>
      <t xml:space="preserve">This form is intended for use by sources that fit any the 'general source' category for asphalt plants.  This form allows for the inclusion of concrete &amp; asphalt reclaim operations, but if your facility </t>
    </r>
    <r>
      <rPr>
        <b/>
        <u/>
        <sz val="11"/>
        <color theme="1"/>
        <rFont val="Calibri"/>
        <family val="2"/>
        <scheme val="minor"/>
      </rPr>
      <t>only</t>
    </r>
    <r>
      <rPr>
        <b/>
        <sz val="11"/>
        <color theme="1"/>
        <rFont val="Calibri"/>
        <family val="2"/>
        <scheme val="minor"/>
      </rPr>
      <t xml:space="preserve"> consists of concrete/asphalt reclaim, the Department can provide another form that is more suitable for your use.  If your source does not fit either of these categories, contact the LLCHD Air Quality Program at (402) 441-8040 to obtain an application that is more suitable to your facility.</t>
    </r>
  </si>
  <si>
    <t>Table 3-A:  Emission Unit Identification</t>
  </si>
  <si>
    <t>Instructions for Section 5 - Table 5-A:  Maximum Potential to Emit (MPTE) - Regulated Air Pollutant Emissions from Asphalt Plants and Other Equipment</t>
  </si>
  <si>
    <r>
      <t xml:space="preserve">Table 5-A:  MPTE </t>
    </r>
    <r>
      <rPr>
        <b/>
        <sz val="11"/>
        <color theme="1"/>
        <rFont val="Calibri"/>
        <family val="2"/>
      </rPr>
      <t>–</t>
    </r>
    <r>
      <rPr>
        <b/>
        <sz val="11"/>
        <color theme="1"/>
        <rFont val="Arial"/>
        <family val="2"/>
      </rPr>
      <t xml:space="preserve"> Regulated Air Pollutant Emissions from Asphalt Plants and Other Equipment</t>
    </r>
  </si>
  <si>
    <t>Instructions for Section 7 - Table 7-A:  Facility-Wide APTE - Regulated Air Pollutant Emissions from Asphalt Plants and Other Units</t>
  </si>
  <si>
    <r>
      <t xml:space="preserve">Table 7-A:  APTE </t>
    </r>
    <r>
      <rPr>
        <b/>
        <sz val="11"/>
        <color theme="1"/>
        <rFont val="Calibri"/>
        <family val="2"/>
      </rPr>
      <t>–</t>
    </r>
    <r>
      <rPr>
        <b/>
        <sz val="11"/>
        <color theme="1"/>
        <rFont val="Arial"/>
        <family val="2"/>
      </rPr>
      <t xml:space="preserve"> Regulated Air Pollutant Emissions from Asphalt Plants and Other Units</t>
    </r>
  </si>
  <si>
    <t>Fugitive PM Losses - Wind Erosion</t>
  </si>
  <si>
    <t>Enter the name or number used to identify each screening machine below.</t>
  </si>
  <si>
    <t>For 'Stationary Engines' use the drop-down boxes provided under 'Emission Point Description' (fourth column) to select the appropriate engine type.</t>
  </si>
  <si>
    <t>Enter the name or number used to identify each engine below.</t>
  </si>
  <si>
    <t xml:space="preserve">Table 5-E does not require any user inputs.  This table serves to compare your facility's maximum potential to emit (MPTE) to the construction permit thresholds established in the LLCAPCPRS.  </t>
  </si>
  <si>
    <t>As seen in the example table below, the material name, manufacturer, purpose, and maximum annual throughput entered on Table 5-C have been automatically imported into Table 7-C.  In addition, the associated release factors have been imported as well.  Proceed with completing Table 7-C as follows:</t>
  </si>
  <si>
    <t>As seen in the example table below, the material name, HAP names, and maximum annual throughput entered on Table 5-D have been automatically imported into Table 7-D.  In addition, the associated release factors have been imported as well.  Proceed with completing Table 7-D as follows:</t>
  </si>
  <si>
    <t xml:space="preserve">If you met or exceeded any of the Class II permit thresholds in Table 5-E, then your source will be required to obtain a Class II operating permit, regardless of your facility's APTE.  </t>
  </si>
  <si>
    <t>GHGs
(CO2e)</t>
  </si>
  <si>
    <r>
      <t>GHGs
(CO</t>
    </r>
    <r>
      <rPr>
        <b/>
        <vertAlign val="subscript"/>
        <sz val="11"/>
        <color theme="1"/>
        <rFont val="Arial"/>
        <family val="2"/>
      </rPr>
      <t>2</t>
    </r>
    <r>
      <rPr>
        <b/>
        <sz val="11"/>
        <color theme="1"/>
        <rFont val="Arial"/>
        <family val="2"/>
      </rPr>
      <t>e)</t>
    </r>
  </si>
  <si>
    <r>
      <t>GHGs
(CO</t>
    </r>
    <r>
      <rPr>
        <vertAlign val="subscript"/>
        <sz val="11"/>
        <color theme="1"/>
        <rFont val="Calibri"/>
        <family val="2"/>
        <scheme val="minor"/>
      </rPr>
      <t>2</t>
    </r>
    <r>
      <rPr>
        <b/>
        <sz val="11"/>
        <color theme="1"/>
        <rFont val="Calibri"/>
        <family val="2"/>
        <scheme val="minor"/>
      </rPr>
      <t>e</t>
    </r>
    <r>
      <rPr>
        <sz val="11"/>
        <color theme="1"/>
        <rFont val="Calibri"/>
        <family val="2"/>
        <scheme val="minor"/>
      </rPr>
      <t>)</t>
    </r>
  </si>
  <si>
    <t>Title 40, Chapter 4 of the Code of Federal Regulations (40 CFR)</t>
  </si>
  <si>
    <t>The link below will take you to a list of ALL Federal Regulations (listed only by 'Part' number) that have been established by the EPA.  For ease of use, the most commonly referenced air rules have been listed below by Part number, with a corresponding description.</t>
  </si>
  <si>
    <t>Part 60</t>
  </si>
  <si>
    <t>New Source Performance Standards (NSPS)</t>
  </si>
  <si>
    <t>Part 61</t>
  </si>
  <si>
    <t>Part 63</t>
  </si>
  <si>
    <t>Part 64</t>
  </si>
  <si>
    <t>Part 68</t>
  </si>
  <si>
    <t>Part 82</t>
  </si>
  <si>
    <t>Parts 72-78</t>
  </si>
  <si>
    <t>Acid Rain Provisions</t>
  </si>
  <si>
    <t>Part 50</t>
  </si>
  <si>
    <t>National Ambient Air Quality Standards (NAAQS)</t>
  </si>
  <si>
    <t>National Emission Standards for Hazardous Air Pollutants (NESHAPs)</t>
  </si>
  <si>
    <t>NESHAP Maximum Achievable Control Technology (MACT) Standards</t>
  </si>
  <si>
    <t>Compliance Assurance Monitoring (CAM)</t>
  </si>
  <si>
    <t>Chemical Accident Prevention Provisions</t>
  </si>
  <si>
    <t>Protection of Stratospheric Ozone</t>
  </si>
  <si>
    <t>NSPS for Hot Mix Asphalt Facilities</t>
  </si>
  <si>
    <t>IF YOU HAVE ANY FURTHER QUESTIONS OR REQUIRE ANY ASSISTANCE IN COMPLETING THIS FORM, PLEASE CONTACT THE LLCHD AIR QUALITY PROGRAM AT (402) 441-8040, AND ASK TO SPEAK TO SOMEONE ABOUT 'AIR QUALITY PERMITS'.</t>
  </si>
  <si>
    <t>40 CFR 60, Subpart I</t>
  </si>
  <si>
    <t>Last Updated:</t>
  </si>
  <si>
    <t xml:space="preserve">        Yes
        No  or  N/A</t>
  </si>
  <si>
    <t>LLCAPCPRS Article 2, Section 20, paragraph (A) &amp; Table 20-2:  Process Weight Rate Particulate Emission Stds.</t>
  </si>
  <si>
    <t>LLCAPCPRS Article 2, Section 20, paragraph (B) &amp; Table 20-1:  Heat Input Rate Particulate Emission Stds.</t>
  </si>
  <si>
    <t>LLCAPCPRS Article 2, Section 22, paragraph (B):  Particulate Emission Stds. for Incinerators &amp; Burn-Ovens</t>
  </si>
  <si>
    <t>LLCAPCPRS Article 2, Section 22, paragraph (H):  Standards for Air Curtain Incinerators</t>
  </si>
  <si>
    <t>LLCAPCPRS Article 2, Section 22, paragraph (I):  Standards for Pathological Material Incinerators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</si>
</sst>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quot;$&quot;* #,##0.00_);_(&quot;$&quot;* \(#,##0.00\);_(&quot;$&quot;* &quot;-&quot;??_);_(@_)"/>
    <numFmt numFmtId="43" formatCode="_(* #,##0.00_);_(* \(#,##0.00\);_(* &quot;-&quot;??_);_(@_)"/>
    <numFmt numFmtId="164" formatCode="#\-##\-###\-##"/>
    <numFmt numFmtId="165" formatCode="#,##0.0"/>
    <numFmt numFmtId="166" formatCode="#####\-##\-#"/>
    <numFmt numFmtId="167" formatCode="0.000000"/>
    <numFmt numFmtId="168" formatCode="[&lt;=9999999]###\-####;\(###\)\ ###\-####"/>
    <numFmt numFmtId="169" formatCode="00000"/>
    <numFmt numFmtId="170" formatCode="[$-409]mmmm\ d\,\ yyyy;@"/>
    <numFmt numFmtId="171" formatCode="00\º"/>
    <numFmt numFmtId="172" formatCode="00\'"/>
    <numFmt numFmtId="173" formatCode="00\&quot;"/>
    <numFmt numFmtId="174" formatCode="\-0.000000"/>
    <numFmt numFmtId="175" formatCode="0.\ \ "/>
    <numFmt numFmtId="176" formatCode="0.0000"/>
    <numFmt numFmtId="177" formatCode="#,##0.0000"/>
    <numFmt numFmtId="178" formatCode="000"/>
    <numFmt numFmtId="179" formatCode="000000"/>
    <numFmt numFmtId="180" formatCode="0.000%"/>
    <numFmt numFmtId="181" formatCode="#.&quot;  &quot;"/>
    <numFmt numFmtId="182" formatCode="#,##0.000"/>
    <numFmt numFmtId="183" formatCode="mmmm\ yyyy"/>
  </numFmts>
  <fonts count="89" x14ac:knownFonts="1">
    <font>
      <sz val="11"/>
      <color theme="1"/>
      <name val="Calibri"/>
      <family val="2"/>
      <scheme val="minor"/>
    </font>
    <font>
      <sz val="10"/>
      <color theme="1"/>
      <name val="Arial"/>
      <family val="2"/>
    </font>
    <font>
      <sz val="11"/>
      <color theme="1"/>
      <name val="Calibri"/>
      <family val="2"/>
      <scheme val="minor"/>
    </font>
    <font>
      <sz val="10"/>
      <name val="Arial"/>
      <family val="2"/>
    </font>
    <font>
      <sz val="10"/>
      <name val="Arial"/>
      <family val="2"/>
    </font>
    <font>
      <u/>
      <sz val="10"/>
      <color indexed="12"/>
      <name val="Arial"/>
      <family val="2"/>
    </font>
    <font>
      <u/>
      <sz val="11.5"/>
      <color theme="4" tint="-0.499984740745262"/>
      <name val="Arial"/>
      <family val="2"/>
    </font>
    <font>
      <b/>
      <sz val="11"/>
      <color theme="1"/>
      <name val="Arial"/>
      <family val="2"/>
    </font>
    <font>
      <sz val="11"/>
      <color theme="1"/>
      <name val="Arial"/>
      <family val="2"/>
    </font>
    <font>
      <b/>
      <sz val="10"/>
      <color theme="1"/>
      <name val="Arial"/>
      <family val="2"/>
    </font>
    <font>
      <b/>
      <i/>
      <sz val="12"/>
      <color theme="1"/>
      <name val="Arial"/>
      <family val="2"/>
    </font>
    <font>
      <i/>
      <sz val="10"/>
      <color theme="1"/>
      <name val="Arial"/>
      <family val="2"/>
    </font>
    <font>
      <b/>
      <sz val="12"/>
      <color theme="1"/>
      <name val="Arial"/>
      <family val="2"/>
    </font>
    <font>
      <b/>
      <vertAlign val="subscript"/>
      <sz val="11"/>
      <color theme="1"/>
      <name val="Arial"/>
      <family val="2"/>
    </font>
    <font>
      <b/>
      <i/>
      <sz val="11"/>
      <color theme="1"/>
      <name val="Arial"/>
      <family val="2"/>
    </font>
    <font>
      <b/>
      <i/>
      <u/>
      <sz val="11"/>
      <color theme="1"/>
      <name val="Arial"/>
      <family val="2"/>
    </font>
    <font>
      <b/>
      <sz val="11"/>
      <color theme="1"/>
      <name val="Calibri"/>
      <family val="2"/>
      <scheme val="minor"/>
    </font>
    <font>
      <vertAlign val="superscript"/>
      <sz val="11"/>
      <color theme="1"/>
      <name val="Arial"/>
      <family val="2"/>
    </font>
    <font>
      <i/>
      <sz val="10"/>
      <name val="Arial"/>
      <family val="2"/>
    </font>
    <font>
      <sz val="12"/>
      <color theme="1"/>
      <name val="Arial"/>
      <family val="2"/>
    </font>
    <font>
      <b/>
      <sz val="11"/>
      <name val="Arial"/>
      <family val="2"/>
    </font>
    <font>
      <b/>
      <u/>
      <sz val="12"/>
      <color indexed="12"/>
      <name val="Arial"/>
      <family val="2"/>
    </font>
    <font>
      <b/>
      <sz val="10"/>
      <name val="Arial"/>
      <family val="2"/>
    </font>
    <font>
      <b/>
      <sz val="16"/>
      <name val="Arial"/>
      <family val="2"/>
    </font>
    <font>
      <b/>
      <sz val="12"/>
      <color theme="0"/>
      <name val="Arial"/>
      <family val="2"/>
    </font>
    <font>
      <vertAlign val="subscript"/>
      <sz val="12"/>
      <color theme="1"/>
      <name val="Arial"/>
      <family val="2"/>
    </font>
    <font>
      <b/>
      <u/>
      <sz val="11"/>
      <color theme="1"/>
      <name val="Arial"/>
      <family val="2"/>
    </font>
    <font>
      <b/>
      <u/>
      <sz val="11"/>
      <color indexed="12"/>
      <name val="Arial"/>
      <family val="2"/>
    </font>
    <font>
      <b/>
      <sz val="14"/>
      <color theme="1"/>
      <name val="Arial"/>
      <family val="2"/>
    </font>
    <font>
      <b/>
      <sz val="13"/>
      <color theme="1"/>
      <name val="Arial"/>
      <family val="2"/>
    </font>
    <font>
      <sz val="10"/>
      <color theme="1"/>
      <name val="Calibri"/>
      <family val="2"/>
      <scheme val="minor"/>
    </font>
    <font>
      <sz val="10"/>
      <color indexed="8"/>
      <name val="Arial"/>
      <family val="2"/>
    </font>
    <font>
      <sz val="8"/>
      <color rgb="FF000000"/>
      <name val="Tahoma"/>
      <family val="2"/>
    </font>
    <font>
      <b/>
      <sz val="11"/>
      <color indexed="8"/>
      <name val="Arial"/>
      <family val="2"/>
    </font>
    <font>
      <i/>
      <sz val="11"/>
      <color theme="1"/>
      <name val="Arial"/>
      <family val="2"/>
    </font>
    <font>
      <b/>
      <sz val="11"/>
      <color theme="1"/>
      <name val="Calibri"/>
      <family val="2"/>
    </font>
    <font>
      <b/>
      <sz val="16"/>
      <color theme="1"/>
      <name val="Calibri"/>
      <family val="2"/>
      <scheme val="minor"/>
    </font>
    <font>
      <b/>
      <u/>
      <sz val="11"/>
      <color theme="1"/>
      <name val="Calibri"/>
      <family val="2"/>
      <scheme val="minor"/>
    </font>
    <font>
      <b/>
      <i/>
      <sz val="11"/>
      <color theme="1"/>
      <name val="Calibri"/>
      <family val="2"/>
      <scheme val="minor"/>
    </font>
    <font>
      <b/>
      <sz val="14"/>
      <color rgb="FFFF0000"/>
      <name val="Calibri"/>
      <family val="2"/>
      <scheme val="minor"/>
    </font>
    <font>
      <sz val="11"/>
      <name val="Arial"/>
      <family val="2"/>
    </font>
    <font>
      <b/>
      <sz val="14"/>
      <color theme="1"/>
      <name val="Calibri"/>
      <family val="2"/>
      <scheme val="minor"/>
    </font>
    <font>
      <b/>
      <sz val="12"/>
      <color theme="1"/>
      <name val="Calibri"/>
      <family val="2"/>
      <scheme val="minor"/>
    </font>
    <font>
      <sz val="11"/>
      <color theme="0" tint="-0.14999847407452621"/>
      <name val="Calibri"/>
      <family val="2"/>
      <scheme val="minor"/>
    </font>
    <font>
      <b/>
      <sz val="12"/>
      <color rgb="FF0000FF"/>
      <name val="Calibri"/>
      <family val="2"/>
      <scheme val="minor"/>
    </font>
    <font>
      <b/>
      <vertAlign val="subscript"/>
      <sz val="11"/>
      <color theme="1"/>
      <name val="Calibri"/>
      <family val="2"/>
      <scheme val="minor"/>
    </font>
    <font>
      <b/>
      <u/>
      <sz val="11"/>
      <color indexed="12"/>
      <name val="Calibri"/>
      <family val="2"/>
      <scheme val="minor"/>
    </font>
    <font>
      <b/>
      <sz val="11"/>
      <name val="Calibri"/>
      <family val="2"/>
      <scheme val="minor"/>
    </font>
    <font>
      <b/>
      <u/>
      <sz val="11"/>
      <name val="Calibri"/>
      <family val="2"/>
      <scheme val="minor"/>
    </font>
    <font>
      <sz val="11"/>
      <name val="Calibri"/>
      <family val="2"/>
      <scheme val="minor"/>
    </font>
    <font>
      <sz val="11"/>
      <color theme="0" tint="-0.14999847407452621"/>
      <name val="Arial"/>
      <family val="2"/>
    </font>
    <font>
      <b/>
      <sz val="12"/>
      <name val="Calibri"/>
      <family val="2"/>
      <scheme val="minor"/>
    </font>
    <font>
      <u/>
      <sz val="12"/>
      <color indexed="12"/>
      <name val="Calibri"/>
      <family val="2"/>
      <scheme val="minor"/>
    </font>
    <font>
      <b/>
      <sz val="13"/>
      <color theme="1"/>
      <name val="Calibri"/>
      <family val="2"/>
      <scheme val="minor"/>
    </font>
    <font>
      <sz val="11"/>
      <color theme="1"/>
      <name val="Calibri"/>
      <family val="2"/>
    </font>
    <font>
      <i/>
      <u/>
      <sz val="11"/>
      <color theme="1"/>
      <name val="Arial"/>
      <family val="2"/>
    </font>
    <font>
      <b/>
      <sz val="8"/>
      <color theme="1"/>
      <name val="Calibri"/>
      <family val="2"/>
      <scheme val="minor"/>
    </font>
    <font>
      <b/>
      <vertAlign val="subscript"/>
      <sz val="10"/>
      <color theme="1"/>
      <name val="Arial"/>
      <family val="2"/>
    </font>
    <font>
      <b/>
      <sz val="5"/>
      <color theme="1"/>
      <name val="Calibri"/>
      <family val="2"/>
      <scheme val="minor"/>
    </font>
    <font>
      <sz val="11"/>
      <color rgb="FFFF0000"/>
      <name val="Arial"/>
      <family val="2"/>
    </font>
    <font>
      <b/>
      <sz val="11"/>
      <color indexed="12"/>
      <name val="Calibri"/>
      <family val="2"/>
      <scheme val="minor"/>
    </font>
    <font>
      <b/>
      <sz val="14"/>
      <name val="Calibri"/>
      <family val="2"/>
      <scheme val="minor"/>
    </font>
    <font>
      <b/>
      <sz val="10"/>
      <color theme="1"/>
      <name val="Calibri"/>
      <family val="2"/>
      <scheme val="minor"/>
    </font>
    <font>
      <sz val="11"/>
      <color theme="5"/>
      <name val="Calibri"/>
      <family val="2"/>
      <scheme val="minor"/>
    </font>
    <font>
      <b/>
      <i/>
      <sz val="12"/>
      <color theme="1"/>
      <name val="Calibri"/>
      <family val="2"/>
      <scheme val="minor"/>
    </font>
    <font>
      <b/>
      <i/>
      <sz val="14"/>
      <color theme="1"/>
      <name val="Calibri"/>
      <family val="2"/>
      <scheme val="minor"/>
    </font>
    <font>
      <vertAlign val="subscript"/>
      <sz val="11"/>
      <color theme="1"/>
      <name val="Calibri"/>
      <family val="2"/>
      <scheme val="minor"/>
    </font>
    <font>
      <vertAlign val="subscript"/>
      <sz val="11"/>
      <name val="Calibri"/>
      <family val="2"/>
      <scheme val="minor"/>
    </font>
    <font>
      <b/>
      <u/>
      <sz val="12"/>
      <color theme="1"/>
      <name val="Calibri"/>
      <family val="2"/>
      <scheme val="minor"/>
    </font>
    <font>
      <b/>
      <i/>
      <u/>
      <sz val="12"/>
      <color theme="1"/>
      <name val="Calibri"/>
      <family val="2"/>
      <scheme val="minor"/>
    </font>
    <font>
      <u/>
      <sz val="12"/>
      <color theme="1"/>
      <name val="Calibri"/>
      <family val="2"/>
      <scheme val="minor"/>
    </font>
    <font>
      <sz val="12"/>
      <color theme="1" tint="0.34998626667073579"/>
      <name val="Arial"/>
      <family val="2"/>
    </font>
    <font>
      <sz val="13"/>
      <color theme="1"/>
      <name val="Calibri"/>
      <family val="2"/>
      <scheme val="minor"/>
    </font>
    <font>
      <b/>
      <u/>
      <sz val="14"/>
      <color rgb="FFFF0000"/>
      <name val="Calibri"/>
      <family val="2"/>
      <scheme val="minor"/>
    </font>
    <font>
      <u/>
      <sz val="11"/>
      <color theme="1"/>
      <name val="Calibri"/>
      <family val="2"/>
      <scheme val="minor"/>
    </font>
    <font>
      <b/>
      <u/>
      <sz val="12"/>
      <color rgb="FFFF0000"/>
      <name val="Calibri"/>
      <family val="2"/>
      <scheme val="minor"/>
    </font>
    <font>
      <vertAlign val="subscript"/>
      <sz val="10"/>
      <name val="Arial"/>
      <family val="2"/>
    </font>
    <font>
      <sz val="10"/>
      <color indexed="8"/>
      <name val="Calibri"/>
      <family val="2"/>
    </font>
    <font>
      <i/>
      <sz val="14"/>
      <color indexed="8"/>
      <name val="Calibri"/>
      <family val="2"/>
    </font>
    <font>
      <sz val="9"/>
      <color theme="1"/>
      <name val="Calibri"/>
      <family val="2"/>
      <scheme val="minor"/>
    </font>
    <font>
      <sz val="9"/>
      <color theme="1"/>
      <name val="Arial"/>
      <family val="2"/>
    </font>
    <font>
      <sz val="11"/>
      <color theme="0" tint="-0.499984740745262"/>
      <name val="Arial"/>
      <family val="2"/>
    </font>
    <font>
      <sz val="11"/>
      <color theme="0" tint="-0.499984740745262"/>
      <name val="Calibri"/>
      <family val="2"/>
      <scheme val="minor"/>
    </font>
    <font>
      <b/>
      <sz val="12"/>
      <color rgb="FFFF0000"/>
      <name val="Calibri"/>
      <family val="2"/>
      <scheme val="minor"/>
    </font>
    <font>
      <vertAlign val="superscript"/>
      <sz val="10"/>
      <color theme="1"/>
      <name val="Arial"/>
      <family val="2"/>
    </font>
    <font>
      <b/>
      <sz val="16"/>
      <color rgb="FFFF0000"/>
      <name val="Calibri"/>
      <family val="2"/>
      <scheme val="minor"/>
    </font>
    <font>
      <b/>
      <sz val="12"/>
      <color theme="0"/>
      <name val="Calibri"/>
      <family val="2"/>
      <scheme val="minor"/>
    </font>
    <font>
      <b/>
      <sz val="9"/>
      <color theme="1"/>
      <name val="Arial"/>
      <family val="2"/>
    </font>
    <font>
      <sz val="10"/>
      <color theme="1"/>
      <name val="Calibri"/>
      <family val="2"/>
    </font>
  </fonts>
  <fills count="25">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theme="4"/>
        <bgColor theme="4"/>
      </patternFill>
    </fill>
    <fill>
      <patternFill patternType="solid">
        <fgColor theme="0" tint="-0.14999847407452621"/>
        <bgColor theme="0" tint="-0.14999847407452621"/>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darkUp">
        <bgColor auto="1"/>
      </patternFill>
    </fill>
    <fill>
      <patternFill patternType="darkUp">
        <bgColor theme="0" tint="-0.14996795556505021"/>
      </patternFill>
    </fill>
    <fill>
      <patternFill patternType="solid">
        <fgColor theme="1" tint="0.499984740745262"/>
        <bgColor indexed="64"/>
      </patternFill>
    </fill>
    <fill>
      <patternFill patternType="solid">
        <fgColor theme="1"/>
        <bgColor indexed="64"/>
      </patternFill>
    </fill>
    <fill>
      <patternFill patternType="solid">
        <fgColor theme="0" tint="-0.499984740745262"/>
        <bgColor indexed="64"/>
      </patternFill>
    </fill>
    <fill>
      <patternFill patternType="solid">
        <fgColor theme="1" tint="0.34998626667073579"/>
        <bgColor indexed="64"/>
      </patternFill>
    </fill>
    <fill>
      <patternFill patternType="darkUp"/>
    </fill>
    <fill>
      <patternFill patternType="solid">
        <fgColor theme="0" tint="-0.34998626667073579"/>
        <bgColor indexed="64"/>
      </patternFill>
    </fill>
    <fill>
      <patternFill patternType="solid">
        <fgColor rgb="FF92D050"/>
        <bgColor indexed="64"/>
      </patternFill>
    </fill>
    <fill>
      <patternFill patternType="solid">
        <fgColor theme="9" tint="-0.249977111117893"/>
        <bgColor indexed="64"/>
      </patternFill>
    </fill>
    <fill>
      <patternFill patternType="solid">
        <fgColor theme="9"/>
        <bgColor indexed="64"/>
      </patternFill>
    </fill>
    <fill>
      <patternFill patternType="solid">
        <fgColor theme="8" tint="0.39997558519241921"/>
        <bgColor indexed="64"/>
      </patternFill>
    </fill>
  </fills>
  <borders count="2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dotted">
        <color indexed="64"/>
      </right>
      <top style="dotted">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dotted">
        <color indexed="64"/>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dotted">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style="medium">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top/>
      <bottom style="thin">
        <color indexed="64"/>
      </bottom>
      <diagonal/>
    </border>
    <border>
      <left/>
      <right/>
      <top style="medium">
        <color indexed="64"/>
      </top>
      <bottom style="thin">
        <color indexed="64"/>
      </bottom>
      <diagonal/>
    </border>
    <border>
      <left/>
      <right/>
      <top/>
      <bottom style="hair">
        <color indexed="64"/>
      </bottom>
      <diagonal/>
    </border>
    <border>
      <left/>
      <right/>
      <top style="thin">
        <color indexed="64"/>
      </top>
      <bottom style="hair">
        <color indexed="64"/>
      </bottom>
      <diagonal/>
    </border>
    <border>
      <left style="hair">
        <color indexed="64"/>
      </left>
      <right/>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right/>
      <top style="thin">
        <color indexed="64"/>
      </top>
      <bottom style="medium">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top/>
      <bottom/>
      <diagonal/>
    </border>
    <border>
      <left style="hair">
        <color indexed="64"/>
      </left>
      <right/>
      <top style="medium">
        <color indexed="64"/>
      </top>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right/>
      <top style="thin">
        <color indexed="64"/>
      </top>
      <bottom/>
      <diagonal/>
    </border>
    <border>
      <left style="medium">
        <color indexed="64"/>
      </left>
      <right style="hair">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hair">
        <color indexed="64"/>
      </right>
      <top style="thin">
        <color indexed="64"/>
      </top>
      <bottom/>
      <diagonal/>
    </border>
    <border>
      <left/>
      <right style="medium">
        <color indexed="64"/>
      </right>
      <top style="thin">
        <color indexed="64"/>
      </top>
      <bottom style="hair">
        <color indexed="64"/>
      </bottom>
      <diagonal/>
    </border>
    <border>
      <left style="medium">
        <color indexed="64"/>
      </left>
      <right style="hair">
        <color indexed="64"/>
      </right>
      <top/>
      <bottom/>
      <diagonal/>
    </border>
    <border>
      <left/>
      <right style="medium">
        <color indexed="64"/>
      </right>
      <top/>
      <bottom style="hair">
        <color indexed="64"/>
      </bottom>
      <diagonal/>
    </border>
    <border>
      <left/>
      <right style="medium">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hair">
        <color indexed="64"/>
      </top>
      <bottom style="hair">
        <color indexed="64"/>
      </bottom>
      <diagonal/>
    </border>
    <border>
      <left/>
      <right style="thick">
        <color auto="1"/>
      </right>
      <top style="medium">
        <color auto="1"/>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style="medium">
        <color indexed="64"/>
      </right>
      <top style="hair">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hair">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hair">
        <color indexed="64"/>
      </bottom>
      <diagonal/>
    </border>
    <border>
      <left style="medium">
        <color indexed="64"/>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top/>
      <bottom style="medium">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hair">
        <color indexed="64"/>
      </right>
      <top/>
      <bottom style="medium">
        <color indexed="64"/>
      </bottom>
      <diagonal/>
    </border>
    <border>
      <left style="medium">
        <color indexed="64"/>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bottom style="hair">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top style="medium">
        <color indexed="64"/>
      </top>
      <bottom style="medium">
        <color indexed="64"/>
      </bottom>
      <diagonal/>
    </border>
    <border>
      <left style="hair">
        <color indexed="64"/>
      </left>
      <right/>
      <top style="medium">
        <color indexed="64"/>
      </top>
      <bottom style="hair">
        <color indexed="64"/>
      </bottom>
      <diagonal/>
    </border>
    <border>
      <left/>
      <right style="hair">
        <color indexed="64"/>
      </right>
      <top style="medium">
        <color indexed="64"/>
      </top>
      <bottom style="medium">
        <color indexed="64"/>
      </bottom>
      <diagonal/>
    </border>
    <border>
      <left/>
      <right style="hair">
        <color indexed="64"/>
      </right>
      <top style="medium">
        <color indexed="64"/>
      </top>
      <bottom style="hair">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hair">
        <color indexed="64"/>
      </right>
      <top style="medium">
        <color indexed="64"/>
      </top>
      <bottom style="medium">
        <color indexed="64"/>
      </bottom>
      <diagonal/>
    </border>
  </borders>
  <cellStyleXfs count="23">
    <xf numFmtId="0" fontId="0" fillId="0" borderId="0"/>
    <xf numFmtId="0" fontId="3" fillId="0" borderId="0"/>
    <xf numFmtId="43" fontId="4" fillId="0" borderId="0" applyFont="0" applyFill="0" applyBorder="0" applyAlignment="0" applyProtection="0"/>
    <xf numFmtId="44" fontId="4" fillId="0" borderId="0" applyFont="0" applyFill="0" applyBorder="0" applyAlignment="0" applyProtection="0"/>
    <xf numFmtId="0" fontId="6"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1"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1742">
    <xf numFmtId="0" fontId="0" fillId="0" borderId="0" xfId="0"/>
    <xf numFmtId="0" fontId="0" fillId="0" borderId="0" xfId="0" applyAlignment="1">
      <alignment horizontal="center" vertical="center"/>
    </xf>
    <xf numFmtId="0" fontId="3" fillId="6" borderId="0" xfId="1" applyFill="1"/>
    <xf numFmtId="166" fontId="3" fillId="6" borderId="0" xfId="1" applyNumberFormat="1" applyFill="1" applyAlignment="1">
      <alignment horizontal="center"/>
    </xf>
    <xf numFmtId="0" fontId="3" fillId="6" borderId="0" xfId="1" applyFill="1" applyAlignment="1">
      <alignment horizontal="center"/>
    </xf>
    <xf numFmtId="0" fontId="22" fillId="6" borderId="0" xfId="1" applyFont="1" applyFill="1"/>
    <xf numFmtId="0" fontId="24" fillId="4" borderId="19" xfId="1" applyFont="1" applyFill="1" applyBorder="1"/>
    <xf numFmtId="166" fontId="24" fillId="4" borderId="20" xfId="1" applyNumberFormat="1" applyFont="1" applyFill="1" applyBorder="1" applyAlignment="1">
      <alignment horizontal="center"/>
    </xf>
    <xf numFmtId="0" fontId="24" fillId="4" borderId="53" xfId="1" applyFont="1" applyFill="1" applyBorder="1" applyAlignment="1">
      <alignment horizontal="center"/>
    </xf>
    <xf numFmtId="0" fontId="19" fillId="0" borderId="26" xfId="1" applyFont="1" applyBorder="1" applyAlignment="1">
      <alignment horizontal="left"/>
    </xf>
    <xf numFmtId="166" fontId="19" fillId="0" borderId="0" xfId="1" applyNumberFormat="1" applyFont="1" applyAlignment="1">
      <alignment horizontal="center"/>
    </xf>
    <xf numFmtId="0" fontId="19" fillId="0" borderId="54" xfId="1" applyFont="1" applyBorder="1" applyAlignment="1">
      <alignment horizontal="center"/>
    </xf>
    <xf numFmtId="0" fontId="19" fillId="5" borderId="26" xfId="1" applyFont="1" applyFill="1" applyBorder="1" applyAlignment="1">
      <alignment horizontal="left"/>
    </xf>
    <xf numFmtId="166" fontId="19" fillId="5" borderId="0" xfId="1" applyNumberFormat="1" applyFont="1" applyFill="1" applyAlignment="1">
      <alignment horizontal="center"/>
    </xf>
    <xf numFmtId="0" fontId="19" fillId="5" borderId="54" xfId="1" applyFont="1" applyFill="1" applyBorder="1" applyAlignment="1">
      <alignment horizontal="center"/>
    </xf>
    <xf numFmtId="0" fontId="19" fillId="0" borderId="55" xfId="1" applyFont="1" applyBorder="1" applyAlignment="1">
      <alignment horizontal="left"/>
    </xf>
    <xf numFmtId="166" fontId="19" fillId="0" borderId="56" xfId="1" applyNumberFormat="1" applyFont="1" applyBorder="1" applyAlignment="1">
      <alignment horizontal="center"/>
    </xf>
    <xf numFmtId="0" fontId="19" fillId="0" borderId="57" xfId="1" applyFont="1" applyBorder="1" applyAlignment="1">
      <alignment horizontal="center"/>
    </xf>
    <xf numFmtId="0" fontId="19" fillId="6" borderId="0" xfId="0" applyFont="1" applyFill="1" applyAlignment="1">
      <alignment vertical="center"/>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0" fontId="0" fillId="6" borderId="0" xfId="0" applyFill="1"/>
    <xf numFmtId="0" fontId="7" fillId="8" borderId="2" xfId="0" applyFont="1" applyFill="1" applyBorder="1" applyAlignment="1">
      <alignment horizontal="center" vertical="center" wrapText="1"/>
    </xf>
    <xf numFmtId="0" fontId="7" fillId="8" borderId="15" xfId="0" applyFont="1" applyFill="1" applyBorder="1" applyAlignment="1">
      <alignment horizontal="center" vertical="center" wrapText="1"/>
    </xf>
    <xf numFmtId="4" fontId="19" fillId="0" borderId="2" xfId="0" applyNumberFormat="1" applyFont="1" applyBorder="1" applyAlignment="1">
      <alignment horizontal="center" vertical="center" wrapText="1"/>
    </xf>
    <xf numFmtId="4" fontId="19" fillId="0" borderId="1" xfId="0" applyNumberFormat="1" applyFont="1" applyBorder="1" applyAlignment="1">
      <alignment horizontal="center" vertical="center" wrapText="1"/>
    </xf>
    <xf numFmtId="0" fontId="8" fillId="0" borderId="0" xfId="0" applyFont="1" applyAlignment="1">
      <alignment horizontal="center" vertical="center"/>
    </xf>
    <xf numFmtId="4" fontId="8" fillId="0" borderId="0" xfId="0" applyNumberFormat="1" applyFont="1" applyAlignment="1">
      <alignment horizontal="center" vertical="center"/>
    </xf>
    <xf numFmtId="167" fontId="8" fillId="0" borderId="0" xfId="0" applyNumberFormat="1" applyFont="1" applyAlignment="1">
      <alignment horizontal="center" vertical="center"/>
    </xf>
    <xf numFmtId="0" fontId="8" fillId="0" borderId="4" xfId="0" applyFont="1" applyBorder="1" applyAlignment="1">
      <alignment vertical="center"/>
    </xf>
    <xf numFmtId="0" fontId="7" fillId="0" borderId="73" xfId="0" applyFont="1" applyBorder="1" applyAlignment="1">
      <alignment vertical="center"/>
    </xf>
    <xf numFmtId="0" fontId="7" fillId="0" borderId="86" xfId="0" applyFont="1" applyBorder="1" applyAlignment="1">
      <alignment vertical="center"/>
    </xf>
    <xf numFmtId="0" fontId="7" fillId="0" borderId="88" xfId="0" applyFont="1" applyBorder="1" applyAlignment="1">
      <alignment vertical="center"/>
    </xf>
    <xf numFmtId="0" fontId="7" fillId="0" borderId="88" xfId="0" applyFont="1" applyBorder="1" applyAlignment="1">
      <alignment vertical="center" wrapText="1"/>
    </xf>
    <xf numFmtId="0" fontId="7" fillId="0" borderId="97" xfId="0" applyFont="1" applyBorder="1" applyAlignment="1">
      <alignment vertical="center"/>
    </xf>
    <xf numFmtId="0" fontId="8" fillId="0" borderId="100" xfId="0" applyFont="1" applyBorder="1" applyAlignment="1" applyProtection="1">
      <alignment horizontal="center" vertical="center"/>
      <protection locked="0"/>
    </xf>
    <xf numFmtId="0" fontId="8" fillId="0" borderId="101" xfId="0" applyFont="1" applyBorder="1" applyAlignment="1" applyProtection="1">
      <alignment horizontal="center" vertical="center"/>
      <protection locked="0"/>
    </xf>
    <xf numFmtId="0" fontId="8" fillId="0" borderId="102" xfId="0" applyFont="1" applyBorder="1" applyAlignment="1" applyProtection="1">
      <alignment horizontal="center" vertical="center"/>
      <protection locked="0"/>
    </xf>
    <xf numFmtId="0" fontId="8" fillId="0" borderId="103" xfId="0" applyFont="1" applyBorder="1" applyAlignment="1" applyProtection="1">
      <alignment horizontal="center" vertical="center"/>
      <protection locked="0"/>
    </xf>
    <xf numFmtId="49" fontId="8" fillId="0" borderId="66" xfId="0" applyNumberFormat="1" applyFont="1" applyBorder="1" applyAlignment="1" applyProtection="1">
      <alignment horizontal="left" vertical="center"/>
      <protection locked="0"/>
    </xf>
    <xf numFmtId="49" fontId="8" fillId="0" borderId="4" xfId="0" applyNumberFormat="1" applyFont="1" applyBorder="1" applyAlignment="1" applyProtection="1">
      <alignment vertical="center"/>
      <protection locked="0"/>
    </xf>
    <xf numFmtId="169" fontId="8" fillId="0" borderId="89" xfId="0" applyNumberFormat="1"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0" fontId="19" fillId="11" borderId="0" xfId="0" applyFont="1" applyFill="1" applyAlignment="1">
      <alignment vertical="center"/>
    </xf>
    <xf numFmtId="0" fontId="8" fillId="11" borderId="0" xfId="0" applyFont="1" applyFill="1" applyAlignment="1">
      <alignment vertical="center"/>
    </xf>
    <xf numFmtId="0" fontId="8" fillId="11" borderId="0" xfId="0" applyFont="1" applyFill="1" applyAlignment="1">
      <alignment horizontal="left" vertical="center"/>
    </xf>
    <xf numFmtId="0" fontId="7" fillId="11" borderId="0" xfId="0" applyFont="1" applyFill="1" applyAlignment="1">
      <alignment vertical="center"/>
    </xf>
    <xf numFmtId="0" fontId="26" fillId="9" borderId="23" xfId="0" applyFont="1" applyFill="1" applyBorder="1" applyAlignment="1">
      <alignment vertical="center"/>
    </xf>
    <xf numFmtId="0" fontId="8" fillId="9" borderId="24" xfId="0" applyFont="1" applyFill="1" applyBorder="1" applyAlignment="1">
      <alignment vertical="center"/>
    </xf>
    <xf numFmtId="0" fontId="8" fillId="9" borderId="25" xfId="0" applyFont="1" applyFill="1" applyBorder="1" applyAlignment="1">
      <alignment vertical="center"/>
    </xf>
    <xf numFmtId="49" fontId="8" fillId="9" borderId="26" xfId="0" applyNumberFormat="1" applyFont="1" applyFill="1" applyBorder="1" applyAlignment="1">
      <alignment horizontal="right" vertical="top"/>
    </xf>
    <xf numFmtId="49" fontId="7" fillId="9" borderId="26" xfId="0" applyNumberFormat="1" applyFont="1" applyFill="1" applyBorder="1" applyAlignment="1">
      <alignment horizontal="right" vertical="top"/>
    </xf>
    <xf numFmtId="49" fontId="8" fillId="9" borderId="0" xfId="0" applyNumberFormat="1" applyFont="1" applyFill="1" applyAlignment="1">
      <alignment horizontal="right" vertical="top"/>
    </xf>
    <xf numFmtId="49" fontId="8" fillId="9" borderId="0" xfId="0" applyNumberFormat="1" applyFont="1" applyFill="1" applyAlignment="1">
      <alignment vertical="top" wrapText="1"/>
    </xf>
    <xf numFmtId="49" fontId="7" fillId="9" borderId="26" xfId="0" applyNumberFormat="1" applyFont="1" applyFill="1" applyBorder="1" applyAlignment="1">
      <alignment vertical="top"/>
    </xf>
    <xf numFmtId="49" fontId="7" fillId="9" borderId="26" xfId="0" applyNumberFormat="1" applyFont="1" applyFill="1" applyBorder="1" applyAlignment="1">
      <alignment vertical="center" wrapText="1"/>
    </xf>
    <xf numFmtId="0" fontId="7" fillId="9" borderId="28" xfId="0" applyFont="1" applyFill="1" applyBorder="1" applyAlignment="1">
      <alignment vertical="center"/>
    </xf>
    <xf numFmtId="0" fontId="8" fillId="9" borderId="3" xfId="0" applyFont="1" applyFill="1" applyBorder="1" applyAlignment="1">
      <alignment vertical="center"/>
    </xf>
    <xf numFmtId="49" fontId="8" fillId="9" borderId="3" xfId="0" applyNumberFormat="1" applyFont="1" applyFill="1" applyBorder="1" applyAlignment="1">
      <alignment vertical="top" wrapText="1"/>
    </xf>
    <xf numFmtId="49" fontId="8" fillId="9" borderId="29" xfId="0" applyNumberFormat="1" applyFont="1" applyFill="1" applyBorder="1" applyAlignment="1">
      <alignment vertical="top" wrapText="1"/>
    </xf>
    <xf numFmtId="0" fontId="0" fillId="11" borderId="0" xfId="0" applyFill="1"/>
    <xf numFmtId="0" fontId="0" fillId="11" borderId="0" xfId="0" applyFill="1" applyAlignment="1">
      <alignment vertical="top"/>
    </xf>
    <xf numFmtId="0" fontId="0" fillId="11" borderId="0" xfId="0" applyFill="1" applyAlignment="1">
      <alignment horizontal="center" vertical="center"/>
    </xf>
    <xf numFmtId="0" fontId="8" fillId="11" borderId="0" xfId="0" applyFont="1" applyFill="1" applyAlignment="1">
      <alignment horizontal="center" vertical="center" wrapText="1"/>
    </xf>
    <xf numFmtId="0" fontId="0" fillId="11" borderId="0" xfId="0" applyFill="1" applyAlignment="1">
      <alignment vertical="center"/>
    </xf>
    <xf numFmtId="0" fontId="0" fillId="12" borderId="3" xfId="0" applyFill="1" applyBorder="1" applyAlignment="1">
      <alignment vertical="center"/>
    </xf>
    <xf numFmtId="167" fontId="20" fillId="11" borderId="12" xfId="5" applyNumberFormat="1" applyFont="1" applyFill="1" applyBorder="1" applyAlignment="1" applyProtection="1">
      <alignment horizontal="center" vertical="center" wrapText="1"/>
    </xf>
    <xf numFmtId="167" fontId="20" fillId="11" borderId="12" xfId="0" applyNumberFormat="1" applyFont="1" applyFill="1" applyBorder="1" applyAlignment="1">
      <alignment horizontal="center" vertical="center" wrapText="1"/>
    </xf>
    <xf numFmtId="4" fontId="20" fillId="11" borderId="12" xfId="0" applyNumberFormat="1" applyFont="1" applyFill="1" applyBorder="1" applyAlignment="1">
      <alignment horizontal="center" vertical="center" wrapText="1"/>
    </xf>
    <xf numFmtId="167" fontId="1" fillId="11" borderId="15" xfId="0" applyNumberFormat="1" applyFont="1" applyFill="1" applyBorder="1" applyAlignment="1">
      <alignment horizontal="center" vertical="center" wrapText="1"/>
    </xf>
    <xf numFmtId="4" fontId="8" fillId="11" borderId="15" xfId="0" applyNumberFormat="1" applyFont="1" applyFill="1" applyBorder="1" applyAlignment="1">
      <alignment horizontal="center" vertical="center" wrapText="1"/>
    </xf>
    <xf numFmtId="4" fontId="1" fillId="11" borderId="64" xfId="0" applyNumberFormat="1" applyFont="1" applyFill="1" applyBorder="1" applyAlignment="1">
      <alignment horizontal="center" vertical="center" wrapText="1"/>
    </xf>
    <xf numFmtId="4" fontId="1" fillId="11" borderId="15" xfId="0" applyNumberFormat="1" applyFont="1" applyFill="1" applyBorder="1" applyAlignment="1">
      <alignment horizontal="center" vertical="center" wrapText="1"/>
    </xf>
    <xf numFmtId="0" fontId="0" fillId="12" borderId="20" xfId="0" applyFill="1" applyBorder="1" applyAlignment="1">
      <alignment vertical="center"/>
    </xf>
    <xf numFmtId="0" fontId="16" fillId="11" borderId="0" xfId="0" applyFont="1" applyFill="1" applyAlignment="1">
      <alignment vertical="center"/>
    </xf>
    <xf numFmtId="0" fontId="36" fillId="12" borderId="3" xfId="0" applyFont="1" applyFill="1" applyBorder="1" applyAlignment="1">
      <alignment vertical="center"/>
    </xf>
    <xf numFmtId="0" fontId="40" fillId="11" borderId="0" xfId="0" applyFont="1" applyFill="1" applyAlignment="1">
      <alignment vertical="center"/>
    </xf>
    <xf numFmtId="0" fontId="40" fillId="11" borderId="0" xfId="0" applyFont="1" applyFill="1" applyAlignment="1" applyProtection="1">
      <alignment vertical="center"/>
      <protection locked="0"/>
    </xf>
    <xf numFmtId="0" fontId="8" fillId="11" borderId="0" xfId="0" applyFont="1" applyFill="1" applyAlignment="1" applyProtection="1">
      <alignment vertical="center"/>
      <protection locked="0"/>
    </xf>
    <xf numFmtId="0" fontId="7" fillId="0" borderId="84" xfId="0" applyFont="1" applyBorder="1" applyAlignment="1">
      <alignment vertical="center" wrapText="1"/>
    </xf>
    <xf numFmtId="0" fontId="8" fillId="11" borderId="0" xfId="0" applyFont="1" applyFill="1" applyAlignment="1" applyProtection="1">
      <alignment horizontal="left" vertical="center"/>
      <protection locked="0"/>
    </xf>
    <xf numFmtId="0" fontId="39" fillId="11" borderId="3" xfId="0" applyFont="1" applyFill="1" applyBorder="1" applyAlignment="1">
      <alignment horizontal="center" vertical="center" wrapText="1"/>
    </xf>
    <xf numFmtId="0" fontId="43" fillId="11" borderId="0" xfId="0" applyFont="1" applyFill="1" applyAlignment="1">
      <alignment vertical="center"/>
    </xf>
    <xf numFmtId="0" fontId="16" fillId="7" borderId="26" xfId="0" applyFont="1" applyFill="1" applyBorder="1" applyAlignment="1">
      <alignment vertical="center"/>
    </xf>
    <xf numFmtId="0" fontId="16" fillId="7" borderId="0" xfId="0" applyFont="1" applyFill="1" applyAlignment="1">
      <alignment vertical="center"/>
    </xf>
    <xf numFmtId="0" fontId="16" fillId="7" borderId="54" xfId="0" applyFont="1" applyFill="1" applyBorder="1" applyAlignment="1">
      <alignment vertical="center"/>
    </xf>
    <xf numFmtId="0" fontId="41" fillId="12" borderId="20" xfId="0" applyFont="1" applyFill="1" applyBorder="1" applyAlignment="1">
      <alignment horizontal="center" vertical="center"/>
    </xf>
    <xf numFmtId="0" fontId="16" fillId="12" borderId="3" xfId="0" applyFont="1" applyFill="1" applyBorder="1" applyAlignment="1">
      <alignment horizontal="left" vertical="center"/>
    </xf>
    <xf numFmtId="0" fontId="16" fillId="11" borderId="0" xfId="0" applyFont="1" applyFill="1" applyAlignment="1">
      <alignment horizontal="left" vertical="center"/>
    </xf>
    <xf numFmtId="171" fontId="16" fillId="9" borderId="5" xfId="0" applyNumberFormat="1" applyFont="1" applyFill="1" applyBorder="1" applyAlignment="1" applyProtection="1">
      <alignment horizontal="center" vertical="center"/>
      <protection locked="0"/>
    </xf>
    <xf numFmtId="0" fontId="16" fillId="9" borderId="5" xfId="0" applyFont="1" applyFill="1" applyBorder="1" applyAlignment="1" applyProtection="1">
      <alignment horizontal="center" vertical="center"/>
      <protection locked="0"/>
    </xf>
    <xf numFmtId="0" fontId="16" fillId="9" borderId="22" xfId="0" applyFont="1" applyFill="1" applyBorder="1" applyAlignment="1" applyProtection="1">
      <alignment horizontal="center" vertical="center"/>
      <protection locked="0"/>
    </xf>
    <xf numFmtId="172" fontId="16" fillId="9" borderId="5" xfId="0" applyNumberFormat="1" applyFont="1" applyFill="1" applyBorder="1" applyAlignment="1" applyProtection="1">
      <alignment horizontal="center" vertical="center"/>
      <protection locked="0"/>
    </xf>
    <xf numFmtId="173" fontId="16" fillId="9" borderId="5" xfId="0" applyNumberFormat="1" applyFont="1" applyFill="1" applyBorder="1" applyAlignment="1" applyProtection="1">
      <alignment horizontal="center" vertical="center"/>
      <protection locked="0"/>
    </xf>
    <xf numFmtId="0" fontId="7" fillId="11" borderId="25" xfId="0" applyFont="1" applyFill="1" applyBorder="1" applyAlignment="1">
      <alignment horizontal="center" vertical="center" wrapText="1"/>
    </xf>
    <xf numFmtId="0" fontId="8" fillId="11" borderId="0" xfId="0" applyFont="1" applyFill="1"/>
    <xf numFmtId="0" fontId="9" fillId="11" borderId="34" xfId="0" applyFont="1" applyFill="1" applyBorder="1" applyAlignment="1">
      <alignment horizontal="center" vertical="center"/>
    </xf>
    <xf numFmtId="0" fontId="9" fillId="11" borderId="15" xfId="0" applyFont="1" applyFill="1" applyBorder="1" applyAlignment="1">
      <alignment horizontal="center" vertical="center"/>
    </xf>
    <xf numFmtId="0" fontId="9" fillId="11" borderId="33" xfId="0" applyFont="1" applyFill="1" applyBorder="1" applyAlignment="1">
      <alignment horizontal="center" vertical="center"/>
    </xf>
    <xf numFmtId="10" fontId="9" fillId="11" borderId="15" xfId="0" applyNumberFormat="1" applyFont="1" applyFill="1" applyBorder="1" applyAlignment="1">
      <alignment horizontal="center" vertical="center"/>
    </xf>
    <xf numFmtId="0" fontId="9" fillId="11" borderId="29" xfId="0" applyFont="1" applyFill="1" applyBorder="1" applyAlignment="1">
      <alignment horizontal="center" vertical="center"/>
    </xf>
    <xf numFmtId="0" fontId="1" fillId="11" borderId="0" xfId="0" applyFont="1" applyFill="1"/>
    <xf numFmtId="2" fontId="7" fillId="11" borderId="5" xfId="0" applyNumberFormat="1"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21" xfId="0" applyFont="1" applyFill="1" applyBorder="1" applyAlignment="1">
      <alignment horizontal="center" vertical="center" wrapText="1"/>
    </xf>
    <xf numFmtId="0" fontId="7" fillId="11" borderId="17" xfId="0" applyFont="1" applyFill="1" applyBorder="1" applyAlignment="1">
      <alignment horizontal="center" vertical="center" wrapText="1"/>
    </xf>
    <xf numFmtId="0" fontId="7" fillId="11" borderId="18" xfId="0" applyFont="1" applyFill="1" applyBorder="1" applyAlignment="1">
      <alignment horizontal="center" vertical="center" wrapText="1"/>
    </xf>
    <xf numFmtId="0" fontId="29" fillId="11" borderId="0" xfId="0" applyFont="1" applyFill="1" applyAlignment="1">
      <alignment vertical="center"/>
    </xf>
    <xf numFmtId="0" fontId="14" fillId="11" borderId="0" xfId="0" applyFont="1" applyFill="1"/>
    <xf numFmtId="10" fontId="8" fillId="11" borderId="0" xfId="0" applyNumberFormat="1" applyFont="1" applyFill="1"/>
    <xf numFmtId="0" fontId="1" fillId="11" borderId="15" xfId="0" applyFont="1" applyFill="1" applyBorder="1" applyAlignment="1">
      <alignment horizontal="center" vertical="center"/>
    </xf>
    <xf numFmtId="10" fontId="1" fillId="11" borderId="15" xfId="0" applyNumberFormat="1" applyFont="1" applyFill="1" applyBorder="1" applyAlignment="1">
      <alignment horizontal="center" vertical="center"/>
    </xf>
    <xf numFmtId="0" fontId="1" fillId="11" borderId="29" xfId="0" applyFont="1" applyFill="1" applyBorder="1" applyAlignment="1">
      <alignment horizontal="center" vertical="center"/>
    </xf>
    <xf numFmtId="2" fontId="16" fillId="7" borderId="5" xfId="0" applyNumberFormat="1" applyFont="1" applyFill="1" applyBorder="1" applyAlignment="1">
      <alignment horizontal="center" vertical="center"/>
    </xf>
    <xf numFmtId="2" fontId="16" fillId="9" borderId="5" xfId="0" applyNumberFormat="1" applyFont="1" applyFill="1" applyBorder="1" applyAlignment="1" applyProtection="1">
      <alignment horizontal="center" vertical="center"/>
      <protection locked="0"/>
    </xf>
    <xf numFmtId="1" fontId="16" fillId="9" borderId="5" xfId="0" applyNumberFormat="1" applyFont="1" applyFill="1" applyBorder="1" applyAlignment="1" applyProtection="1">
      <alignment horizontal="center" vertical="center"/>
      <protection locked="0"/>
    </xf>
    <xf numFmtId="175" fontId="47" fillId="11" borderId="0" xfId="0" applyNumberFormat="1" applyFont="1" applyFill="1" applyAlignment="1">
      <alignment horizontal="right" vertical="center"/>
    </xf>
    <xf numFmtId="0" fontId="16" fillId="11" borderId="24" xfId="0" applyFont="1" applyFill="1" applyBorder="1" applyAlignment="1">
      <alignment vertical="center" wrapText="1"/>
    </xf>
    <xf numFmtId="0" fontId="16" fillId="11" borderId="0" xfId="0" applyFont="1" applyFill="1" applyAlignment="1">
      <alignment horizontal="left" vertical="center" wrapText="1"/>
    </xf>
    <xf numFmtId="0" fontId="20" fillId="11" borderId="0" xfId="0" applyFont="1" applyFill="1" applyAlignment="1">
      <alignment vertical="center"/>
    </xf>
    <xf numFmtId="0" fontId="8" fillId="11" borderId="0" xfId="0" applyFont="1" applyFill="1" applyAlignment="1">
      <alignment horizontal="center" vertical="center"/>
    </xf>
    <xf numFmtId="0" fontId="8" fillId="11" borderId="1" xfId="0" applyFont="1" applyFill="1" applyBorder="1" applyAlignment="1">
      <alignment vertical="center"/>
    </xf>
    <xf numFmtId="0" fontId="8" fillId="11" borderId="0" xfId="0" quotePrefix="1" applyFont="1" applyFill="1" applyAlignment="1">
      <alignment horizontal="center" vertical="center"/>
    </xf>
    <xf numFmtId="0" fontId="21" fillId="11" borderId="0" xfId="5" applyFont="1" applyFill="1" applyBorder="1" applyAlignment="1" applyProtection="1">
      <alignment horizontal="center" vertical="center"/>
    </xf>
    <xf numFmtId="0" fontId="47" fillId="11" borderId="0" xfId="5" applyFont="1" applyFill="1" applyAlignment="1" applyProtection="1">
      <alignment horizontal="left" vertical="center" wrapText="1"/>
    </xf>
    <xf numFmtId="0" fontId="8" fillId="11" borderId="0" xfId="0" applyFont="1" applyFill="1" applyAlignment="1">
      <alignment vertical="center" wrapText="1"/>
    </xf>
    <xf numFmtId="2" fontId="8" fillId="11" borderId="0" xfId="0" applyNumberFormat="1" applyFont="1" applyFill="1" applyAlignment="1">
      <alignment vertical="center"/>
    </xf>
    <xf numFmtId="0" fontId="0" fillId="11" borderId="138" xfId="0" applyFill="1" applyBorder="1" applyAlignment="1">
      <alignment vertical="center" wrapText="1"/>
    </xf>
    <xf numFmtId="0" fontId="0" fillId="11" borderId="141" xfId="0" applyFill="1" applyBorder="1" applyAlignment="1">
      <alignment vertical="center" wrapText="1"/>
    </xf>
    <xf numFmtId="178" fontId="8" fillId="11" borderId="0" xfId="0" applyNumberFormat="1" applyFont="1" applyFill="1" applyAlignment="1">
      <alignment vertical="center"/>
    </xf>
    <xf numFmtId="0" fontId="16" fillId="11" borderId="139" xfId="0" applyFont="1" applyFill="1" applyBorder="1" applyAlignment="1">
      <alignment horizontal="center" vertical="center" wrapText="1"/>
    </xf>
    <xf numFmtId="178" fontId="50" fillId="11" borderId="0" xfId="0" applyNumberFormat="1" applyFont="1" applyFill="1" applyAlignment="1">
      <alignment horizontal="center" vertical="center"/>
    </xf>
    <xf numFmtId="0" fontId="0" fillId="11" borderId="140" xfId="0" applyFill="1" applyBorder="1" applyAlignment="1">
      <alignment vertical="center" wrapText="1"/>
    </xf>
    <xf numFmtId="0" fontId="40" fillId="11" borderId="0" xfId="0" applyFont="1" applyFill="1"/>
    <xf numFmtId="0" fontId="8" fillId="11" borderId="0" xfId="0" quotePrefix="1" applyFont="1" applyFill="1" applyAlignment="1">
      <alignment vertical="center"/>
    </xf>
    <xf numFmtId="0" fontId="0" fillId="12" borderId="3" xfId="0" applyFill="1" applyBorder="1" applyAlignment="1">
      <alignment horizontal="center" vertical="center"/>
    </xf>
    <xf numFmtId="0" fontId="8" fillId="11" borderId="0" xfId="0" applyFont="1" applyFill="1" applyAlignment="1">
      <alignment horizontal="center"/>
    </xf>
    <xf numFmtId="0" fontId="0" fillId="12" borderId="20" xfId="0" applyFill="1" applyBorder="1" applyAlignment="1">
      <alignment horizontal="center" vertical="center"/>
    </xf>
    <xf numFmtId="10" fontId="8" fillId="11" borderId="0" xfId="9" applyNumberFormat="1" applyFont="1" applyFill="1" applyProtection="1"/>
    <xf numFmtId="0" fontId="1" fillId="11" borderId="0" xfId="0" applyFont="1" applyFill="1" applyAlignment="1">
      <alignment vertical="center"/>
    </xf>
    <xf numFmtId="10" fontId="8" fillId="11" borderId="0" xfId="0" applyNumberFormat="1" applyFont="1" applyFill="1" applyAlignment="1">
      <alignment vertical="center"/>
    </xf>
    <xf numFmtId="0" fontId="40" fillId="11" borderId="0" xfId="0" applyFont="1" applyFill="1" applyAlignment="1">
      <alignment horizontal="center" vertical="center"/>
    </xf>
    <xf numFmtId="9" fontId="8" fillId="11" borderId="0" xfId="9" applyFont="1" applyFill="1" applyAlignment="1" applyProtection="1">
      <alignment horizontal="center" vertical="center"/>
    </xf>
    <xf numFmtId="166" fontId="24" fillId="4" borderId="19" xfId="1" applyNumberFormat="1" applyFont="1" applyFill="1" applyBorder="1" applyAlignment="1">
      <alignment horizontal="center"/>
    </xf>
    <xf numFmtId="166" fontId="19" fillId="0" borderId="26" xfId="1" applyNumberFormat="1" applyFont="1" applyBorder="1" applyAlignment="1">
      <alignment horizontal="center"/>
    </xf>
    <xf numFmtId="166" fontId="19" fillId="5" borderId="26" xfId="1" applyNumberFormat="1" applyFont="1" applyFill="1" applyBorder="1" applyAlignment="1">
      <alignment horizontal="center"/>
    </xf>
    <xf numFmtId="0" fontId="3" fillId="6" borderId="0" xfId="1" applyFill="1" applyAlignment="1">
      <alignment horizontal="left"/>
    </xf>
    <xf numFmtId="0" fontId="24" fillId="4" borderId="20" xfId="1" applyFont="1" applyFill="1" applyBorder="1" applyAlignment="1">
      <alignment horizontal="left"/>
    </xf>
    <xf numFmtId="166" fontId="19" fillId="0" borderId="0" xfId="1" applyNumberFormat="1" applyFont="1" applyAlignment="1">
      <alignment horizontal="left"/>
    </xf>
    <xf numFmtId="166" fontId="19" fillId="5" borderId="0" xfId="1" applyNumberFormat="1" applyFont="1" applyFill="1" applyAlignment="1">
      <alignment horizontal="left"/>
    </xf>
    <xf numFmtId="0" fontId="50" fillId="11" borderId="0" xfId="0" applyFont="1" applyFill="1" applyAlignment="1">
      <alignment vertical="center"/>
    </xf>
    <xf numFmtId="166" fontId="19" fillId="0" borderId="55" xfId="1" applyNumberFormat="1" applyFont="1" applyBorder="1" applyAlignment="1">
      <alignment horizontal="center"/>
    </xf>
    <xf numFmtId="166" fontId="19" fillId="0" borderId="56" xfId="1" applyNumberFormat="1" applyFont="1" applyBorder="1" applyAlignment="1">
      <alignment horizontal="left"/>
    </xf>
    <xf numFmtId="0" fontId="16" fillId="0" borderId="148" xfId="0" applyFont="1" applyBorder="1" applyAlignment="1">
      <alignment vertical="center" wrapText="1"/>
    </xf>
    <xf numFmtId="0" fontId="8" fillId="11" borderId="0" xfId="0" applyFont="1" applyFill="1" applyAlignment="1" applyProtection="1">
      <alignment horizontal="center" vertical="center"/>
      <protection locked="0"/>
    </xf>
    <xf numFmtId="0" fontId="8" fillId="11" borderId="26" xfId="0" applyFont="1" applyFill="1" applyBorder="1" applyAlignment="1">
      <alignment horizontal="center" vertical="center" wrapText="1"/>
    </xf>
    <xf numFmtId="0" fontId="0" fillId="11" borderId="68" xfId="0" applyFill="1" applyBorder="1" applyAlignment="1">
      <alignment vertical="center"/>
    </xf>
    <xf numFmtId="175" fontId="47" fillId="11" borderId="68" xfId="0" applyNumberFormat="1" applyFont="1" applyFill="1" applyBorder="1" applyAlignment="1">
      <alignment horizontal="right" vertical="center"/>
    </xf>
    <xf numFmtId="0" fontId="0" fillId="11" borderId="132" xfId="0" applyFill="1" applyBorder="1" applyAlignment="1">
      <alignment vertical="center"/>
    </xf>
    <xf numFmtId="0" fontId="16" fillId="11" borderId="111" xfId="0" applyFont="1" applyFill="1" applyBorder="1" applyAlignment="1">
      <alignment vertical="center" wrapText="1"/>
    </xf>
    <xf numFmtId="0" fontId="47" fillId="11" borderId="68" xfId="5" applyFont="1" applyFill="1" applyBorder="1" applyAlignment="1" applyProtection="1">
      <alignment horizontal="left" vertical="center" wrapText="1"/>
    </xf>
    <xf numFmtId="0" fontId="0" fillId="11" borderId="68" xfId="0" applyFill="1" applyBorder="1" applyAlignment="1">
      <alignment horizontal="center" vertical="center"/>
    </xf>
    <xf numFmtId="175" fontId="16" fillId="11" borderId="68" xfId="0" applyNumberFormat="1" applyFont="1" applyFill="1" applyBorder="1" applyAlignment="1">
      <alignment horizontal="right" vertical="center"/>
    </xf>
    <xf numFmtId="175" fontId="16" fillId="11" borderId="143" xfId="0" applyNumberFormat="1" applyFont="1" applyFill="1" applyBorder="1" applyAlignment="1">
      <alignment horizontal="right" vertical="center"/>
    </xf>
    <xf numFmtId="0" fontId="0" fillId="11" borderId="143" xfId="0" applyFill="1" applyBorder="1" applyAlignment="1">
      <alignment vertical="center"/>
    </xf>
    <xf numFmtId="0" fontId="21" fillId="11" borderId="68" xfId="5" applyFont="1" applyFill="1" applyBorder="1" applyAlignment="1" applyProtection="1">
      <alignment horizontal="center" vertical="center"/>
    </xf>
    <xf numFmtId="14" fontId="16" fillId="0" borderId="154" xfId="0" applyNumberFormat="1" applyFont="1" applyBorder="1" applyAlignment="1" applyProtection="1">
      <alignment vertical="center" wrapText="1"/>
      <protection locked="0"/>
    </xf>
    <xf numFmtId="14" fontId="16" fillId="0" borderId="36" xfId="0" applyNumberFormat="1" applyFont="1" applyBorder="1" applyAlignment="1" applyProtection="1">
      <alignment vertical="center" wrapText="1"/>
      <protection locked="0"/>
    </xf>
    <xf numFmtId="14" fontId="16" fillId="0" borderId="37" xfId="0" applyNumberFormat="1" applyFont="1" applyBorder="1" applyAlignment="1" applyProtection="1">
      <alignment vertical="center" wrapText="1"/>
      <protection locked="0"/>
    </xf>
    <xf numFmtId="0" fontId="42" fillId="0" borderId="156" xfId="0" applyFont="1" applyBorder="1" applyAlignment="1">
      <alignment horizontal="center" vertical="center" wrapText="1"/>
    </xf>
    <xf numFmtId="0" fontId="28" fillId="11" borderId="72" xfId="0" applyFont="1" applyFill="1" applyBorder="1" applyAlignment="1">
      <alignment horizontal="center" vertical="center" textRotation="180"/>
    </xf>
    <xf numFmtId="176" fontId="8" fillId="11" borderId="0" xfId="0" applyNumberFormat="1" applyFont="1" applyFill="1" applyAlignment="1">
      <alignment vertical="center"/>
    </xf>
    <xf numFmtId="49" fontId="16" fillId="0" borderId="83" xfId="0" applyNumberFormat="1" applyFont="1" applyBorder="1" applyAlignment="1">
      <alignment horizontal="left" vertical="center"/>
    </xf>
    <xf numFmtId="49" fontId="16" fillId="0" borderId="67" xfId="0" applyNumberFormat="1" applyFont="1" applyBorder="1" applyAlignment="1">
      <alignment horizontal="left" vertical="center"/>
    </xf>
    <xf numFmtId="0" fontId="8" fillId="11" borderId="1" xfId="0" applyFont="1" applyFill="1" applyBorder="1" applyAlignment="1">
      <alignment horizontal="left" vertical="center"/>
    </xf>
    <xf numFmtId="167" fontId="8" fillId="11" borderId="0" xfId="0" applyNumberFormat="1" applyFont="1" applyFill="1" applyAlignment="1">
      <alignment horizontal="center" vertical="center"/>
    </xf>
    <xf numFmtId="4" fontId="8" fillId="11" borderId="0" xfId="0" applyNumberFormat="1" applyFont="1" applyFill="1" applyAlignment="1">
      <alignment horizontal="center" vertical="center"/>
    </xf>
    <xf numFmtId="0" fontId="10" fillId="11" borderId="0" xfId="0" applyFont="1" applyFill="1" applyAlignment="1">
      <alignment vertical="center"/>
    </xf>
    <xf numFmtId="0" fontId="7" fillId="11" borderId="0" xfId="0" applyFont="1" applyFill="1" applyAlignment="1">
      <alignment horizontal="center" vertical="center"/>
    </xf>
    <xf numFmtId="0" fontId="15" fillId="11" borderId="0" xfId="0" applyFont="1" applyFill="1" applyAlignment="1">
      <alignment vertical="center"/>
    </xf>
    <xf numFmtId="0" fontId="9" fillId="6" borderId="3" xfId="19" applyFont="1" applyFill="1" applyBorder="1" applyAlignment="1">
      <alignment wrapText="1"/>
    </xf>
    <xf numFmtId="0" fontId="9" fillId="6" borderId="3" xfId="19" applyFont="1" applyFill="1" applyBorder="1"/>
    <xf numFmtId="0" fontId="30" fillId="6" borderId="3" xfId="0" applyFont="1" applyFill="1" applyBorder="1"/>
    <xf numFmtId="0" fontId="1" fillId="6" borderId="0" xfId="19" applyFill="1" applyAlignment="1">
      <alignment horizontal="left" vertical="top" wrapText="1"/>
    </xf>
    <xf numFmtId="0" fontId="0" fillId="6" borderId="0" xfId="0" applyFill="1" applyAlignment="1">
      <alignment vertical="center"/>
    </xf>
    <xf numFmtId="0" fontId="16" fillId="6" borderId="134" xfId="0" applyFont="1" applyFill="1" applyBorder="1" applyAlignment="1">
      <alignment horizontal="center" vertical="center" wrapText="1"/>
    </xf>
    <xf numFmtId="0" fontId="16" fillId="6" borderId="135" xfId="0" applyFont="1" applyFill="1" applyBorder="1" applyAlignment="1">
      <alignment horizontal="center" vertical="center" wrapText="1"/>
    </xf>
    <xf numFmtId="0" fontId="0" fillId="6" borderId="140" xfId="0" applyFill="1" applyBorder="1" applyAlignment="1">
      <alignment vertical="center" wrapText="1"/>
    </xf>
    <xf numFmtId="178" fontId="0" fillId="6" borderId="58" xfId="0" applyNumberFormat="1" applyFill="1" applyBorder="1" applyAlignment="1">
      <alignment horizontal="center" vertical="center" wrapText="1"/>
    </xf>
    <xf numFmtId="9" fontId="0" fillId="6" borderId="58" xfId="9" applyFont="1" applyFill="1" applyBorder="1" applyAlignment="1">
      <alignment horizontal="center" vertical="center" wrapText="1"/>
    </xf>
    <xf numFmtId="9" fontId="0" fillId="6" borderId="2" xfId="9" applyFont="1" applyFill="1" applyBorder="1" applyAlignment="1">
      <alignment horizontal="center" vertical="center" wrapText="1"/>
    </xf>
    <xf numFmtId="0" fontId="0" fillId="6" borderId="2" xfId="0" applyFill="1" applyBorder="1" applyAlignment="1">
      <alignment horizontal="center" vertical="center" wrapText="1"/>
    </xf>
    <xf numFmtId="0" fontId="0" fillId="6" borderId="137" xfId="0" applyFill="1" applyBorder="1" applyAlignment="1">
      <alignment horizontal="center" vertical="center" wrapText="1"/>
    </xf>
    <xf numFmtId="0" fontId="0" fillId="6" borderId="138" xfId="0" applyFill="1" applyBorder="1" applyAlignment="1">
      <alignment vertical="center" wrapText="1"/>
    </xf>
    <xf numFmtId="178" fontId="0" fillId="6" borderId="8" xfId="0" applyNumberFormat="1" applyFill="1" applyBorder="1" applyAlignment="1">
      <alignment horizontal="center" vertical="center" wrapText="1"/>
    </xf>
    <xf numFmtId="9" fontId="0" fillId="6" borderId="8" xfId="9" applyFont="1" applyFill="1" applyBorder="1" applyAlignment="1">
      <alignment horizontal="center" vertical="center" wrapText="1"/>
    </xf>
    <xf numFmtId="9" fontId="0" fillId="6" borderId="1" xfId="9"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136" xfId="0" applyFill="1" applyBorder="1" applyAlignment="1">
      <alignment horizontal="center" vertical="center" wrapText="1"/>
    </xf>
    <xf numFmtId="0" fontId="0" fillId="6" borderId="8" xfId="0" applyFill="1" applyBorder="1" applyAlignment="1">
      <alignment horizontal="center" vertical="center" wrapText="1"/>
    </xf>
    <xf numFmtId="9" fontId="0" fillId="6" borderId="136" xfId="9" applyFont="1" applyFill="1" applyBorder="1" applyAlignment="1">
      <alignment horizontal="center" vertical="center" wrapText="1"/>
    </xf>
    <xf numFmtId="0" fontId="49" fillId="6" borderId="1" xfId="5" applyFont="1" applyFill="1" applyBorder="1" applyAlignment="1" applyProtection="1">
      <alignment horizontal="center" vertical="center" wrapText="1"/>
    </xf>
    <xf numFmtId="0" fontId="0" fillId="6" borderId="141" xfId="0" applyFill="1" applyBorder="1" applyAlignment="1">
      <alignment vertical="center" wrapText="1"/>
    </xf>
    <xf numFmtId="178" fontId="0" fillId="6" borderId="133" xfId="0" applyNumberFormat="1" applyFill="1" applyBorder="1" applyAlignment="1">
      <alignment horizontal="center" vertical="center" wrapText="1"/>
    </xf>
    <xf numFmtId="9" fontId="0" fillId="6" borderId="133" xfId="9" applyFont="1" applyFill="1" applyBorder="1" applyAlignment="1">
      <alignment horizontal="center" vertical="center" wrapText="1"/>
    </xf>
    <xf numFmtId="9" fontId="0" fillId="6" borderId="134" xfId="9" applyFont="1" applyFill="1" applyBorder="1" applyAlignment="1">
      <alignment horizontal="center" vertical="center" wrapText="1"/>
    </xf>
    <xf numFmtId="0" fontId="0" fillId="6" borderId="134" xfId="0" applyFill="1" applyBorder="1" applyAlignment="1">
      <alignment horizontal="center" vertical="center" wrapText="1"/>
    </xf>
    <xf numFmtId="0" fontId="0" fillId="6" borderId="135" xfId="0" applyFill="1" applyBorder="1" applyAlignment="1">
      <alignment horizontal="center" vertical="center" wrapText="1"/>
    </xf>
    <xf numFmtId="178" fontId="0" fillId="6" borderId="0" xfId="0" applyNumberFormat="1" applyFill="1" applyAlignment="1">
      <alignment vertical="center"/>
    </xf>
    <xf numFmtId="175" fontId="47" fillId="11" borderId="143" xfId="0" applyNumberFormat="1" applyFont="1" applyFill="1" applyBorder="1" applyAlignment="1">
      <alignment horizontal="left" vertical="center" wrapText="1"/>
    </xf>
    <xf numFmtId="0" fontId="16" fillId="9" borderId="43" xfId="0" applyFont="1" applyFill="1" applyBorder="1" applyAlignment="1">
      <alignment vertical="center" wrapText="1"/>
    </xf>
    <xf numFmtId="0" fontId="16" fillId="9" borderId="47" xfId="0" applyFont="1" applyFill="1" applyBorder="1" applyAlignment="1">
      <alignment vertical="center" wrapText="1"/>
    </xf>
    <xf numFmtId="0" fontId="46" fillId="11" borderId="117" xfId="5" applyFont="1" applyFill="1" applyBorder="1" applyAlignment="1" applyProtection="1">
      <alignment horizontal="center" vertical="center" wrapText="1"/>
    </xf>
    <xf numFmtId="0" fontId="46" fillId="11" borderId="118" xfId="5" applyFont="1" applyFill="1" applyBorder="1" applyAlignment="1" applyProtection="1">
      <alignment horizontal="center" vertical="center" wrapText="1"/>
    </xf>
    <xf numFmtId="0" fontId="46" fillId="11" borderId="119" xfId="5" applyFont="1" applyFill="1" applyBorder="1" applyAlignment="1" applyProtection="1">
      <alignment horizontal="center" vertical="center" wrapText="1"/>
    </xf>
    <xf numFmtId="175" fontId="47" fillId="11" borderId="143" xfId="0" applyNumberFormat="1" applyFont="1" applyFill="1" applyBorder="1" applyAlignment="1">
      <alignment horizontal="left" vertical="center"/>
    </xf>
    <xf numFmtId="0" fontId="16" fillId="0" borderId="43" xfId="0" applyFont="1" applyBorder="1" applyAlignment="1">
      <alignment vertical="center" wrapText="1"/>
    </xf>
    <xf numFmtId="0" fontId="16" fillId="9" borderId="12" xfId="0" applyFont="1" applyFill="1" applyBorder="1" applyAlignment="1">
      <alignment vertical="center" wrapText="1"/>
    </xf>
    <xf numFmtId="0" fontId="16" fillId="0" borderId="12" xfId="0" applyFont="1" applyBorder="1" applyAlignment="1">
      <alignment vertical="center" wrapText="1"/>
    </xf>
    <xf numFmtId="0" fontId="16" fillId="0" borderId="62" xfId="0" applyFont="1" applyBorder="1" applyAlignment="1">
      <alignment vertical="center" wrapText="1"/>
    </xf>
    <xf numFmtId="0" fontId="16" fillId="0" borderId="93" xfId="0" applyFont="1" applyBorder="1" applyAlignment="1">
      <alignment horizontal="left" vertical="center"/>
    </xf>
    <xf numFmtId="0" fontId="16" fillId="0" borderId="88" xfId="0" applyFont="1" applyBorder="1" applyAlignment="1">
      <alignment horizontal="left" vertical="center"/>
    </xf>
    <xf numFmtId="0" fontId="16" fillId="0" borderId="93" xfId="0" applyFont="1" applyBorder="1" applyAlignment="1">
      <alignment horizontal="left" vertical="top" wrapText="1"/>
    </xf>
    <xf numFmtId="0" fontId="16" fillId="0" borderId="88" xfId="0" applyFont="1" applyBorder="1" applyAlignment="1">
      <alignment horizontal="left" vertical="top" wrapText="1"/>
    </xf>
    <xf numFmtId="0" fontId="16" fillId="9" borderId="93" xfId="0" applyFont="1" applyFill="1" applyBorder="1" applyAlignment="1">
      <alignment horizontal="left" vertical="center"/>
    </xf>
    <xf numFmtId="0" fontId="16" fillId="9" borderId="88" xfId="0" applyFont="1" applyFill="1" applyBorder="1" applyAlignment="1">
      <alignment horizontal="left" vertical="center"/>
    </xf>
    <xf numFmtId="0" fontId="16" fillId="9" borderId="93" xfId="0" applyFont="1" applyFill="1" applyBorder="1" applyAlignment="1">
      <alignment vertical="center"/>
    </xf>
    <xf numFmtId="0" fontId="16" fillId="9" borderId="88" xfId="0" applyFont="1" applyFill="1" applyBorder="1" applyAlignment="1">
      <alignment vertical="center"/>
    </xf>
    <xf numFmtId="0" fontId="7" fillId="9" borderId="91" xfId="0" applyFont="1" applyFill="1" applyBorder="1" applyAlignment="1">
      <alignment horizontal="center" vertical="center" wrapText="1"/>
    </xf>
    <xf numFmtId="0" fontId="7" fillId="0" borderId="91" xfId="0" applyFont="1" applyBorder="1" applyAlignment="1">
      <alignment horizontal="center" vertical="center" wrapText="1"/>
    </xf>
    <xf numFmtId="0" fontId="16" fillId="0" borderId="67" xfId="0" applyFont="1" applyBorder="1" applyAlignment="1">
      <alignment horizontal="left" vertical="center"/>
    </xf>
    <xf numFmtId="0" fontId="16" fillId="0" borderId="87" xfId="0" applyFont="1" applyBorder="1" applyAlignment="1">
      <alignment horizontal="left" vertical="center"/>
    </xf>
    <xf numFmtId="0" fontId="16" fillId="0" borderId="78" xfId="0" applyFont="1" applyBorder="1" applyAlignment="1">
      <alignment horizontal="left" vertical="center"/>
    </xf>
    <xf numFmtId="0" fontId="16" fillId="0" borderId="98" xfId="0" applyFont="1" applyBorder="1" applyAlignment="1">
      <alignment horizontal="left" vertical="center"/>
    </xf>
    <xf numFmtId="0" fontId="16" fillId="9" borderId="158" xfId="0" applyFont="1" applyFill="1" applyBorder="1" applyAlignment="1">
      <alignment vertical="center"/>
    </xf>
    <xf numFmtId="0" fontId="16" fillId="9" borderId="165" xfId="0" applyFont="1" applyFill="1" applyBorder="1" applyAlignment="1">
      <alignment vertical="center"/>
    </xf>
    <xf numFmtId="0" fontId="16" fillId="9" borderId="162" xfId="0" applyFont="1" applyFill="1" applyBorder="1" applyAlignment="1">
      <alignment vertical="center"/>
    </xf>
    <xf numFmtId="164" fontId="16" fillId="0" borderId="118" xfId="0" applyNumberFormat="1" applyFont="1" applyBorder="1" applyAlignment="1" applyProtection="1">
      <alignment horizontal="center" vertical="center" wrapText="1"/>
      <protection locked="0"/>
    </xf>
    <xf numFmtId="0" fontId="16" fillId="0" borderId="118" xfId="0" applyFont="1" applyBorder="1" applyAlignment="1" applyProtection="1">
      <alignment horizontal="center" vertical="center" wrapText="1"/>
      <protection locked="0"/>
    </xf>
    <xf numFmtId="164" fontId="16" fillId="0" borderId="119" xfId="0" applyNumberFormat="1" applyFont="1" applyBorder="1" applyAlignment="1" applyProtection="1">
      <alignment horizontal="center" vertical="center" wrapText="1"/>
      <protection locked="0"/>
    </xf>
    <xf numFmtId="0" fontId="16" fillId="0" borderId="119" xfId="0" applyFont="1" applyBorder="1" applyAlignment="1" applyProtection="1">
      <alignment horizontal="center" vertical="center" wrapText="1"/>
      <protection locked="0"/>
    </xf>
    <xf numFmtId="164" fontId="16" fillId="11" borderId="117" xfId="0" applyNumberFormat="1" applyFont="1" applyFill="1" applyBorder="1" applyAlignment="1">
      <alignment horizontal="center" vertical="center" wrapText="1"/>
    </xf>
    <xf numFmtId="0" fontId="16" fillId="11" borderId="117" xfId="0" applyFont="1" applyFill="1" applyBorder="1" applyAlignment="1">
      <alignment horizontal="center" vertical="center" wrapText="1"/>
    </xf>
    <xf numFmtId="0" fontId="16" fillId="11" borderId="118" xfId="0" applyFont="1" applyFill="1" applyBorder="1" applyAlignment="1">
      <alignment horizontal="center" vertical="center" wrapText="1"/>
    </xf>
    <xf numFmtId="164" fontId="16" fillId="11" borderId="118" xfId="0" applyNumberFormat="1" applyFont="1" applyFill="1" applyBorder="1" applyAlignment="1">
      <alignment horizontal="center" vertical="center" wrapText="1"/>
    </xf>
    <xf numFmtId="0" fontId="16" fillId="11" borderId="0" xfId="0" applyFont="1" applyFill="1"/>
    <xf numFmtId="0" fontId="16" fillId="9" borderId="10" xfId="0" applyFont="1" applyFill="1" applyBorder="1" applyAlignment="1">
      <alignment vertical="center"/>
    </xf>
    <xf numFmtId="0" fontId="16" fillId="9" borderId="85" xfId="0" applyFont="1" applyFill="1" applyBorder="1" applyAlignment="1">
      <alignment vertical="center"/>
    </xf>
    <xf numFmtId="0" fontId="16" fillId="9" borderId="98" xfId="0" applyFont="1" applyFill="1" applyBorder="1" applyAlignment="1">
      <alignment vertical="center"/>
    </xf>
    <xf numFmtId="0" fontId="16" fillId="9" borderId="99" xfId="0" applyFont="1" applyFill="1" applyBorder="1" applyAlignment="1">
      <alignment vertical="center"/>
    </xf>
    <xf numFmtId="0" fontId="16" fillId="9" borderId="66" xfId="0" applyFont="1" applyFill="1" applyBorder="1" applyAlignment="1">
      <alignment vertical="center"/>
    </xf>
    <xf numFmtId="0" fontId="16" fillId="9" borderId="95" xfId="0" applyFont="1" applyFill="1" applyBorder="1" applyAlignment="1">
      <alignment vertical="center"/>
    </xf>
    <xf numFmtId="49" fontId="16" fillId="9" borderId="158" xfId="0" applyNumberFormat="1" applyFont="1" applyFill="1" applyBorder="1" applyAlignment="1">
      <alignment horizontal="left" vertical="center"/>
    </xf>
    <xf numFmtId="0" fontId="16" fillId="9" borderId="175" xfId="0" applyFont="1" applyFill="1" applyBorder="1" applyAlignment="1">
      <alignment vertical="center"/>
    </xf>
    <xf numFmtId="0" fontId="16" fillId="11" borderId="42" xfId="0" applyFont="1" applyFill="1" applyBorder="1" applyAlignment="1">
      <alignment horizontal="center" vertical="center"/>
    </xf>
    <xf numFmtId="167" fontId="16" fillId="11" borderId="43" xfId="0" applyNumberFormat="1" applyFont="1" applyFill="1" applyBorder="1" applyAlignment="1">
      <alignment horizontal="center" vertical="center"/>
    </xf>
    <xf numFmtId="174" fontId="16" fillId="11" borderId="43" xfId="0" applyNumberFormat="1" applyFont="1" applyFill="1" applyBorder="1" applyAlignment="1">
      <alignment horizontal="center" vertical="center"/>
    </xf>
    <xf numFmtId="4" fontId="16" fillId="11" borderId="43" xfId="0" applyNumberFormat="1" applyFont="1" applyFill="1" applyBorder="1" applyAlignment="1">
      <alignment horizontal="center" vertical="center"/>
    </xf>
    <xf numFmtId="4" fontId="16" fillId="11" borderId="121" xfId="0" applyNumberFormat="1" applyFont="1" applyFill="1" applyBorder="1" applyAlignment="1">
      <alignment horizontal="center" vertical="center"/>
    </xf>
    <xf numFmtId="4" fontId="16" fillId="11" borderId="36" xfId="0" applyNumberFormat="1" applyFont="1" applyFill="1" applyBorder="1" applyAlignment="1">
      <alignment horizontal="center" vertical="center"/>
    </xf>
    <xf numFmtId="0" fontId="16" fillId="11" borderId="126" xfId="0" applyFont="1" applyFill="1" applyBorder="1" applyAlignment="1">
      <alignment horizontal="center" vertical="center"/>
    </xf>
    <xf numFmtId="0" fontId="16" fillId="11" borderId="127" xfId="0" applyFont="1" applyFill="1" applyBorder="1" applyAlignment="1">
      <alignment horizontal="center" vertical="center"/>
    </xf>
    <xf numFmtId="167" fontId="16" fillId="11" borderId="127" xfId="0" applyNumberFormat="1" applyFont="1" applyFill="1" applyBorder="1" applyAlignment="1">
      <alignment horizontal="center" vertical="center"/>
    </xf>
    <xf numFmtId="174" fontId="16" fillId="11" borderId="127" xfId="0" applyNumberFormat="1" applyFont="1" applyFill="1" applyBorder="1" applyAlignment="1">
      <alignment horizontal="center" vertical="center"/>
    </xf>
    <xf numFmtId="4" fontId="16" fillId="11" borderId="127" xfId="0" applyNumberFormat="1" applyFont="1" applyFill="1" applyBorder="1" applyAlignment="1">
      <alignment horizontal="center" vertical="center"/>
    </xf>
    <xf numFmtId="4" fontId="16" fillId="11" borderId="128" xfId="0" applyNumberFormat="1" applyFont="1" applyFill="1" applyBorder="1" applyAlignment="1">
      <alignment horizontal="center" vertical="center"/>
    </xf>
    <xf numFmtId="4" fontId="16" fillId="11" borderId="129" xfId="0" applyNumberFormat="1" applyFont="1" applyFill="1" applyBorder="1" applyAlignment="1">
      <alignment horizontal="center" vertical="center"/>
    </xf>
    <xf numFmtId="0" fontId="16" fillId="0" borderId="42" xfId="0" applyFont="1" applyBorder="1" applyAlignment="1">
      <alignment horizontal="center" vertical="center"/>
    </xf>
    <xf numFmtId="0" fontId="16" fillId="0" borderId="43" xfId="0" applyFont="1" applyBorder="1" applyAlignment="1">
      <alignment horizontal="left" vertical="center"/>
    </xf>
    <xf numFmtId="167" fontId="16" fillId="0" borderId="43" xfId="0" applyNumberFormat="1" applyFont="1" applyBorder="1" applyAlignment="1" applyProtection="1">
      <alignment horizontal="center" vertical="center"/>
      <protection locked="0"/>
    </xf>
    <xf numFmtId="174" fontId="16" fillId="0" borderId="43" xfId="0" applyNumberFormat="1" applyFont="1" applyBorder="1" applyAlignment="1" applyProtection="1">
      <alignment horizontal="center" vertical="center"/>
      <protection locked="0"/>
    </xf>
    <xf numFmtId="4" fontId="16" fillId="0" borderId="43" xfId="0" applyNumberFormat="1" applyFont="1" applyBorder="1" applyAlignment="1" applyProtection="1">
      <alignment horizontal="center" vertical="center"/>
      <protection locked="0"/>
    </xf>
    <xf numFmtId="4" fontId="16" fillId="0" borderId="121" xfId="0" applyNumberFormat="1" applyFont="1" applyBorder="1" applyAlignment="1">
      <alignment horizontal="center" vertical="center"/>
    </xf>
    <xf numFmtId="4" fontId="16" fillId="0" borderId="121" xfId="0" applyNumberFormat="1" applyFont="1" applyBorder="1" applyAlignment="1" applyProtection="1">
      <alignment horizontal="center" vertical="center"/>
      <protection locked="0"/>
    </xf>
    <xf numFmtId="4" fontId="16" fillId="0" borderId="36" xfId="0" applyNumberFormat="1" applyFont="1" applyBorder="1" applyAlignment="1" applyProtection="1">
      <alignment horizontal="center" vertical="center"/>
      <protection locked="0"/>
    </xf>
    <xf numFmtId="0" fontId="16" fillId="0" borderId="46" xfId="0" applyFont="1" applyBorder="1" applyAlignment="1">
      <alignment horizontal="center" vertical="center"/>
    </xf>
    <xf numFmtId="0" fontId="16" fillId="0" borderId="47" xfId="0" applyFont="1" applyBorder="1" applyAlignment="1">
      <alignment horizontal="left" vertical="center"/>
    </xf>
    <xf numFmtId="167" fontId="16" fillId="0" borderId="47" xfId="0" applyNumberFormat="1" applyFont="1" applyBorder="1" applyAlignment="1" applyProtection="1">
      <alignment horizontal="center" vertical="center"/>
      <protection locked="0"/>
    </xf>
    <xf numFmtId="174" fontId="16" fillId="0" borderId="47" xfId="0" applyNumberFormat="1" applyFont="1" applyBorder="1" applyAlignment="1" applyProtection="1">
      <alignment horizontal="center" vertical="center"/>
      <protection locked="0"/>
    </xf>
    <xf numFmtId="4" fontId="16" fillId="0" borderId="47" xfId="0" applyNumberFormat="1" applyFont="1" applyBorder="1" applyAlignment="1" applyProtection="1">
      <alignment horizontal="center" vertical="center"/>
      <protection locked="0"/>
    </xf>
    <xf numFmtId="4" fontId="16" fillId="0" borderId="122" xfId="0" applyNumberFormat="1" applyFont="1" applyBorder="1" applyAlignment="1">
      <alignment horizontal="center" vertical="center"/>
    </xf>
    <xf numFmtId="4" fontId="16" fillId="0" borderId="122" xfId="0" applyNumberFormat="1" applyFont="1" applyBorder="1" applyAlignment="1" applyProtection="1">
      <alignment horizontal="center" vertical="center"/>
      <protection locked="0"/>
    </xf>
    <xf numFmtId="4" fontId="16" fillId="0" borderId="37" xfId="0" applyNumberFormat="1" applyFont="1" applyBorder="1" applyAlignment="1" applyProtection="1">
      <alignment horizontal="center" vertical="center"/>
      <protection locked="0"/>
    </xf>
    <xf numFmtId="4" fontId="16" fillId="0" borderId="117" xfId="0" applyNumberFormat="1" applyFont="1" applyBorder="1" applyAlignment="1" applyProtection="1">
      <alignment horizontal="center" vertical="center"/>
      <protection locked="0"/>
    </xf>
    <xf numFmtId="4" fontId="16" fillId="0" borderId="118" xfId="0" applyNumberFormat="1" applyFont="1" applyBorder="1" applyAlignment="1" applyProtection="1">
      <alignment horizontal="center" vertical="center"/>
      <protection locked="0"/>
    </xf>
    <xf numFmtId="0" fontId="16" fillId="0" borderId="118" xfId="0" applyFont="1" applyBorder="1" applyAlignment="1" applyProtection="1">
      <alignment horizontal="center" vertical="center"/>
      <protection locked="0"/>
    </xf>
    <xf numFmtId="14" fontId="16" fillId="0" borderId="118" xfId="0" applyNumberFormat="1" applyFont="1" applyBorder="1" applyAlignment="1" applyProtection="1">
      <alignment horizontal="center" vertical="center"/>
      <protection locked="0"/>
    </xf>
    <xf numFmtId="49" fontId="16" fillId="0" borderId="118" xfId="0" applyNumberFormat="1" applyFont="1" applyBorder="1" applyAlignment="1" applyProtection="1">
      <alignment horizontal="center" vertical="center"/>
      <protection locked="0"/>
    </xf>
    <xf numFmtId="3" fontId="16" fillId="0" borderId="118" xfId="0" applyNumberFormat="1" applyFont="1" applyBorder="1" applyAlignment="1" applyProtection="1">
      <alignment horizontal="center" vertical="center"/>
      <protection locked="0"/>
    </xf>
    <xf numFmtId="0" fontId="16" fillId="0" borderId="119" xfId="0" applyFont="1" applyBorder="1" applyAlignment="1" applyProtection="1">
      <alignment horizontal="center" vertical="center"/>
      <protection locked="0"/>
    </xf>
    <xf numFmtId="14" fontId="16" fillId="0" borderId="119" xfId="0" applyNumberFormat="1" applyFont="1" applyBorder="1" applyAlignment="1" applyProtection="1">
      <alignment horizontal="center" vertical="center"/>
      <protection locked="0"/>
    </xf>
    <xf numFmtId="49" fontId="16" fillId="0" borderId="119" xfId="0" applyNumberFormat="1" applyFont="1" applyBorder="1" applyAlignment="1" applyProtection="1">
      <alignment horizontal="center" vertical="center"/>
      <protection locked="0"/>
    </xf>
    <xf numFmtId="3" fontId="16" fillId="0" borderId="119" xfId="0" applyNumberFormat="1" applyFont="1" applyBorder="1" applyAlignment="1" applyProtection="1">
      <alignment horizontal="center" vertical="center"/>
      <protection locked="0"/>
    </xf>
    <xf numFmtId="4" fontId="16" fillId="0" borderId="119" xfId="0" applyNumberFormat="1" applyFont="1" applyBorder="1" applyAlignment="1" applyProtection="1">
      <alignment horizontal="center" vertical="center"/>
      <protection locked="0"/>
    </xf>
    <xf numFmtId="0" fontId="16" fillId="0" borderId="117" xfId="0" applyFont="1" applyBorder="1" applyAlignment="1" applyProtection="1">
      <alignment horizontal="center" vertical="center"/>
      <protection locked="0"/>
    </xf>
    <xf numFmtId="14" fontId="16" fillId="0" borderId="117" xfId="0" applyNumberFormat="1" applyFont="1" applyBorder="1" applyAlignment="1" applyProtection="1">
      <alignment horizontal="center" vertical="center"/>
      <protection locked="0"/>
    </xf>
    <xf numFmtId="49" fontId="16" fillId="0" borderId="117" xfId="0" applyNumberFormat="1" applyFont="1" applyBorder="1" applyAlignment="1" applyProtection="1">
      <alignment horizontal="center" vertical="center"/>
      <protection locked="0"/>
    </xf>
    <xf numFmtId="3" fontId="16" fillId="0" borderId="117" xfId="0" applyNumberFormat="1" applyFont="1" applyBorder="1" applyAlignment="1" applyProtection="1">
      <alignment horizontal="center" vertical="center"/>
      <protection locked="0"/>
    </xf>
    <xf numFmtId="2" fontId="16" fillId="0" borderId="118" xfId="0" applyNumberFormat="1" applyFont="1" applyBorder="1" applyAlignment="1">
      <alignment horizontal="center" vertical="center" wrapText="1"/>
    </xf>
    <xf numFmtId="164" fontId="16" fillId="0" borderId="118" xfId="0" applyNumberFormat="1" applyFont="1" applyBorder="1" applyAlignment="1">
      <alignment horizontal="center" vertical="center" wrapText="1"/>
    </xf>
    <xf numFmtId="4" fontId="16" fillId="0" borderId="118" xfId="0" applyNumberFormat="1" applyFont="1" applyBorder="1" applyAlignment="1" applyProtection="1">
      <alignment horizontal="center" vertical="center" wrapText="1"/>
      <protection locked="0"/>
    </xf>
    <xf numFmtId="4" fontId="16" fillId="0" borderId="118" xfId="0" applyNumberFormat="1" applyFont="1" applyBorder="1" applyAlignment="1">
      <alignment horizontal="center" vertical="center" wrapText="1"/>
    </xf>
    <xf numFmtId="4" fontId="16" fillId="0" borderId="45" xfId="0" applyNumberFormat="1" applyFont="1" applyBorder="1" applyAlignment="1" applyProtection="1">
      <alignment horizontal="center" vertical="center" wrapText="1"/>
      <protection locked="0"/>
    </xf>
    <xf numFmtId="4" fontId="16" fillId="0" borderId="43" xfId="0" applyNumberFormat="1" applyFont="1" applyBorder="1" applyAlignment="1" applyProtection="1">
      <alignment horizontal="center" vertical="center" wrapText="1"/>
      <protection locked="0"/>
    </xf>
    <xf numFmtId="4" fontId="16" fillId="0" borderId="36" xfId="0" applyNumberFormat="1" applyFont="1" applyBorder="1" applyAlignment="1" applyProtection="1">
      <alignment horizontal="center" vertical="center" wrapText="1"/>
      <protection locked="0"/>
    </xf>
    <xf numFmtId="2" fontId="16" fillId="0" borderId="119" xfId="0" applyNumberFormat="1" applyFont="1" applyBorder="1" applyAlignment="1">
      <alignment horizontal="center" vertical="center" wrapText="1"/>
    </xf>
    <xf numFmtId="164" fontId="16" fillId="0" borderId="119" xfId="0" applyNumberFormat="1" applyFont="1" applyBorder="1" applyAlignment="1">
      <alignment horizontal="center" vertical="center" wrapText="1"/>
    </xf>
    <xf numFmtId="4" fontId="16" fillId="0" borderId="119" xfId="0" applyNumberFormat="1" applyFont="1" applyBorder="1" applyAlignment="1" applyProtection="1">
      <alignment horizontal="center" vertical="center" wrapText="1"/>
      <protection locked="0"/>
    </xf>
    <xf numFmtId="4" fontId="16" fillId="0" borderId="119" xfId="0" applyNumberFormat="1" applyFont="1" applyBorder="1" applyAlignment="1">
      <alignment horizontal="center" vertical="center" wrapText="1"/>
    </xf>
    <xf numFmtId="4" fontId="16" fillId="0" borderId="47" xfId="0" applyNumberFormat="1" applyFont="1" applyBorder="1" applyAlignment="1" applyProtection="1">
      <alignment horizontal="center" vertical="center" wrapText="1"/>
      <protection locked="0"/>
    </xf>
    <xf numFmtId="4" fontId="16" fillId="0" borderId="37" xfId="0" applyNumberFormat="1" applyFont="1" applyBorder="1" applyAlignment="1" applyProtection="1">
      <alignment horizontal="center" vertical="center" wrapText="1"/>
      <protection locked="0"/>
    </xf>
    <xf numFmtId="4" fontId="16" fillId="11" borderId="117" xfId="0" applyNumberFormat="1" applyFont="1" applyFill="1" applyBorder="1" applyAlignment="1">
      <alignment horizontal="center" vertical="center" wrapText="1"/>
    </xf>
    <xf numFmtId="4" fontId="16" fillId="11" borderId="39" xfId="0" applyNumberFormat="1" applyFont="1" applyFill="1" applyBorder="1" applyAlignment="1">
      <alignment horizontal="center" vertical="center" wrapText="1"/>
    </xf>
    <xf numFmtId="2" fontId="16" fillId="11" borderId="118" xfId="0" applyNumberFormat="1" applyFont="1" applyFill="1" applyBorder="1" applyAlignment="1">
      <alignment horizontal="center" vertical="center" wrapText="1"/>
    </xf>
    <xf numFmtId="177" fontId="16" fillId="11" borderId="118" xfId="0" applyNumberFormat="1" applyFont="1" applyFill="1" applyBorder="1" applyAlignment="1">
      <alignment horizontal="center" vertical="center" wrapText="1"/>
    </xf>
    <xf numFmtId="4" fontId="16" fillId="11" borderId="118" xfId="0" applyNumberFormat="1" applyFont="1" applyFill="1" applyBorder="1" applyAlignment="1">
      <alignment horizontal="center" vertical="center" wrapText="1"/>
    </xf>
    <xf numFmtId="4" fontId="16" fillId="11" borderId="45" xfId="0" applyNumberFormat="1" applyFont="1" applyFill="1" applyBorder="1" applyAlignment="1">
      <alignment horizontal="center" vertical="center" wrapText="1"/>
    </xf>
    <xf numFmtId="4" fontId="16" fillId="11" borderId="43" xfId="0" applyNumberFormat="1" applyFont="1" applyFill="1" applyBorder="1" applyAlignment="1">
      <alignment horizontal="center" vertical="center" wrapText="1"/>
    </xf>
    <xf numFmtId="4" fontId="16" fillId="11" borderId="36" xfId="0" applyNumberFormat="1" applyFont="1" applyFill="1" applyBorder="1" applyAlignment="1">
      <alignment horizontal="center" vertical="center" wrapText="1"/>
    </xf>
    <xf numFmtId="4" fontId="16" fillId="2" borderId="43" xfId="0" applyNumberFormat="1" applyFont="1" applyFill="1" applyBorder="1" applyAlignment="1">
      <alignment horizontal="center" vertical="center" wrapText="1"/>
    </xf>
    <xf numFmtId="49" fontId="16" fillId="11" borderId="38" xfId="0" applyNumberFormat="1" applyFont="1" applyFill="1" applyBorder="1" applyAlignment="1">
      <alignment horizontal="left" vertical="center" wrapText="1"/>
    </xf>
    <xf numFmtId="49" fontId="16" fillId="11" borderId="39" xfId="0" applyNumberFormat="1" applyFont="1" applyFill="1" applyBorder="1" applyAlignment="1">
      <alignment horizontal="left" vertical="center" wrapText="1"/>
    </xf>
    <xf numFmtId="3" fontId="16" fillId="11" borderId="41" xfId="0" applyNumberFormat="1" applyFont="1" applyFill="1" applyBorder="1" applyAlignment="1">
      <alignment horizontal="center" vertical="center"/>
    </xf>
    <xf numFmtId="2" fontId="16" fillId="11" borderId="39" xfId="0" applyNumberFormat="1" applyFont="1" applyFill="1" applyBorder="1" applyAlignment="1">
      <alignment horizontal="center" vertical="center"/>
    </xf>
    <xf numFmtId="10" fontId="16" fillId="11" borderId="40" xfId="9" applyNumberFormat="1" applyFont="1" applyFill="1" applyBorder="1" applyAlignment="1" applyProtection="1">
      <alignment horizontal="center" vertical="center"/>
    </xf>
    <xf numFmtId="165" fontId="16" fillId="11" borderId="39" xfId="0" applyNumberFormat="1" applyFont="1" applyFill="1" applyBorder="1" applyAlignment="1">
      <alignment horizontal="center" vertical="center"/>
    </xf>
    <xf numFmtId="10" fontId="16" fillId="11" borderId="39" xfId="9" applyNumberFormat="1" applyFont="1" applyFill="1" applyBorder="1" applyAlignment="1" applyProtection="1">
      <alignment horizontal="center" vertical="center"/>
    </xf>
    <xf numFmtId="165" fontId="16" fillId="11" borderId="35" xfId="0" applyNumberFormat="1" applyFont="1" applyFill="1" applyBorder="1" applyAlignment="1">
      <alignment horizontal="center" vertical="center"/>
    </xf>
    <xf numFmtId="49" fontId="16" fillId="11" borderId="42" xfId="0" applyNumberFormat="1" applyFont="1" applyFill="1" applyBorder="1" applyAlignment="1">
      <alignment horizontal="left" vertical="center" wrapText="1"/>
    </xf>
    <xf numFmtId="49" fontId="16" fillId="11" borderId="43" xfId="0" applyNumberFormat="1" applyFont="1" applyFill="1" applyBorder="1" applyAlignment="1">
      <alignment horizontal="left" vertical="center" wrapText="1"/>
    </xf>
    <xf numFmtId="3" fontId="16" fillId="11" borderId="45" xfId="0" applyNumberFormat="1" applyFont="1" applyFill="1" applyBorder="1" applyAlignment="1">
      <alignment horizontal="center" vertical="center"/>
    </xf>
    <xf numFmtId="2" fontId="16" fillId="11" borderId="43" xfId="0" applyNumberFormat="1" applyFont="1" applyFill="1" applyBorder="1" applyAlignment="1">
      <alignment horizontal="center" vertical="center"/>
    </xf>
    <xf numFmtId="2" fontId="16" fillId="11" borderId="45" xfId="0" applyNumberFormat="1" applyFont="1" applyFill="1" applyBorder="1" applyAlignment="1">
      <alignment horizontal="center" vertical="center"/>
    </xf>
    <xf numFmtId="165" fontId="16" fillId="11" borderId="43" xfId="0" applyNumberFormat="1" applyFont="1" applyFill="1" applyBorder="1" applyAlignment="1">
      <alignment horizontal="center" vertical="center"/>
    </xf>
    <xf numFmtId="10" fontId="16" fillId="11" borderId="43" xfId="9" applyNumberFormat="1" applyFont="1" applyFill="1" applyBorder="1" applyAlignment="1" applyProtection="1">
      <alignment horizontal="center" vertical="center"/>
    </xf>
    <xf numFmtId="165" fontId="16" fillId="11" borderId="36" xfId="0" applyNumberFormat="1" applyFont="1" applyFill="1" applyBorder="1" applyAlignment="1">
      <alignment horizontal="center" vertical="center"/>
    </xf>
    <xf numFmtId="49" fontId="16" fillId="0" borderId="38" xfId="0" applyNumberFormat="1" applyFont="1" applyBorder="1" applyAlignment="1" applyProtection="1">
      <alignment horizontal="left" vertical="center" wrapText="1"/>
      <protection locked="0"/>
    </xf>
    <xf numFmtId="49" fontId="16" fillId="0" borderId="39" xfId="0" applyNumberFormat="1" applyFont="1" applyBorder="1" applyAlignment="1" applyProtection="1">
      <alignment horizontal="left" vertical="center" wrapText="1"/>
      <protection locked="0"/>
    </xf>
    <xf numFmtId="3" fontId="16" fillId="0" borderId="41" xfId="0" applyNumberFormat="1" applyFont="1" applyBorder="1" applyAlignment="1" applyProtection="1">
      <alignment horizontal="center" vertical="center"/>
      <protection locked="0"/>
    </xf>
    <xf numFmtId="2" fontId="16" fillId="0" borderId="39" xfId="0" applyNumberFormat="1" applyFont="1" applyBorder="1" applyAlignment="1" applyProtection="1">
      <alignment horizontal="center" vertical="center"/>
      <protection locked="0"/>
    </xf>
    <xf numFmtId="10" fontId="16" fillId="0" borderId="40" xfId="9" applyNumberFormat="1" applyFont="1" applyBorder="1" applyAlignment="1" applyProtection="1">
      <alignment horizontal="center" vertical="center"/>
      <protection locked="0"/>
    </xf>
    <xf numFmtId="2" fontId="16" fillId="0" borderId="41" xfId="0" applyNumberFormat="1" applyFont="1" applyBorder="1" applyAlignment="1" applyProtection="1">
      <alignment horizontal="center" vertical="center"/>
      <protection locked="0"/>
    </xf>
    <xf numFmtId="165" fontId="16" fillId="0" borderId="39" xfId="0" applyNumberFormat="1" applyFont="1" applyBorder="1" applyAlignment="1">
      <alignment horizontal="center" vertical="center"/>
    </xf>
    <xf numFmtId="10" fontId="16" fillId="0" borderId="39" xfId="9" applyNumberFormat="1" applyFont="1" applyBorder="1" applyAlignment="1" applyProtection="1">
      <alignment horizontal="center" vertical="center"/>
      <protection locked="0"/>
    </xf>
    <xf numFmtId="165" fontId="16" fillId="0" borderId="35" xfId="0" applyNumberFormat="1" applyFont="1" applyBorder="1" applyAlignment="1">
      <alignment horizontal="center" vertical="center"/>
    </xf>
    <xf numFmtId="49" fontId="16" fillId="0" borderId="42" xfId="0" applyNumberFormat="1" applyFont="1" applyBorder="1" applyAlignment="1" applyProtection="1">
      <alignment horizontal="left" vertical="center" wrapText="1"/>
      <protection locked="0"/>
    </xf>
    <xf numFmtId="49" fontId="16" fillId="0" borderId="43" xfId="0" applyNumberFormat="1" applyFont="1" applyBorder="1" applyAlignment="1" applyProtection="1">
      <alignment horizontal="left" vertical="center" wrapText="1"/>
      <protection locked="0"/>
    </xf>
    <xf numFmtId="3" fontId="16" fillId="0" borderId="45" xfId="0" applyNumberFormat="1" applyFont="1" applyBorder="1" applyAlignment="1" applyProtection="1">
      <alignment horizontal="center" vertical="center"/>
      <protection locked="0"/>
    </xf>
    <xf numFmtId="2" fontId="16" fillId="0" borderId="43" xfId="0" applyNumberFormat="1" applyFont="1" applyBorder="1" applyAlignment="1" applyProtection="1">
      <alignment horizontal="center" vertical="center"/>
      <protection locked="0"/>
    </xf>
    <xf numFmtId="10" fontId="16" fillId="0" borderId="44" xfId="9" applyNumberFormat="1" applyFont="1" applyBorder="1" applyAlignment="1" applyProtection="1">
      <alignment horizontal="center" vertical="center"/>
      <protection locked="0"/>
    </xf>
    <xf numFmtId="2" fontId="16" fillId="0" borderId="45" xfId="0" applyNumberFormat="1" applyFont="1" applyBorder="1" applyAlignment="1" applyProtection="1">
      <alignment horizontal="center" vertical="center"/>
      <protection locked="0"/>
    </xf>
    <xf numFmtId="165" fontId="16" fillId="0" borderId="43" xfId="0" applyNumberFormat="1" applyFont="1" applyBorder="1" applyAlignment="1">
      <alignment horizontal="center" vertical="center"/>
    </xf>
    <xf numFmtId="10" fontId="16" fillId="0" borderId="43" xfId="9" applyNumberFormat="1" applyFont="1" applyBorder="1" applyAlignment="1" applyProtection="1">
      <alignment horizontal="center" vertical="center"/>
      <protection locked="0"/>
    </xf>
    <xf numFmtId="165" fontId="16" fillId="0" borderId="36" xfId="0" applyNumberFormat="1" applyFont="1" applyBorder="1" applyAlignment="1">
      <alignment horizontal="center" vertical="center"/>
    </xf>
    <xf numFmtId="49" fontId="16" fillId="0" borderId="46" xfId="0" applyNumberFormat="1" applyFont="1" applyBorder="1" applyAlignment="1" applyProtection="1">
      <alignment horizontal="left" vertical="center" wrapText="1"/>
      <protection locked="0"/>
    </xf>
    <xf numFmtId="49" fontId="16" fillId="0" borderId="47" xfId="0" applyNumberFormat="1" applyFont="1" applyBorder="1" applyAlignment="1" applyProtection="1">
      <alignment horizontal="left" vertical="center" wrapText="1"/>
      <protection locked="0"/>
    </xf>
    <xf numFmtId="3" fontId="16" fillId="0" borderId="49" xfId="0" applyNumberFormat="1" applyFont="1" applyBorder="1" applyAlignment="1" applyProtection="1">
      <alignment horizontal="center" vertical="center"/>
      <protection locked="0"/>
    </xf>
    <xf numFmtId="2" fontId="16" fillId="0" borderId="47" xfId="0" applyNumberFormat="1" applyFont="1" applyBorder="1" applyAlignment="1" applyProtection="1">
      <alignment horizontal="center" vertical="center"/>
      <protection locked="0"/>
    </xf>
    <xf numFmtId="10" fontId="16" fillId="0" borderId="48" xfId="9" applyNumberFormat="1" applyFont="1" applyBorder="1" applyAlignment="1" applyProtection="1">
      <alignment horizontal="center" vertical="center"/>
      <protection locked="0"/>
    </xf>
    <xf numFmtId="2" fontId="16" fillId="0" borderId="49" xfId="0" applyNumberFormat="1" applyFont="1" applyBorder="1" applyAlignment="1" applyProtection="1">
      <alignment horizontal="center" vertical="center"/>
      <protection locked="0"/>
    </xf>
    <xf numFmtId="165" fontId="16" fillId="0" borderId="47" xfId="0" applyNumberFormat="1" applyFont="1" applyBorder="1" applyAlignment="1">
      <alignment horizontal="center" vertical="center"/>
    </xf>
    <xf numFmtId="10" fontId="16" fillId="0" borderId="47" xfId="9" applyNumberFormat="1" applyFont="1" applyBorder="1" applyAlignment="1" applyProtection="1">
      <alignment horizontal="center" vertical="center"/>
      <protection locked="0"/>
    </xf>
    <xf numFmtId="165" fontId="16" fillId="0" borderId="37" xfId="0" applyNumberFormat="1" applyFont="1" applyBorder="1" applyAlignment="1">
      <alignment horizontal="center" vertical="center"/>
    </xf>
    <xf numFmtId="165" fontId="16" fillId="0" borderId="50" xfId="0" applyNumberFormat="1" applyFont="1" applyBorder="1" applyAlignment="1">
      <alignment horizontal="center" vertical="center"/>
    </xf>
    <xf numFmtId="49" fontId="16" fillId="0" borderId="42" xfId="0" applyNumberFormat="1" applyFont="1" applyBorder="1" applyAlignment="1" applyProtection="1">
      <alignment horizontal="left" vertical="center"/>
      <protection locked="0"/>
    </xf>
    <xf numFmtId="49" fontId="16" fillId="0" borderId="43" xfId="0" applyNumberFormat="1" applyFont="1" applyBorder="1" applyAlignment="1" applyProtection="1">
      <alignment horizontal="left" vertical="center"/>
      <protection locked="0"/>
    </xf>
    <xf numFmtId="166" fontId="16" fillId="0" borderId="43" xfId="0" applyNumberFormat="1" applyFont="1" applyBorder="1" applyAlignment="1" applyProtection="1">
      <alignment horizontal="center" vertical="center"/>
      <protection locked="0"/>
    </xf>
    <xf numFmtId="3" fontId="16" fillId="0" borderId="43" xfId="0" applyNumberFormat="1" applyFont="1" applyBorder="1" applyAlignment="1" applyProtection="1">
      <alignment horizontal="center" vertical="center"/>
      <protection locked="0"/>
    </xf>
    <xf numFmtId="2" fontId="16" fillId="0" borderId="43" xfId="9" applyNumberFormat="1" applyFont="1" applyBorder="1" applyAlignment="1" applyProtection="1">
      <alignment horizontal="center" vertical="center"/>
      <protection locked="0"/>
    </xf>
    <xf numFmtId="165" fontId="16" fillId="0" borderId="51" xfId="0" applyNumberFormat="1" applyFont="1" applyBorder="1" applyAlignment="1">
      <alignment horizontal="center" vertical="center"/>
    </xf>
    <xf numFmtId="49" fontId="16" fillId="0" borderId="46" xfId="0" applyNumberFormat="1" applyFont="1" applyBorder="1" applyAlignment="1" applyProtection="1">
      <alignment horizontal="left" vertical="center"/>
      <protection locked="0"/>
    </xf>
    <xf numFmtId="49" fontId="16" fillId="0" borderId="47" xfId="0" applyNumberFormat="1" applyFont="1" applyBorder="1" applyAlignment="1" applyProtection="1">
      <alignment horizontal="left" vertical="center"/>
      <protection locked="0"/>
    </xf>
    <xf numFmtId="166" fontId="16" fillId="0" borderId="47" xfId="0" applyNumberFormat="1" applyFont="1" applyBorder="1" applyAlignment="1" applyProtection="1">
      <alignment horizontal="center" vertical="center"/>
      <protection locked="0"/>
    </xf>
    <xf numFmtId="3" fontId="16" fillId="0" borderId="47" xfId="0" applyNumberFormat="1" applyFont="1" applyBorder="1" applyAlignment="1" applyProtection="1">
      <alignment horizontal="center" vertical="center"/>
      <protection locked="0"/>
    </xf>
    <xf numFmtId="2" fontId="16" fillId="0" borderId="47" xfId="9" applyNumberFormat="1" applyFont="1" applyBorder="1" applyAlignment="1" applyProtection="1">
      <alignment horizontal="center" vertical="center"/>
      <protection locked="0"/>
    </xf>
    <xf numFmtId="165" fontId="16" fillId="0" borderId="52" xfId="0" applyNumberFormat="1" applyFont="1" applyBorder="1" applyAlignment="1">
      <alignment horizontal="center" vertical="center"/>
    </xf>
    <xf numFmtId="49" fontId="16" fillId="0" borderId="79" xfId="0" applyNumberFormat="1" applyFont="1" applyBorder="1" applyAlignment="1">
      <alignment horizontal="left" vertical="center"/>
    </xf>
    <xf numFmtId="49" fontId="16" fillId="0" borderId="89" xfId="0" applyNumberFormat="1" applyFont="1" applyBorder="1" applyAlignment="1">
      <alignment horizontal="left" vertical="center"/>
    </xf>
    <xf numFmtId="49" fontId="16" fillId="0" borderId="70" xfId="0" applyNumberFormat="1" applyFont="1" applyBorder="1" applyAlignment="1">
      <alignment horizontal="left" vertical="center"/>
    </xf>
    <xf numFmtId="49" fontId="16" fillId="0" borderId="95" xfId="0" applyNumberFormat="1" applyFont="1" applyBorder="1" applyAlignment="1">
      <alignment horizontal="left" vertical="center"/>
    </xf>
    <xf numFmtId="49" fontId="16" fillId="11" borderId="117" xfId="0" applyNumberFormat="1" applyFont="1" applyFill="1" applyBorder="1" applyAlignment="1">
      <alignment horizontal="center" vertical="center" wrapText="1"/>
    </xf>
    <xf numFmtId="49" fontId="16" fillId="11" borderId="118" xfId="0" applyNumberFormat="1" applyFont="1" applyFill="1" applyBorder="1" applyAlignment="1">
      <alignment horizontal="center" vertical="center" wrapText="1"/>
    </xf>
    <xf numFmtId="0" fontId="16" fillId="0" borderId="118" xfId="0" applyFont="1" applyBorder="1" applyAlignment="1">
      <alignment horizontal="center" vertical="center" wrapText="1"/>
    </xf>
    <xf numFmtId="4" fontId="16" fillId="0" borderId="45" xfId="0" applyNumberFormat="1" applyFont="1" applyBorder="1" applyAlignment="1">
      <alignment horizontal="center" vertical="center" wrapText="1"/>
    </xf>
    <xf numFmtId="4" fontId="16" fillId="0" borderId="43" xfId="0" applyNumberFormat="1" applyFont="1" applyBorder="1" applyAlignment="1">
      <alignment horizontal="center" vertical="center" wrapText="1"/>
    </xf>
    <xf numFmtId="4" fontId="16" fillId="0" borderId="36" xfId="0" applyNumberFormat="1" applyFont="1" applyBorder="1" applyAlignment="1">
      <alignment horizontal="center" vertical="center" wrapText="1"/>
    </xf>
    <xf numFmtId="0" fontId="16" fillId="0" borderId="119" xfId="0" applyFont="1" applyBorder="1" applyAlignment="1">
      <alignment horizontal="center" vertical="center" wrapText="1"/>
    </xf>
    <xf numFmtId="4" fontId="16" fillId="0" borderId="49" xfId="0" applyNumberFormat="1" applyFont="1" applyBorder="1" applyAlignment="1">
      <alignment horizontal="center" vertical="center" wrapText="1"/>
    </xf>
    <xf numFmtId="4" fontId="16" fillId="0" borderId="47" xfId="0" applyNumberFormat="1" applyFont="1" applyBorder="1" applyAlignment="1">
      <alignment horizontal="center" vertical="center" wrapText="1"/>
    </xf>
    <xf numFmtId="4" fontId="16" fillId="0" borderId="37" xfId="0" applyNumberFormat="1" applyFont="1" applyBorder="1" applyAlignment="1">
      <alignment horizontal="center" vertical="center" wrapText="1"/>
    </xf>
    <xf numFmtId="3" fontId="16" fillId="14" borderId="41" xfId="0" applyNumberFormat="1" applyFont="1" applyFill="1" applyBorder="1" applyAlignment="1">
      <alignment horizontal="center" vertical="center"/>
    </xf>
    <xf numFmtId="10" fontId="16" fillId="14" borderId="39" xfId="9" applyNumberFormat="1" applyFont="1" applyFill="1" applyBorder="1" applyAlignment="1" applyProtection="1">
      <alignment horizontal="center" vertical="center"/>
    </xf>
    <xf numFmtId="3" fontId="16" fillId="0" borderId="41" xfId="0" applyNumberFormat="1" applyFont="1" applyBorder="1" applyAlignment="1">
      <alignment horizontal="center" vertical="center"/>
    </xf>
    <xf numFmtId="10" fontId="16" fillId="0" borderId="39" xfId="9" applyNumberFormat="1" applyFont="1" applyBorder="1" applyAlignment="1" applyProtection="1">
      <alignment horizontal="center" vertical="center"/>
    </xf>
    <xf numFmtId="10" fontId="16" fillId="0" borderId="39" xfId="9" applyNumberFormat="1" applyFont="1" applyFill="1" applyBorder="1" applyAlignment="1" applyProtection="1">
      <alignment horizontal="center" vertical="center"/>
      <protection locked="0"/>
    </xf>
    <xf numFmtId="3" fontId="16" fillId="0" borderId="45" xfId="0" applyNumberFormat="1" applyFont="1" applyBorder="1" applyAlignment="1">
      <alignment horizontal="center" vertical="center"/>
    </xf>
    <xf numFmtId="10" fontId="16" fillId="0" borderId="43" xfId="9" applyNumberFormat="1" applyFont="1" applyBorder="1" applyAlignment="1" applyProtection="1">
      <alignment horizontal="center" vertical="center"/>
    </xf>
    <xf numFmtId="3" fontId="16" fillId="0" borderId="49" xfId="0" applyNumberFormat="1" applyFont="1" applyBorder="1" applyAlignment="1">
      <alignment horizontal="center" vertical="center"/>
    </xf>
    <xf numFmtId="10" fontId="16" fillId="0" borderId="47" xfId="9" applyNumberFormat="1" applyFont="1" applyBorder="1" applyAlignment="1" applyProtection="1">
      <alignment horizontal="center" vertical="center"/>
    </xf>
    <xf numFmtId="0" fontId="16" fillId="11" borderId="38" xfId="0" applyFont="1" applyFill="1" applyBorder="1" applyAlignment="1">
      <alignment horizontal="left" vertical="center" wrapText="1"/>
    </xf>
    <xf numFmtId="0" fontId="16" fillId="11" borderId="39" xfId="0" applyFont="1" applyFill="1" applyBorder="1" applyAlignment="1">
      <alignment horizontal="left" vertical="center" wrapText="1"/>
    </xf>
    <xf numFmtId="166" fontId="16" fillId="11" borderId="39" xfId="0" applyNumberFormat="1" applyFont="1" applyFill="1" applyBorder="1" applyAlignment="1">
      <alignment horizontal="center" vertical="center" wrapText="1"/>
    </xf>
    <xf numFmtId="3" fontId="16" fillId="11" borderId="41" xfId="0" applyNumberFormat="1" applyFont="1" applyFill="1" applyBorder="1" applyAlignment="1" applyProtection="1">
      <alignment horizontal="center" vertical="center"/>
      <protection locked="0"/>
    </xf>
    <xf numFmtId="10" fontId="16" fillId="11" borderId="39" xfId="9" applyNumberFormat="1" applyFont="1" applyFill="1" applyBorder="1" applyAlignment="1" applyProtection="1">
      <alignment horizontal="center" vertical="center"/>
      <protection locked="0"/>
    </xf>
    <xf numFmtId="0" fontId="16" fillId="11" borderId="42" xfId="0" applyFont="1" applyFill="1" applyBorder="1" applyAlignment="1">
      <alignment horizontal="left" vertical="center" wrapText="1"/>
    </xf>
    <xf numFmtId="0" fontId="16" fillId="11" borderId="43" xfId="0" applyFont="1" applyFill="1" applyBorder="1" applyAlignment="1">
      <alignment horizontal="left" vertical="center" wrapText="1"/>
    </xf>
    <xf numFmtId="166" fontId="16" fillId="11" borderId="43" xfId="0" applyNumberFormat="1" applyFont="1" applyFill="1" applyBorder="1" applyAlignment="1">
      <alignment horizontal="center" vertical="center" wrapText="1"/>
    </xf>
    <xf numFmtId="3" fontId="16" fillId="15" borderId="45" xfId="0" applyNumberFormat="1" applyFont="1" applyFill="1" applyBorder="1" applyAlignment="1" applyProtection="1">
      <alignment horizontal="center" vertical="center"/>
      <protection locked="0"/>
    </xf>
    <xf numFmtId="3" fontId="16" fillId="15" borderId="45" xfId="0" applyNumberFormat="1" applyFont="1" applyFill="1" applyBorder="1" applyAlignment="1">
      <alignment horizontal="center" vertical="center"/>
    </xf>
    <xf numFmtId="165" fontId="16" fillId="15" borderId="43" xfId="0" applyNumberFormat="1" applyFont="1" applyFill="1" applyBorder="1" applyAlignment="1">
      <alignment horizontal="center" vertical="center"/>
    </xf>
    <xf numFmtId="10" fontId="16" fillId="15" borderId="43" xfId="9" applyNumberFormat="1" applyFont="1" applyFill="1" applyBorder="1" applyAlignment="1" applyProtection="1">
      <alignment horizontal="center" vertical="center"/>
      <protection locked="0"/>
    </xf>
    <xf numFmtId="10" fontId="16" fillId="15" borderId="43" xfId="9" applyNumberFormat="1" applyFont="1" applyFill="1" applyBorder="1" applyAlignment="1" applyProtection="1">
      <alignment horizontal="center" vertical="center"/>
    </xf>
    <xf numFmtId="3" fontId="16" fillId="11" borderId="45" xfId="0" applyNumberFormat="1" applyFont="1" applyFill="1" applyBorder="1" applyAlignment="1" applyProtection="1">
      <alignment horizontal="center" vertical="center"/>
      <protection locked="0"/>
    </xf>
    <xf numFmtId="0" fontId="16" fillId="0" borderId="39" xfId="0" applyFont="1" applyBorder="1" applyAlignment="1">
      <alignment horizontal="left" vertical="center" wrapText="1"/>
    </xf>
    <xf numFmtId="166" fontId="16" fillId="0" borderId="39" xfId="0" applyNumberFormat="1" applyFont="1" applyBorder="1" applyAlignment="1">
      <alignment horizontal="center" vertical="center" wrapText="1"/>
    </xf>
    <xf numFmtId="0" fontId="16" fillId="0" borderId="42" xfId="0" applyFont="1" applyBorder="1" applyAlignment="1">
      <alignment horizontal="left" vertical="center" wrapText="1"/>
    </xf>
    <xf numFmtId="0" fontId="16" fillId="0" borderId="43" xfId="0" applyFont="1" applyBorder="1" applyAlignment="1">
      <alignment horizontal="left" vertical="center" wrapText="1"/>
    </xf>
    <xf numFmtId="166" fontId="16" fillId="0" borderId="43" xfId="0" applyNumberFormat="1" applyFont="1" applyBorder="1" applyAlignment="1">
      <alignment horizontal="center" vertical="center" wrapText="1"/>
    </xf>
    <xf numFmtId="0" fontId="16" fillId="0" borderId="46" xfId="0" applyFont="1" applyBorder="1" applyAlignment="1">
      <alignment horizontal="left" vertical="center" wrapText="1"/>
    </xf>
    <xf numFmtId="0" fontId="16" fillId="0" borderId="47" xfId="0" applyFont="1" applyBorder="1" applyAlignment="1">
      <alignment horizontal="left" vertical="center" wrapText="1"/>
    </xf>
    <xf numFmtId="166" fontId="16" fillId="0" borderId="47" xfId="0" applyNumberFormat="1" applyFont="1" applyBorder="1" applyAlignment="1">
      <alignment horizontal="center" vertical="center" wrapText="1"/>
    </xf>
    <xf numFmtId="0" fontId="16" fillId="0" borderId="96" xfId="0" applyFont="1" applyBorder="1" applyAlignment="1">
      <alignment vertical="center" wrapText="1"/>
    </xf>
    <xf numFmtId="0" fontId="16" fillId="9" borderId="175" xfId="0" applyFont="1" applyFill="1" applyBorder="1" applyAlignment="1">
      <alignment vertical="center" wrapText="1"/>
    </xf>
    <xf numFmtId="49" fontId="16" fillId="0" borderId="118" xfId="0" applyNumberFormat="1" applyFont="1" applyBorder="1" applyAlignment="1" applyProtection="1">
      <alignment horizontal="center" vertical="center" wrapText="1"/>
      <protection locked="0"/>
    </xf>
    <xf numFmtId="49" fontId="16" fillId="0" borderId="119" xfId="0" applyNumberFormat="1" applyFont="1" applyBorder="1" applyAlignment="1" applyProtection="1">
      <alignment horizontal="center" vertical="center" wrapText="1"/>
      <protection locked="0"/>
    </xf>
    <xf numFmtId="49" fontId="40" fillId="11" borderId="0" xfId="0" applyNumberFormat="1" applyFont="1" applyFill="1"/>
    <xf numFmtId="49" fontId="40" fillId="11" borderId="0" xfId="0" applyNumberFormat="1" applyFont="1" applyFill="1" applyAlignment="1">
      <alignment horizontal="center" vertical="center"/>
    </xf>
    <xf numFmtId="49" fontId="16" fillId="0" borderId="144" xfId="0" applyNumberFormat="1" applyFont="1" applyBorder="1" applyAlignment="1" applyProtection="1">
      <alignment vertical="center" wrapText="1"/>
      <protection locked="0"/>
    </xf>
    <xf numFmtId="49" fontId="16" fillId="0" borderId="42" xfId="0" applyNumberFormat="1" applyFont="1" applyBorder="1" applyAlignment="1" applyProtection="1">
      <alignment vertical="center" wrapText="1"/>
      <protection locked="0"/>
    </xf>
    <xf numFmtId="49" fontId="16" fillId="0" borderId="46" xfId="0" applyNumberFormat="1" applyFont="1" applyBorder="1" applyAlignment="1" applyProtection="1">
      <alignment vertical="center" wrapText="1"/>
      <protection locked="0"/>
    </xf>
    <xf numFmtId="179" fontId="8" fillId="0" borderId="68" xfId="0" applyNumberFormat="1" applyFont="1" applyBorder="1" applyAlignment="1" applyProtection="1">
      <alignment horizontal="center" vertical="center"/>
      <protection locked="0"/>
    </xf>
    <xf numFmtId="179" fontId="8" fillId="0" borderId="66" xfId="0" applyNumberFormat="1" applyFont="1" applyBorder="1" applyAlignment="1" applyProtection="1">
      <alignment horizontal="center" vertical="center"/>
      <protection locked="0"/>
    </xf>
    <xf numFmtId="0" fontId="16" fillId="9" borderId="160" xfId="0" applyFont="1" applyFill="1" applyBorder="1" applyAlignment="1">
      <alignment vertical="center" wrapText="1"/>
    </xf>
    <xf numFmtId="180" fontId="16" fillId="0" borderId="117" xfId="0" applyNumberFormat="1" applyFont="1" applyBorder="1" applyAlignment="1" applyProtection="1">
      <alignment horizontal="center" vertical="center"/>
      <protection locked="0"/>
    </xf>
    <xf numFmtId="180" fontId="16" fillId="0" borderId="118" xfId="0" applyNumberFormat="1" applyFont="1" applyBorder="1" applyAlignment="1" applyProtection="1">
      <alignment horizontal="center" vertical="center"/>
      <protection locked="0"/>
    </xf>
    <xf numFmtId="180" fontId="16" fillId="0" borderId="119" xfId="0" applyNumberFormat="1" applyFont="1" applyBorder="1" applyAlignment="1" applyProtection="1">
      <alignment horizontal="center" vertical="center"/>
      <protection locked="0"/>
    </xf>
    <xf numFmtId="165" fontId="16" fillId="0" borderId="117" xfId="0" applyNumberFormat="1" applyFont="1" applyBorder="1" applyAlignment="1" applyProtection="1">
      <alignment horizontal="center" vertical="center"/>
      <protection locked="0"/>
    </xf>
    <xf numFmtId="165" fontId="16" fillId="0" borderId="118" xfId="0" applyNumberFormat="1" applyFont="1" applyBorder="1" applyAlignment="1" applyProtection="1">
      <alignment horizontal="center" vertical="center"/>
      <protection locked="0"/>
    </xf>
    <xf numFmtId="165" fontId="16" fillId="0" borderId="119" xfId="0" applyNumberFormat="1" applyFont="1" applyBorder="1" applyAlignment="1" applyProtection="1">
      <alignment horizontal="center" vertical="center"/>
      <protection locked="0"/>
    </xf>
    <xf numFmtId="0" fontId="19" fillId="0" borderId="133" xfId="0" applyFont="1" applyBorder="1" applyAlignment="1">
      <alignment horizontal="center" vertical="center" wrapText="1"/>
    </xf>
    <xf numFmtId="4" fontId="19" fillId="0" borderId="134" xfId="0" applyNumberFormat="1" applyFont="1" applyBorder="1" applyAlignment="1">
      <alignment horizontal="center" vertical="center" wrapText="1"/>
    </xf>
    <xf numFmtId="165" fontId="19" fillId="0" borderId="134" xfId="0" applyNumberFormat="1" applyFont="1" applyBorder="1" applyAlignment="1">
      <alignment horizontal="center" vertical="center" wrapText="1"/>
    </xf>
    <xf numFmtId="0" fontId="19" fillId="0" borderId="134" xfId="0" applyFont="1" applyBorder="1" applyAlignment="1">
      <alignment horizontal="center" vertical="center" wrapText="1"/>
    </xf>
    <xf numFmtId="0" fontId="8" fillId="11" borderId="0" xfId="0" quotePrefix="1" applyFont="1" applyFill="1" applyAlignment="1">
      <alignment horizontal="center" vertical="center" wrapText="1"/>
    </xf>
    <xf numFmtId="0" fontId="59" fillId="11" borderId="0" xfId="0" applyFont="1" applyFill="1" applyAlignment="1">
      <alignment vertical="top"/>
    </xf>
    <xf numFmtId="0" fontId="0" fillId="11" borderId="0" xfId="0" quotePrefix="1" applyFill="1"/>
    <xf numFmtId="0" fontId="40" fillId="11" borderId="1" xfId="0" applyFont="1" applyFill="1" applyBorder="1" applyAlignment="1" applyProtection="1">
      <alignment vertical="center"/>
      <protection locked="0"/>
    </xf>
    <xf numFmtId="4" fontId="19" fillId="0" borderId="1" xfId="0" quotePrefix="1" applyNumberFormat="1" applyFont="1" applyBorder="1" applyAlignment="1">
      <alignment horizontal="center" vertical="center" wrapText="1"/>
    </xf>
    <xf numFmtId="0" fontId="16" fillId="11" borderId="143" xfId="0" applyFont="1" applyFill="1" applyBorder="1" applyAlignment="1">
      <alignment vertical="center"/>
    </xf>
    <xf numFmtId="4" fontId="16" fillId="0" borderId="17" xfId="0" applyNumberFormat="1" applyFont="1" applyBorder="1" applyAlignment="1" applyProtection="1">
      <alignment horizontal="center" vertical="center" wrapText="1"/>
      <protection locked="0"/>
    </xf>
    <xf numFmtId="4" fontId="16" fillId="0" borderId="18" xfId="0" applyNumberFormat="1" applyFont="1" applyBorder="1" applyAlignment="1" applyProtection="1">
      <alignment horizontal="center" vertical="center" wrapText="1"/>
      <protection locked="0"/>
    </xf>
    <xf numFmtId="175" fontId="47" fillId="11" borderId="116" xfId="0" applyNumberFormat="1" applyFont="1" applyFill="1" applyBorder="1" applyAlignment="1">
      <alignment horizontal="left" vertical="center" wrapText="1"/>
    </xf>
    <xf numFmtId="4" fontId="16" fillId="11" borderId="181" xfId="0" applyNumberFormat="1" applyFont="1" applyFill="1" applyBorder="1" applyAlignment="1">
      <alignment horizontal="center" vertical="center" wrapText="1"/>
    </xf>
    <xf numFmtId="4" fontId="16" fillId="0" borderId="142" xfId="0" applyNumberFormat="1" applyFont="1" applyBorder="1" applyAlignment="1" applyProtection="1">
      <alignment horizontal="center" vertical="center" wrapText="1"/>
      <protection locked="0"/>
    </xf>
    <xf numFmtId="4" fontId="16" fillId="0" borderId="115" xfId="0" applyNumberFormat="1" applyFont="1" applyBorder="1" applyAlignment="1" applyProtection="1">
      <alignment horizontal="center" vertical="center" wrapText="1"/>
      <protection locked="0"/>
    </xf>
    <xf numFmtId="0" fontId="8" fillId="11" borderId="1" xfId="0" applyFont="1" applyFill="1" applyBorder="1" applyAlignment="1" applyProtection="1">
      <alignment vertical="center"/>
      <protection locked="0"/>
    </xf>
    <xf numFmtId="4" fontId="16" fillId="0" borderId="19" xfId="0" applyNumberFormat="1" applyFont="1" applyBorder="1" applyAlignment="1" applyProtection="1">
      <alignment horizontal="center" vertical="center" wrapText="1"/>
      <protection locked="0"/>
    </xf>
    <xf numFmtId="4" fontId="16" fillId="11" borderId="110" xfId="0" applyNumberFormat="1" applyFont="1" applyFill="1" applyBorder="1" applyAlignment="1">
      <alignment horizontal="center" vertical="center" wrapText="1"/>
    </xf>
    <xf numFmtId="4" fontId="16" fillId="11" borderId="142" xfId="0" applyNumberFormat="1" applyFont="1" applyFill="1" applyBorder="1" applyAlignment="1">
      <alignment horizontal="center" vertical="center" wrapText="1"/>
    </xf>
    <xf numFmtId="175" fontId="47" fillId="11" borderId="143" xfId="0" applyNumberFormat="1" applyFont="1" applyFill="1" applyBorder="1" applyAlignment="1">
      <alignment horizontal="right" vertical="center"/>
    </xf>
    <xf numFmtId="4" fontId="16" fillId="2" borderId="36" xfId="0" applyNumberFormat="1" applyFont="1" applyFill="1" applyBorder="1" applyAlignment="1">
      <alignment horizontal="center" vertical="center" wrapText="1"/>
    </xf>
    <xf numFmtId="0" fontId="16" fillId="0" borderId="59" xfId="0" applyFont="1" applyBorder="1" applyAlignment="1">
      <alignment horizontal="left" vertical="center" wrapText="1"/>
    </xf>
    <xf numFmtId="0" fontId="16" fillId="0" borderId="60" xfId="0" applyFont="1" applyBorder="1" applyAlignment="1">
      <alignment horizontal="left" vertical="center" wrapText="1"/>
    </xf>
    <xf numFmtId="0" fontId="16" fillId="6" borderId="133" xfId="0" applyFont="1" applyFill="1" applyBorder="1" applyAlignment="1">
      <alignment horizontal="center" vertical="center" wrapText="1"/>
    </xf>
    <xf numFmtId="0" fontId="8" fillId="11" borderId="1" xfId="0" applyFont="1" applyFill="1" applyBorder="1" applyAlignment="1" applyProtection="1">
      <alignment horizontal="center" vertical="center"/>
      <protection locked="0"/>
    </xf>
    <xf numFmtId="0" fontId="0" fillId="11" borderId="111" xfId="0" applyFill="1" applyBorder="1" applyAlignment="1">
      <alignment vertical="center"/>
    </xf>
    <xf numFmtId="0" fontId="16" fillId="6" borderId="182" xfId="0" applyFont="1" applyFill="1" applyBorder="1" applyAlignment="1">
      <alignment horizontal="center" vertical="center" wrapText="1"/>
    </xf>
    <xf numFmtId="9" fontId="0" fillId="6" borderId="152" xfId="9" applyFont="1" applyFill="1" applyBorder="1" applyAlignment="1">
      <alignment horizontal="center" vertical="center" wrapText="1"/>
    </xf>
    <xf numFmtId="9" fontId="0" fillId="6" borderId="4" xfId="9" applyFont="1" applyFill="1" applyBorder="1" applyAlignment="1">
      <alignment horizontal="center" vertical="center" wrapText="1"/>
    </xf>
    <xf numFmtId="0" fontId="0" fillId="6" borderId="4" xfId="0" applyFill="1" applyBorder="1" applyAlignment="1">
      <alignment horizontal="center" vertical="center" wrapText="1"/>
    </xf>
    <xf numFmtId="9" fontId="0" fillId="6" borderId="182" xfId="9" applyFont="1" applyFill="1" applyBorder="1" applyAlignment="1">
      <alignment horizontal="center" vertical="center" wrapText="1"/>
    </xf>
    <xf numFmtId="0" fontId="0" fillId="6" borderId="182" xfId="0" applyFill="1" applyBorder="1" applyAlignment="1">
      <alignment horizontal="center" vertical="center" wrapText="1"/>
    </xf>
    <xf numFmtId="0" fontId="7" fillId="11" borderId="0" xfId="0" applyFont="1" applyFill="1"/>
    <xf numFmtId="0" fontId="16" fillId="11" borderId="143" xfId="0" applyFont="1" applyFill="1" applyBorder="1" applyAlignment="1">
      <alignment horizontal="left" vertical="center"/>
    </xf>
    <xf numFmtId="175" fontId="16" fillId="11" borderId="132" xfId="0" applyNumberFormat="1" applyFont="1" applyFill="1" applyBorder="1" applyAlignment="1">
      <alignment horizontal="right" vertical="center"/>
    </xf>
    <xf numFmtId="0" fontId="16" fillId="11" borderId="132" xfId="0" applyFont="1" applyFill="1" applyBorder="1" applyAlignment="1">
      <alignment horizontal="left" vertical="center"/>
    </xf>
    <xf numFmtId="0" fontId="16" fillId="12" borderId="20" xfId="0" applyFont="1" applyFill="1" applyBorder="1" applyAlignment="1">
      <alignment horizontal="left" vertical="center"/>
    </xf>
    <xf numFmtId="0" fontId="16" fillId="3" borderId="20" xfId="0" applyFont="1" applyFill="1" applyBorder="1" applyAlignment="1">
      <alignment horizontal="left" vertical="center"/>
    </xf>
    <xf numFmtId="0" fontId="16" fillId="7" borderId="19" xfId="0" applyFont="1" applyFill="1" applyBorder="1" applyAlignment="1">
      <alignment vertical="center"/>
    </xf>
    <xf numFmtId="0" fontId="16" fillId="7" borderId="22" xfId="0" applyFont="1" applyFill="1" applyBorder="1" applyAlignment="1">
      <alignment vertical="center"/>
    </xf>
    <xf numFmtId="2" fontId="16" fillId="11" borderId="0" xfId="0" applyNumberFormat="1" applyFont="1" applyFill="1" applyAlignment="1">
      <alignment horizontal="center" vertical="center"/>
    </xf>
    <xf numFmtId="0" fontId="7" fillId="11" borderId="12" xfId="0" applyFont="1" applyFill="1" applyBorder="1" applyAlignment="1">
      <alignment horizontal="center" vertical="center"/>
    </xf>
    <xf numFmtId="0" fontId="7" fillId="11" borderId="12" xfId="0" applyFont="1" applyFill="1" applyBorder="1" applyAlignment="1">
      <alignment horizontal="center" vertical="center" wrapText="1"/>
    </xf>
    <xf numFmtId="0" fontId="7" fillId="11" borderId="31" xfId="0" applyFont="1" applyFill="1" applyBorder="1" applyAlignment="1">
      <alignment horizontal="center" vertical="center" wrapText="1"/>
    </xf>
    <xf numFmtId="0" fontId="8" fillId="0" borderId="0" xfId="0" applyFont="1"/>
    <xf numFmtId="0" fontId="47" fillId="11" borderId="143" xfId="5" applyFont="1" applyFill="1" applyBorder="1" applyAlignment="1" applyProtection="1">
      <alignment horizontal="left" vertical="center" wrapText="1"/>
    </xf>
    <xf numFmtId="10" fontId="7" fillId="11" borderId="12" xfId="0" applyNumberFormat="1" applyFont="1" applyFill="1" applyBorder="1" applyAlignment="1">
      <alignment horizontal="center" vertical="center" wrapText="1"/>
    </xf>
    <xf numFmtId="49" fontId="16" fillId="0" borderId="39" xfId="0" applyNumberFormat="1" applyFont="1" applyBorder="1" applyAlignment="1" applyProtection="1">
      <alignment horizontal="center" vertical="center" wrapText="1"/>
      <protection locked="0"/>
    </xf>
    <xf numFmtId="49" fontId="16" fillId="0" borderId="43" xfId="0" applyNumberFormat="1" applyFont="1" applyBorder="1" applyAlignment="1" applyProtection="1">
      <alignment horizontal="center" vertical="center" wrapText="1"/>
      <protection locked="0"/>
    </xf>
    <xf numFmtId="49" fontId="16" fillId="0" borderId="47" xfId="0" applyNumberFormat="1" applyFont="1" applyBorder="1" applyAlignment="1" applyProtection="1">
      <alignment horizontal="center" vertical="center" wrapText="1"/>
      <protection locked="0"/>
    </xf>
    <xf numFmtId="49" fontId="16" fillId="11" borderId="39" xfId="0" applyNumberFormat="1" applyFont="1" applyFill="1" applyBorder="1" applyAlignment="1">
      <alignment horizontal="center" vertical="center" wrapText="1"/>
    </xf>
    <xf numFmtId="49" fontId="16" fillId="11" borderId="43" xfId="0" applyNumberFormat="1" applyFont="1" applyFill="1" applyBorder="1" applyAlignment="1">
      <alignment horizontal="center" vertical="center" wrapText="1"/>
    </xf>
    <xf numFmtId="2" fontId="16" fillId="16" borderId="41" xfId="0" applyNumberFormat="1" applyFont="1" applyFill="1" applyBorder="1" applyAlignment="1">
      <alignment horizontal="center" vertical="center"/>
    </xf>
    <xf numFmtId="10" fontId="16" fillId="16" borderId="44" xfId="9" applyNumberFormat="1" applyFont="1" applyFill="1" applyBorder="1" applyAlignment="1" applyProtection="1">
      <alignment horizontal="center" vertical="center"/>
    </xf>
    <xf numFmtId="0" fontId="0" fillId="11" borderId="143" xfId="0" applyFill="1" applyBorder="1" applyAlignment="1">
      <alignment horizontal="center" vertical="center"/>
    </xf>
    <xf numFmtId="49" fontId="16" fillId="0" borderId="43" xfId="0" applyNumberFormat="1" applyFont="1" applyBorder="1" applyAlignment="1" applyProtection="1">
      <alignment horizontal="center" vertical="center"/>
      <protection locked="0"/>
    </xf>
    <xf numFmtId="49" fontId="16" fillId="0" borderId="47" xfId="0" applyNumberFormat="1" applyFont="1" applyBorder="1" applyAlignment="1" applyProtection="1">
      <alignment horizontal="center" vertical="center"/>
      <protection locked="0"/>
    </xf>
    <xf numFmtId="49" fontId="16" fillId="11" borderId="38" xfId="0" applyNumberFormat="1" applyFont="1" applyFill="1" applyBorder="1" applyAlignment="1">
      <alignment horizontal="left" vertical="center"/>
    </xf>
    <xf numFmtId="49" fontId="16" fillId="11" borderId="39" xfId="0" applyNumberFormat="1" applyFont="1" applyFill="1" applyBorder="1" applyAlignment="1">
      <alignment horizontal="left" vertical="center"/>
    </xf>
    <xf numFmtId="166" fontId="16" fillId="11" borderId="39" xfId="0" applyNumberFormat="1" applyFont="1" applyFill="1" applyBorder="1" applyAlignment="1">
      <alignment horizontal="center" vertical="center"/>
    </xf>
    <xf numFmtId="49" fontId="16" fillId="11" borderId="39" xfId="0" applyNumberFormat="1" applyFont="1" applyFill="1" applyBorder="1" applyAlignment="1">
      <alignment horizontal="center" vertical="center"/>
    </xf>
    <xf numFmtId="3" fontId="16" fillId="11" borderId="39" xfId="0" quotePrefix="1" applyNumberFormat="1" applyFont="1" applyFill="1" applyBorder="1" applyAlignment="1">
      <alignment horizontal="center" vertical="center"/>
    </xf>
    <xf numFmtId="2" fontId="16" fillId="11" borderId="39" xfId="9" applyNumberFormat="1" applyFont="1" applyFill="1" applyBorder="1" applyAlignment="1" applyProtection="1">
      <alignment horizontal="center" vertical="center"/>
    </xf>
    <xf numFmtId="2" fontId="16" fillId="11" borderId="41" xfId="0" applyNumberFormat="1" applyFont="1" applyFill="1" applyBorder="1" applyAlignment="1">
      <alignment horizontal="center" vertical="center"/>
    </xf>
    <xf numFmtId="165" fontId="16" fillId="11" borderId="50" xfId="0" applyNumberFormat="1" applyFont="1" applyFill="1" applyBorder="1" applyAlignment="1">
      <alignment horizontal="center" vertical="center"/>
    </xf>
    <xf numFmtId="49" fontId="16" fillId="11" borderId="42" xfId="0" applyNumberFormat="1" applyFont="1" applyFill="1" applyBorder="1" applyAlignment="1">
      <alignment horizontal="left" vertical="center"/>
    </xf>
    <xf numFmtId="49" fontId="16" fillId="11" borderId="43" xfId="0" applyNumberFormat="1" applyFont="1" applyFill="1" applyBorder="1" applyAlignment="1">
      <alignment horizontal="left" vertical="center"/>
    </xf>
    <xf numFmtId="166" fontId="16" fillId="11" borderId="43" xfId="0" applyNumberFormat="1" applyFont="1" applyFill="1" applyBorder="1" applyAlignment="1">
      <alignment horizontal="center" vertical="center"/>
    </xf>
    <xf numFmtId="49" fontId="16" fillId="17" borderId="43" xfId="0" applyNumberFormat="1" applyFont="1" applyFill="1" applyBorder="1" applyAlignment="1">
      <alignment horizontal="center" vertical="center"/>
    </xf>
    <xf numFmtId="2" fontId="16" fillId="11" borderId="43" xfId="9" applyNumberFormat="1" applyFont="1" applyFill="1" applyBorder="1" applyAlignment="1" applyProtection="1">
      <alignment horizontal="center" vertical="center"/>
    </xf>
    <xf numFmtId="165" fontId="16" fillId="11" borderId="51" xfId="0" applyNumberFormat="1" applyFont="1" applyFill="1" applyBorder="1" applyAlignment="1">
      <alignment horizontal="center" vertical="center"/>
    </xf>
    <xf numFmtId="49" fontId="16" fillId="11" borderId="43" xfId="0" applyNumberFormat="1" applyFont="1" applyFill="1" applyBorder="1" applyAlignment="1">
      <alignment horizontal="center" vertical="center"/>
    </xf>
    <xf numFmtId="3" fontId="16" fillId="11" borderId="43" xfId="0" applyNumberFormat="1" applyFont="1" applyFill="1" applyBorder="1" applyAlignment="1">
      <alignment horizontal="center" vertical="center"/>
    </xf>
    <xf numFmtId="3" fontId="16" fillId="17" borderId="43" xfId="0" applyNumberFormat="1" applyFont="1" applyFill="1" applyBorder="1" applyAlignment="1">
      <alignment horizontal="center" vertical="center"/>
    </xf>
    <xf numFmtId="3" fontId="16" fillId="17" borderId="45" xfId="0" applyNumberFormat="1" applyFont="1" applyFill="1" applyBorder="1" applyAlignment="1">
      <alignment horizontal="center" vertical="center"/>
    </xf>
    <xf numFmtId="10" fontId="16" fillId="17" borderId="43" xfId="9" applyNumberFormat="1" applyFont="1" applyFill="1" applyBorder="1" applyAlignment="1" applyProtection="1">
      <alignment horizontal="center" vertical="center"/>
    </xf>
    <xf numFmtId="0" fontId="47" fillId="11" borderId="0" xfId="0" applyFont="1" applyFill="1" applyAlignment="1">
      <alignment vertical="center"/>
    </xf>
    <xf numFmtId="0" fontId="20" fillId="11" borderId="12" xfId="0" applyFont="1" applyFill="1" applyBorder="1" applyAlignment="1">
      <alignment horizontal="center" vertical="center" wrapText="1"/>
    </xf>
    <xf numFmtId="0" fontId="3" fillId="11" borderId="15" xfId="0" applyFont="1" applyFill="1" applyBorder="1" applyAlignment="1">
      <alignment horizontal="center" vertical="center"/>
    </xf>
    <xf numFmtId="2" fontId="47" fillId="11" borderId="39" xfId="0" applyNumberFormat="1" applyFont="1" applyFill="1" applyBorder="1" applyAlignment="1">
      <alignment horizontal="center" vertical="center"/>
    </xf>
    <xf numFmtId="2" fontId="47" fillId="17" borderId="43" xfId="0" applyNumberFormat="1" applyFont="1" applyFill="1" applyBorder="1" applyAlignment="1">
      <alignment horizontal="center" vertical="center"/>
    </xf>
    <xf numFmtId="0" fontId="49" fillId="11" borderId="0" xfId="0" applyFont="1" applyFill="1" applyAlignment="1">
      <alignment vertical="center"/>
    </xf>
    <xf numFmtId="0" fontId="40" fillId="0" borderId="0" xfId="0" applyFont="1"/>
    <xf numFmtId="2" fontId="47" fillId="0" borderId="43" xfId="0" applyNumberFormat="1" applyFont="1" applyBorder="1" applyAlignment="1" applyProtection="1">
      <alignment horizontal="center" vertical="center"/>
      <protection locked="0"/>
    </xf>
    <xf numFmtId="2" fontId="47" fillId="0" borderId="47" xfId="0" applyNumberFormat="1" applyFont="1" applyBorder="1" applyAlignment="1" applyProtection="1">
      <alignment horizontal="center" vertical="center"/>
      <protection locked="0"/>
    </xf>
    <xf numFmtId="0" fontId="16" fillId="0" borderId="41"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49" xfId="0" applyFont="1" applyBorder="1" applyAlignment="1">
      <alignment horizontal="center" vertical="center" wrapText="1"/>
    </xf>
    <xf numFmtId="166" fontId="16" fillId="11" borderId="45" xfId="0" applyNumberFormat="1" applyFont="1" applyFill="1" applyBorder="1" applyAlignment="1">
      <alignment horizontal="center" vertical="center" wrapText="1"/>
    </xf>
    <xf numFmtId="0" fontId="8" fillId="11" borderId="71" xfId="0" applyFont="1" applyFill="1" applyBorder="1" applyAlignment="1">
      <alignment vertical="center"/>
    </xf>
    <xf numFmtId="0" fontId="7" fillId="11" borderId="0" xfId="0" applyFont="1" applyFill="1" applyAlignment="1">
      <alignment horizontal="left" vertical="center" wrapText="1"/>
    </xf>
    <xf numFmtId="0" fontId="8" fillId="11" borderId="1" xfId="0" applyFont="1" applyFill="1" applyBorder="1" applyAlignment="1">
      <alignment vertical="center" wrapText="1"/>
    </xf>
    <xf numFmtId="0" fontId="8" fillId="11" borderId="1" xfId="0" applyFont="1" applyFill="1" applyBorder="1" applyAlignment="1">
      <alignment horizontal="center" vertical="center" wrapText="1"/>
    </xf>
    <xf numFmtId="0" fontId="63" fillId="11" borderId="0" xfId="0" applyFont="1" applyFill="1" applyAlignment="1">
      <alignment vertical="center"/>
    </xf>
    <xf numFmtId="181" fontId="16" fillId="11" borderId="0" xfId="0" applyNumberFormat="1" applyFont="1" applyFill="1" applyAlignment="1">
      <alignment vertical="center"/>
    </xf>
    <xf numFmtId="0" fontId="16" fillId="11" borderId="0" xfId="0" applyFont="1" applyFill="1" applyAlignment="1">
      <alignment horizontal="center" vertical="center"/>
    </xf>
    <xf numFmtId="0" fontId="16" fillId="11" borderId="0" xfId="0" applyFont="1" applyFill="1" applyAlignment="1">
      <alignment horizontal="center"/>
    </xf>
    <xf numFmtId="0" fontId="0" fillId="11" borderId="0" xfId="0" applyFill="1" applyAlignment="1">
      <alignment horizontal="center"/>
    </xf>
    <xf numFmtId="0" fontId="16" fillId="9" borderId="117" xfId="0" applyFont="1" applyFill="1" applyBorder="1" applyAlignment="1" applyProtection="1">
      <alignment horizontal="center" vertical="center"/>
      <protection locked="0"/>
    </xf>
    <xf numFmtId="0" fontId="16" fillId="9" borderId="118" xfId="0" applyFont="1" applyFill="1" applyBorder="1" applyAlignment="1" applyProtection="1">
      <alignment horizontal="center" vertical="center"/>
      <protection locked="0"/>
    </xf>
    <xf numFmtId="0" fontId="16" fillId="11" borderId="118" xfId="0" applyFont="1" applyFill="1" applyBorder="1" applyAlignment="1">
      <alignment horizontal="center" vertical="center"/>
    </xf>
    <xf numFmtId="0" fontId="16" fillId="0" borderId="118" xfId="0" applyFont="1" applyBorder="1" applyAlignment="1">
      <alignment horizontal="center" vertical="center"/>
    </xf>
    <xf numFmtId="0" fontId="0" fillId="11" borderId="0" xfId="0" applyFill="1" applyAlignment="1" applyProtection="1">
      <alignment vertical="center"/>
      <protection locked="0"/>
    </xf>
    <xf numFmtId="0" fontId="49" fillId="7" borderId="30" xfId="0" applyFont="1" applyFill="1" applyBorder="1" applyAlignment="1">
      <alignment vertical="center"/>
    </xf>
    <xf numFmtId="166" fontId="49" fillId="7" borderId="7" xfId="0" applyNumberFormat="1" applyFont="1" applyFill="1" applyBorder="1" applyAlignment="1">
      <alignment horizontal="center" vertical="center"/>
    </xf>
    <xf numFmtId="0" fontId="49" fillId="7" borderId="7" xfId="0" applyFont="1" applyFill="1" applyBorder="1" applyAlignment="1">
      <alignment vertical="center"/>
    </xf>
    <xf numFmtId="0" fontId="49" fillId="7" borderId="9" xfId="0" applyFont="1" applyFill="1" applyBorder="1" applyAlignment="1">
      <alignment vertical="center"/>
    </xf>
    <xf numFmtId="166" fontId="49" fillId="7" borderId="1" xfId="0" applyNumberFormat="1" applyFont="1" applyFill="1" applyBorder="1" applyAlignment="1">
      <alignment horizontal="center" vertical="center"/>
    </xf>
    <xf numFmtId="0" fontId="49" fillId="7" borderId="1" xfId="0" applyFont="1" applyFill="1" applyBorder="1" applyAlignment="1">
      <alignment vertical="center"/>
    </xf>
    <xf numFmtId="0" fontId="49" fillId="7" borderId="11" xfId="0" applyFont="1" applyFill="1" applyBorder="1" applyAlignment="1">
      <alignment vertical="center"/>
    </xf>
    <xf numFmtId="0" fontId="49" fillId="7" borderId="10" xfId="0" applyFont="1" applyFill="1" applyBorder="1" applyAlignment="1">
      <alignment vertical="center"/>
    </xf>
    <xf numFmtId="166" fontId="49" fillId="7" borderId="11" xfId="0" applyNumberFormat="1" applyFont="1" applyFill="1" applyBorder="1" applyAlignment="1">
      <alignment horizontal="center" vertical="center"/>
    </xf>
    <xf numFmtId="0" fontId="49" fillId="7" borderId="99" xfId="0" applyFont="1" applyFill="1" applyBorder="1" applyAlignment="1">
      <alignment vertical="center"/>
    </xf>
    <xf numFmtId="166" fontId="49" fillId="7" borderId="2" xfId="0" applyNumberFormat="1" applyFont="1" applyFill="1" applyBorder="1" applyAlignment="1">
      <alignment horizontal="center" vertical="center"/>
    </xf>
    <xf numFmtId="0" fontId="47" fillId="3" borderId="19" xfId="0" applyFont="1" applyFill="1" applyBorder="1" applyAlignment="1">
      <alignment horizontal="left" vertical="center"/>
    </xf>
    <xf numFmtId="0" fontId="47" fillId="3" borderId="17" xfId="0" applyFont="1" applyFill="1" applyBorder="1" applyAlignment="1">
      <alignment horizontal="left" vertical="center"/>
    </xf>
    <xf numFmtId="0" fontId="47" fillId="3" borderId="18" xfId="0" applyFont="1" applyFill="1" applyBorder="1" applyAlignment="1">
      <alignment horizontal="center" vertical="center"/>
    </xf>
    <xf numFmtId="3" fontId="0" fillId="0" borderId="183" xfId="0" applyNumberFormat="1" applyBorder="1" applyAlignment="1">
      <alignment vertical="center"/>
    </xf>
    <xf numFmtId="3" fontId="0" fillId="0" borderId="136" xfId="0" applyNumberFormat="1" applyBorder="1" applyAlignment="1">
      <alignment vertical="center"/>
    </xf>
    <xf numFmtId="0" fontId="49" fillId="7" borderId="131" xfId="0" applyFont="1" applyFill="1" applyBorder="1" applyAlignment="1">
      <alignment vertical="center"/>
    </xf>
    <xf numFmtId="166" fontId="49" fillId="7" borderId="134" xfId="0" applyNumberFormat="1" applyFont="1" applyFill="1" applyBorder="1" applyAlignment="1">
      <alignment horizontal="center" vertical="center"/>
    </xf>
    <xf numFmtId="0" fontId="49" fillId="7" borderId="134" xfId="0" applyFont="1" applyFill="1" applyBorder="1" applyAlignment="1">
      <alignment vertical="center"/>
    </xf>
    <xf numFmtId="3" fontId="0" fillId="0" borderId="135" xfId="0" applyNumberFormat="1" applyBorder="1" applyAlignment="1">
      <alignment vertical="center"/>
    </xf>
    <xf numFmtId="3" fontId="0" fillId="0" borderId="184" xfId="0" applyNumberFormat="1" applyBorder="1" applyAlignment="1">
      <alignment vertical="center"/>
    </xf>
    <xf numFmtId="3" fontId="0" fillId="0" borderId="137" xfId="0" applyNumberFormat="1" applyBorder="1" applyAlignment="1">
      <alignment vertical="center"/>
    </xf>
    <xf numFmtId="0" fontId="49" fillId="7" borderId="28" xfId="0" applyFont="1" applyFill="1" applyBorder="1" applyAlignment="1">
      <alignment vertical="center"/>
    </xf>
    <xf numFmtId="166" fontId="49" fillId="7" borderId="15" xfId="0" applyNumberFormat="1" applyFont="1" applyFill="1" applyBorder="1" applyAlignment="1">
      <alignment horizontal="center" vertical="center"/>
    </xf>
    <xf numFmtId="0" fontId="49" fillId="7" borderId="15" xfId="0" applyFont="1" applyFill="1" applyBorder="1" applyAlignment="1">
      <alignment vertical="center"/>
    </xf>
    <xf numFmtId="3" fontId="0" fillId="0" borderId="63" xfId="0" applyNumberFormat="1" applyBorder="1" applyAlignment="1">
      <alignment vertical="center"/>
    </xf>
    <xf numFmtId="0" fontId="49" fillId="7" borderId="9" xfId="0" applyFont="1" applyFill="1" applyBorder="1" applyAlignment="1">
      <alignment vertical="center" wrapText="1"/>
    </xf>
    <xf numFmtId="0" fontId="19" fillId="0" borderId="0" xfId="0" applyFont="1" applyAlignment="1">
      <alignment vertical="center"/>
    </xf>
    <xf numFmtId="0" fontId="0" fillId="0" borderId="0" xfId="0" applyAlignment="1">
      <alignment vertical="center"/>
    </xf>
    <xf numFmtId="0" fontId="16" fillId="9" borderId="5" xfId="0" applyFont="1" applyFill="1" applyBorder="1" applyAlignment="1">
      <alignment horizontal="center" vertical="center" wrapText="1"/>
    </xf>
    <xf numFmtId="0" fontId="0" fillId="11" borderId="0" xfId="0" applyFill="1" applyAlignment="1">
      <alignment horizontal="left" vertical="center"/>
    </xf>
    <xf numFmtId="0" fontId="7" fillId="11" borderId="16" xfId="0" applyFont="1" applyFill="1" applyBorder="1" applyAlignment="1">
      <alignment horizontal="center" vertical="center" wrapText="1"/>
    </xf>
    <xf numFmtId="0" fontId="0" fillId="11" borderId="189" xfId="0" applyFill="1" applyBorder="1" applyAlignment="1">
      <alignment horizontal="center" vertical="center"/>
    </xf>
    <xf numFmtId="0" fontId="0" fillId="11" borderId="105" xfId="0" applyFill="1" applyBorder="1" applyAlignment="1">
      <alignment horizontal="center" vertical="center"/>
    </xf>
    <xf numFmtId="0" fontId="7" fillId="11" borderId="147" xfId="0" applyFont="1" applyFill="1" applyBorder="1" applyAlignment="1">
      <alignment horizontal="center" vertical="center" wrapText="1"/>
    </xf>
    <xf numFmtId="0" fontId="0" fillId="11" borderId="185" xfId="0" applyFill="1" applyBorder="1" applyAlignment="1">
      <alignment horizontal="center" vertical="center"/>
    </xf>
    <xf numFmtId="0" fontId="0" fillId="11" borderId="106" xfId="0" applyFill="1" applyBorder="1" applyAlignment="1">
      <alignment horizontal="center" vertical="center"/>
    </xf>
    <xf numFmtId="0" fontId="0" fillId="11" borderId="185" xfId="0" applyFill="1" applyBorder="1" applyAlignment="1">
      <alignment horizontal="center" vertical="center" wrapText="1"/>
    </xf>
    <xf numFmtId="0" fontId="0" fillId="11" borderId="105" xfId="0" applyFill="1" applyBorder="1" applyAlignment="1">
      <alignment horizontal="center" vertical="center" wrapText="1"/>
    </xf>
    <xf numFmtId="0" fontId="0" fillId="11" borderId="186" xfId="0" applyFill="1" applyBorder="1" applyAlignment="1">
      <alignment horizontal="center" vertical="center"/>
    </xf>
    <xf numFmtId="0" fontId="0" fillId="11" borderId="187" xfId="0" applyFill="1" applyBorder="1" applyAlignment="1">
      <alignment horizontal="center" vertical="center"/>
    </xf>
    <xf numFmtId="0" fontId="0" fillId="11" borderId="188" xfId="0" applyFill="1" applyBorder="1" applyAlignment="1">
      <alignment horizontal="center" vertical="center"/>
    </xf>
    <xf numFmtId="4" fontId="16" fillId="3" borderId="45" xfId="0" applyNumberFormat="1" applyFont="1" applyFill="1" applyBorder="1" applyAlignment="1">
      <alignment horizontal="center" vertical="center" wrapText="1"/>
    </xf>
    <xf numFmtId="4" fontId="16" fillId="3" borderId="43" xfId="0" applyNumberFormat="1" applyFont="1" applyFill="1" applyBorder="1" applyAlignment="1">
      <alignment horizontal="center" vertical="center" wrapText="1"/>
    </xf>
    <xf numFmtId="4" fontId="16" fillId="3" borderId="36" xfId="0" applyNumberFormat="1" applyFont="1" applyFill="1" applyBorder="1" applyAlignment="1">
      <alignment horizontal="center" vertical="center" wrapText="1"/>
    </xf>
    <xf numFmtId="0" fontId="47" fillId="11" borderId="0" xfId="5" applyFont="1" applyFill="1" applyBorder="1" applyAlignment="1" applyProtection="1">
      <alignment horizontal="center" vertical="center" wrapText="1"/>
    </xf>
    <xf numFmtId="3" fontId="0" fillId="11" borderId="105" xfId="0" applyNumberFormat="1" applyFill="1" applyBorder="1" applyAlignment="1">
      <alignment horizontal="center" vertical="center"/>
    </xf>
    <xf numFmtId="4" fontId="16" fillId="9" borderId="45" xfId="0" applyNumberFormat="1" applyFont="1" applyFill="1" applyBorder="1" applyAlignment="1">
      <alignment horizontal="center" vertical="center" wrapText="1"/>
    </xf>
    <xf numFmtId="4" fontId="16" fillId="9" borderId="43" xfId="0" applyNumberFormat="1" applyFont="1" applyFill="1" applyBorder="1" applyAlignment="1">
      <alignment horizontal="center" vertical="center" wrapText="1"/>
    </xf>
    <xf numFmtId="0" fontId="0" fillId="11" borderId="0" xfId="0" quotePrefix="1" applyFill="1" applyAlignment="1">
      <alignment horizontal="center" vertical="center"/>
    </xf>
    <xf numFmtId="0" fontId="16" fillId="11" borderId="0" xfId="0" quotePrefix="1" applyFont="1" applyFill="1" applyAlignment="1">
      <alignment horizontal="center" vertical="center" wrapText="1"/>
    </xf>
    <xf numFmtId="0" fontId="8" fillId="11" borderId="0" xfId="0" applyFont="1" applyFill="1" applyAlignment="1">
      <alignment horizontal="left" vertical="top" wrapText="1"/>
    </xf>
    <xf numFmtId="0" fontId="8" fillId="11" borderId="1" xfId="0" applyFont="1" applyFill="1" applyBorder="1" applyAlignment="1">
      <alignment horizontal="left" vertical="top" wrapText="1"/>
    </xf>
    <xf numFmtId="0" fontId="8" fillId="11" borderId="1" xfId="0" quotePrefix="1" applyFont="1" applyFill="1" applyBorder="1" applyAlignment="1">
      <alignment vertical="center"/>
    </xf>
    <xf numFmtId="0" fontId="8" fillId="11" borderId="11" xfId="0" applyFont="1" applyFill="1" applyBorder="1" applyAlignment="1">
      <alignment horizontal="left" vertical="top" wrapText="1"/>
    </xf>
    <xf numFmtId="49" fontId="47" fillId="0" borderId="70" xfId="0" applyNumberFormat="1" applyFont="1" applyBorder="1" applyAlignment="1">
      <alignment horizontal="left" vertical="center"/>
    </xf>
    <xf numFmtId="49" fontId="47" fillId="0" borderId="95" xfId="0" applyNumberFormat="1" applyFont="1" applyBorder="1" applyAlignment="1">
      <alignment horizontal="left" vertical="center"/>
    </xf>
    <xf numFmtId="0" fontId="12" fillId="8" borderId="12"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0" xfId="0" applyFont="1" applyFill="1" applyBorder="1" applyAlignment="1">
      <alignment horizontal="center" vertical="center" wrapText="1"/>
    </xf>
    <xf numFmtId="165" fontId="19" fillId="18" borderId="1" xfId="0" applyNumberFormat="1" applyFont="1" applyFill="1" applyBorder="1" applyAlignment="1">
      <alignment horizontal="center" vertical="center" wrapText="1"/>
    </xf>
    <xf numFmtId="0" fontId="71" fillId="18" borderId="1" xfId="0" applyFont="1" applyFill="1" applyBorder="1" applyAlignment="1">
      <alignment horizontal="center" vertical="center" wrapText="1"/>
    </xf>
    <xf numFmtId="0" fontId="7" fillId="0" borderId="9" xfId="0" applyFont="1" applyBorder="1" applyAlignment="1">
      <alignment horizontal="left" vertical="center" wrapText="1"/>
    </xf>
    <xf numFmtId="0" fontId="7" fillId="9" borderId="9" xfId="0" applyFont="1" applyFill="1" applyBorder="1" applyAlignment="1">
      <alignment horizontal="left" vertical="center" wrapText="1"/>
    </xf>
    <xf numFmtId="4" fontId="16" fillId="11" borderId="35" xfId="0" applyNumberFormat="1" applyFont="1" applyFill="1" applyBorder="1" applyAlignment="1">
      <alignment horizontal="center" vertical="center" wrapText="1"/>
    </xf>
    <xf numFmtId="4" fontId="16" fillId="11" borderId="149" xfId="0" applyNumberFormat="1" applyFont="1" applyFill="1" applyBorder="1" applyAlignment="1">
      <alignment horizontal="center" vertical="center" wrapText="1"/>
    </xf>
    <xf numFmtId="4" fontId="16" fillId="11" borderId="148" xfId="0" applyNumberFormat="1" applyFont="1" applyFill="1" applyBorder="1" applyAlignment="1">
      <alignment horizontal="center" vertical="center" wrapText="1"/>
    </xf>
    <xf numFmtId="4" fontId="16" fillId="11" borderId="154" xfId="0" applyNumberFormat="1" applyFont="1" applyFill="1" applyBorder="1" applyAlignment="1">
      <alignment horizontal="center" vertical="center" wrapText="1"/>
    </xf>
    <xf numFmtId="0" fontId="8" fillId="11" borderId="0" xfId="0" applyFont="1" applyFill="1" applyAlignment="1">
      <alignment wrapText="1"/>
    </xf>
    <xf numFmtId="0" fontId="19" fillId="0" borderId="137" xfId="0" applyFont="1" applyBorder="1" applyAlignment="1">
      <alignment horizontal="center" vertical="center" wrapText="1"/>
    </xf>
    <xf numFmtId="0" fontId="19" fillId="0" borderId="136" xfId="0" applyFont="1" applyBorder="1" applyAlignment="1">
      <alignment horizontal="center" vertical="center" wrapText="1"/>
    </xf>
    <xf numFmtId="0" fontId="12" fillId="7" borderId="22" xfId="0" applyFont="1" applyFill="1" applyBorder="1" applyAlignment="1">
      <alignment horizontal="center" vertical="center" wrapText="1"/>
    </xf>
    <xf numFmtId="0" fontId="19" fillId="0" borderId="135" xfId="0" applyFont="1" applyBorder="1" applyAlignment="1">
      <alignment horizontal="center" vertical="center" wrapText="1"/>
    </xf>
    <xf numFmtId="165" fontId="71" fillId="18" borderId="1" xfId="0" applyNumberFormat="1" applyFont="1" applyFill="1" applyBorder="1" applyAlignment="1">
      <alignment horizontal="center" vertical="center" wrapText="1"/>
    </xf>
    <xf numFmtId="0" fontId="71" fillId="18" borderId="136" xfId="0" applyFont="1" applyFill="1" applyBorder="1" applyAlignment="1">
      <alignment horizontal="center" vertical="center" wrapText="1"/>
    </xf>
    <xf numFmtId="0" fontId="19" fillId="18" borderId="136" xfId="0" applyFont="1" applyFill="1" applyBorder="1" applyAlignment="1">
      <alignment horizontal="center" vertical="center" wrapText="1"/>
    </xf>
    <xf numFmtId="165" fontId="19" fillId="18" borderId="4" xfId="0" applyNumberFormat="1" applyFont="1" applyFill="1" applyBorder="1" applyAlignment="1">
      <alignment horizontal="center" vertical="center" wrapText="1"/>
    </xf>
    <xf numFmtId="0" fontId="7" fillId="11" borderId="59" xfId="0" applyFont="1" applyFill="1" applyBorder="1" applyAlignment="1">
      <alignment horizontal="center" vertical="center" wrapText="1"/>
    </xf>
    <xf numFmtId="0" fontId="0" fillId="11" borderId="0" xfId="0" applyFill="1" applyAlignment="1">
      <alignment wrapText="1"/>
    </xf>
    <xf numFmtId="0" fontId="0" fillId="11" borderId="0" xfId="0" applyFill="1" applyProtection="1">
      <protection locked="0"/>
    </xf>
    <xf numFmtId="0" fontId="16" fillId="0" borderId="181" xfId="0" applyFont="1" applyBorder="1" applyAlignment="1">
      <alignment horizontal="center" vertical="center" wrapText="1"/>
    </xf>
    <xf numFmtId="164" fontId="16" fillId="0" borderId="181" xfId="0" applyNumberFormat="1" applyFont="1" applyBorder="1" applyAlignment="1">
      <alignment horizontal="center" vertical="center" wrapText="1"/>
    </xf>
    <xf numFmtId="0" fontId="16" fillId="0" borderId="119" xfId="0" applyFont="1" applyBorder="1" applyAlignment="1">
      <alignment horizontal="center" vertical="center"/>
    </xf>
    <xf numFmtId="0" fontId="16" fillId="0" borderId="181" xfId="0" applyFont="1" applyBorder="1" applyAlignment="1">
      <alignment horizontal="center" vertical="center"/>
    </xf>
    <xf numFmtId="11" fontId="0" fillId="11" borderId="105" xfId="0" applyNumberFormat="1" applyFill="1" applyBorder="1" applyAlignment="1">
      <alignment horizontal="center" vertical="center"/>
    </xf>
    <xf numFmtId="1" fontId="0" fillId="11" borderId="105" xfId="0" applyNumberFormat="1" applyFill="1" applyBorder="1" applyAlignment="1">
      <alignment horizontal="center" vertical="center"/>
    </xf>
    <xf numFmtId="2" fontId="16" fillId="0" borderId="181" xfId="0" applyNumberFormat="1" applyFont="1" applyBorder="1" applyAlignment="1">
      <alignment horizontal="center" vertical="center" wrapText="1"/>
    </xf>
    <xf numFmtId="0" fontId="16" fillId="0" borderId="181" xfId="0" applyFont="1" applyBorder="1" applyAlignment="1" applyProtection="1">
      <alignment horizontal="center" vertical="center" wrapText="1"/>
      <protection locked="0"/>
    </xf>
    <xf numFmtId="4" fontId="16" fillId="0" borderId="181" xfId="0" applyNumberFormat="1" applyFont="1" applyBorder="1" applyAlignment="1">
      <alignment horizontal="center" vertical="center" wrapText="1"/>
    </xf>
    <xf numFmtId="4" fontId="16" fillId="0" borderId="146" xfId="0" applyNumberFormat="1" applyFont="1" applyBorder="1" applyAlignment="1">
      <alignment horizontal="center" vertical="center" wrapText="1"/>
    </xf>
    <xf numFmtId="4" fontId="16" fillId="0" borderId="148" xfId="0" applyNumberFormat="1" applyFont="1" applyBorder="1" applyAlignment="1">
      <alignment horizontal="center" vertical="center" wrapText="1"/>
    </xf>
    <xf numFmtId="4" fontId="16" fillId="0" borderId="154" xfId="0" applyNumberFormat="1" applyFont="1" applyBorder="1" applyAlignment="1">
      <alignment horizontal="center" vertical="center" wrapText="1"/>
    </xf>
    <xf numFmtId="0" fontId="47" fillId="11" borderId="5" xfId="5" applyFont="1" applyFill="1" applyBorder="1" applyAlignment="1" applyProtection="1">
      <alignment horizontal="center" vertical="center" wrapText="1"/>
    </xf>
    <xf numFmtId="0" fontId="0" fillId="3" borderId="20" xfId="0" applyFill="1" applyBorder="1" applyAlignment="1">
      <alignment vertical="center"/>
    </xf>
    <xf numFmtId="175" fontId="47" fillId="11" borderId="0" xfId="0" applyNumberFormat="1" applyFont="1" applyFill="1" applyAlignment="1">
      <alignment horizontal="left" vertical="center" wrapText="1"/>
    </xf>
    <xf numFmtId="0" fontId="0" fillId="11" borderId="191" xfId="0" applyFill="1" applyBorder="1" applyAlignment="1" applyProtection="1">
      <alignment horizontal="center" vertical="center"/>
      <protection locked="0"/>
    </xf>
    <xf numFmtId="0" fontId="0" fillId="11" borderId="189" xfId="0" applyFill="1" applyBorder="1" applyAlignment="1" applyProtection="1">
      <alignment horizontal="center" vertical="center"/>
      <protection locked="0"/>
    </xf>
    <xf numFmtId="0" fontId="0" fillId="11" borderId="192" xfId="0" applyFill="1" applyBorder="1" applyAlignment="1" applyProtection="1">
      <alignment horizontal="center" vertical="center"/>
      <protection locked="0"/>
    </xf>
    <xf numFmtId="0" fontId="0" fillId="11" borderId="185" xfId="0" applyFill="1" applyBorder="1" applyAlignment="1" applyProtection="1">
      <alignment horizontal="center" vertical="center"/>
      <protection locked="0"/>
    </xf>
    <xf numFmtId="0" fontId="0" fillId="11" borderId="105" xfId="0" applyFill="1" applyBorder="1" applyAlignment="1" applyProtection="1">
      <alignment horizontal="center" vertical="center"/>
      <protection locked="0"/>
    </xf>
    <xf numFmtId="0" fontId="0" fillId="11" borderId="106" xfId="0" applyFill="1" applyBorder="1" applyAlignment="1" applyProtection="1">
      <alignment horizontal="center" vertical="center"/>
      <protection locked="0"/>
    </xf>
    <xf numFmtId="0" fontId="0" fillId="11" borderId="186" xfId="0" applyFill="1" applyBorder="1" applyAlignment="1" applyProtection="1">
      <alignment horizontal="center" vertical="center"/>
      <protection locked="0"/>
    </xf>
    <xf numFmtId="0" fontId="0" fillId="11" borderId="187" xfId="0" applyFill="1" applyBorder="1" applyAlignment="1" applyProtection="1">
      <alignment horizontal="center" vertical="center"/>
      <protection locked="0"/>
    </xf>
    <xf numFmtId="0" fontId="0" fillId="11" borderId="188" xfId="0" applyFill="1" applyBorder="1" applyAlignment="1" applyProtection="1">
      <alignment horizontal="center" vertical="center"/>
      <protection locked="0"/>
    </xf>
    <xf numFmtId="176" fontId="0" fillId="11" borderId="185" xfId="0" applyNumberFormat="1" applyFill="1" applyBorder="1" applyAlignment="1">
      <alignment horizontal="center" vertical="center" wrapText="1"/>
    </xf>
    <xf numFmtId="176" fontId="0" fillId="11" borderId="105" xfId="0" applyNumberFormat="1" applyFill="1" applyBorder="1" applyAlignment="1">
      <alignment horizontal="center" vertical="center" wrapText="1"/>
    </xf>
    <xf numFmtId="4" fontId="47" fillId="9" borderId="5" xfId="5" applyNumberFormat="1" applyFont="1" applyFill="1" applyBorder="1" applyAlignment="1" applyProtection="1">
      <alignment horizontal="center" vertical="center" wrapText="1"/>
      <protection locked="0"/>
    </xf>
    <xf numFmtId="177" fontId="16" fillId="0" borderId="118" xfId="0" applyNumberFormat="1" applyFont="1" applyBorder="1" applyAlignment="1">
      <alignment horizontal="center" vertical="center" wrapText="1"/>
    </xf>
    <xf numFmtId="0" fontId="0" fillId="11" borderId="174" xfId="0" applyFill="1" applyBorder="1" applyAlignment="1">
      <alignment horizontal="center" vertical="center" wrapText="1"/>
    </xf>
    <xf numFmtId="0" fontId="0" fillId="11" borderId="175" xfId="0" applyFill="1" applyBorder="1" applyAlignment="1">
      <alignment horizontal="center" vertical="center" wrapText="1"/>
    </xf>
    <xf numFmtId="0" fontId="0" fillId="11" borderId="175" xfId="0" applyFill="1" applyBorder="1" applyAlignment="1">
      <alignment horizontal="center" vertical="center"/>
    </xf>
    <xf numFmtId="0" fontId="0" fillId="11" borderId="176" xfId="0" applyFill="1" applyBorder="1" applyAlignment="1">
      <alignment horizontal="center" vertical="center"/>
    </xf>
    <xf numFmtId="0" fontId="0" fillId="11" borderId="66" xfId="0" applyFill="1" applyBorder="1" applyAlignment="1">
      <alignment horizontal="left"/>
    </xf>
    <xf numFmtId="0" fontId="0" fillId="11" borderId="66" xfId="0" applyFill="1" applyBorder="1"/>
    <xf numFmtId="0" fontId="8" fillId="11" borderId="66" xfId="0" applyFont="1" applyFill="1" applyBorder="1" applyAlignment="1">
      <alignment horizontal="center" vertical="center"/>
    </xf>
    <xf numFmtId="0" fontId="79" fillId="11" borderId="1" xfId="0" applyFont="1" applyFill="1" applyBorder="1" applyAlignment="1">
      <alignment horizontal="center" vertical="center"/>
    </xf>
    <xf numFmtId="0" fontId="79" fillId="11" borderId="0" xfId="0" applyFont="1" applyFill="1" applyAlignment="1">
      <alignment vertical="center"/>
    </xf>
    <xf numFmtId="0" fontId="80" fillId="11" borderId="0" xfId="0" applyFont="1" applyFill="1" applyAlignment="1">
      <alignment horizontal="right" vertical="center"/>
    </xf>
    <xf numFmtId="4" fontId="0" fillId="11" borderId="105" xfId="0" applyNumberFormat="1" applyFill="1" applyBorder="1" applyAlignment="1">
      <alignment horizontal="center" vertical="center" wrapText="1"/>
    </xf>
    <xf numFmtId="4" fontId="0" fillId="11" borderId="105" xfId="0" applyNumberFormat="1" applyFill="1" applyBorder="1" applyAlignment="1">
      <alignment horizontal="center" vertical="center"/>
    </xf>
    <xf numFmtId="4" fontId="0" fillId="11" borderId="106" xfId="0" applyNumberFormat="1" applyFill="1" applyBorder="1" applyAlignment="1">
      <alignment horizontal="center" vertical="center"/>
    </xf>
    <xf numFmtId="4" fontId="0" fillId="11" borderId="124" xfId="0" applyNumberFormat="1" applyFill="1" applyBorder="1" applyAlignment="1">
      <alignment horizontal="center" vertical="center"/>
    </xf>
    <xf numFmtId="178" fontId="49" fillId="12" borderId="3" xfId="0" applyNumberFormat="1" applyFont="1" applyFill="1" applyBorder="1" applyAlignment="1">
      <alignment vertical="center"/>
    </xf>
    <xf numFmtId="0" fontId="47" fillId="11" borderId="111" xfId="0" applyFont="1" applyFill="1" applyBorder="1" applyAlignment="1">
      <alignment vertical="center" wrapText="1"/>
    </xf>
    <xf numFmtId="178" fontId="49" fillId="11" borderId="68" xfId="0" applyNumberFormat="1" applyFont="1" applyFill="1" applyBorder="1" applyAlignment="1">
      <alignment vertical="center"/>
    </xf>
    <xf numFmtId="178" fontId="49" fillId="11" borderId="0" xfId="0" applyNumberFormat="1" applyFont="1" applyFill="1" applyAlignment="1">
      <alignment vertical="center"/>
    </xf>
    <xf numFmtId="178" fontId="49" fillId="12" borderId="20" xfId="0" applyNumberFormat="1" applyFont="1" applyFill="1" applyBorder="1" applyAlignment="1">
      <alignment vertical="center"/>
    </xf>
    <xf numFmtId="178" fontId="40" fillId="11" borderId="0" xfId="0" applyNumberFormat="1" applyFont="1" applyFill="1" applyAlignment="1">
      <alignment vertical="center"/>
    </xf>
    <xf numFmtId="178" fontId="40" fillId="11" borderId="0" xfId="0" applyNumberFormat="1" applyFont="1" applyFill="1" applyAlignment="1">
      <alignment vertical="center" wrapText="1"/>
    </xf>
    <xf numFmtId="178" fontId="81" fillId="11" borderId="0" xfId="0" applyNumberFormat="1" applyFont="1" applyFill="1" applyAlignment="1">
      <alignment horizontal="center" vertical="center"/>
    </xf>
    <xf numFmtId="178" fontId="82" fillId="11" borderId="0" xfId="0" applyNumberFormat="1" applyFont="1" applyFill="1" applyAlignment="1">
      <alignment horizontal="center" vertical="center"/>
    </xf>
    <xf numFmtId="4" fontId="16" fillId="19" borderId="118" xfId="0" applyNumberFormat="1" applyFont="1" applyFill="1" applyBorder="1" applyAlignment="1">
      <alignment horizontal="center" vertical="center" wrapText="1"/>
    </xf>
    <xf numFmtId="4" fontId="0" fillId="11" borderId="185" xfId="0" applyNumberFormat="1" applyFill="1" applyBorder="1" applyAlignment="1">
      <alignment horizontal="center" vertical="center" wrapText="1"/>
    </xf>
    <xf numFmtId="4" fontId="0" fillId="11" borderId="187" xfId="0" applyNumberFormat="1" applyFill="1" applyBorder="1" applyAlignment="1">
      <alignment horizontal="center" vertical="center"/>
    </xf>
    <xf numFmtId="4" fontId="0" fillId="11" borderId="123" xfId="0" applyNumberFormat="1" applyFill="1" applyBorder="1" applyAlignment="1">
      <alignment horizontal="center" vertical="center"/>
    </xf>
    <xf numFmtId="4" fontId="0" fillId="11" borderId="188" xfId="0" applyNumberFormat="1" applyFill="1" applyBorder="1" applyAlignment="1">
      <alignment horizontal="center" vertical="center"/>
    </xf>
    <xf numFmtId="0" fontId="16" fillId="9" borderId="181" xfId="0" applyFont="1" applyFill="1" applyBorder="1" applyAlignment="1" applyProtection="1">
      <alignment horizontal="center" vertical="center"/>
      <protection locked="0"/>
    </xf>
    <xf numFmtId="0" fontId="0" fillId="11" borderId="0" xfId="0" applyFill="1" applyAlignment="1">
      <alignment horizontal="center" vertical="center" wrapText="1"/>
    </xf>
    <xf numFmtId="0" fontId="16" fillId="0" borderId="117" xfId="0" applyFont="1" applyBorder="1" applyAlignment="1">
      <alignment horizontal="center" vertical="center" wrapText="1"/>
    </xf>
    <xf numFmtId="164" fontId="16" fillId="0" borderId="117" xfId="0" applyNumberFormat="1" applyFont="1" applyBorder="1" applyAlignment="1">
      <alignment horizontal="center" vertical="center" wrapText="1"/>
    </xf>
    <xf numFmtId="0" fontId="16" fillId="0" borderId="117" xfId="0" applyFont="1" applyBorder="1" applyAlignment="1">
      <alignment horizontal="center" vertical="center"/>
    </xf>
    <xf numFmtId="0" fontId="47" fillId="11" borderId="0" xfId="5" applyFont="1" applyFill="1" applyBorder="1" applyAlignment="1" applyProtection="1">
      <alignment horizontal="right" vertical="center" wrapText="1"/>
    </xf>
    <xf numFmtId="3" fontId="47" fillId="9" borderId="5" xfId="5" applyNumberFormat="1" applyFont="1" applyFill="1" applyBorder="1" applyAlignment="1" applyProtection="1">
      <alignment horizontal="center" vertical="center" wrapText="1"/>
      <protection locked="0"/>
    </xf>
    <xf numFmtId="165" fontId="47" fillId="9" borderId="5" xfId="5" applyNumberFormat="1" applyFont="1" applyFill="1" applyBorder="1" applyAlignment="1" applyProtection="1">
      <alignment horizontal="center" vertical="center" wrapText="1"/>
      <protection locked="0"/>
    </xf>
    <xf numFmtId="0" fontId="47" fillId="11" borderId="0" xfId="5" applyFont="1" applyFill="1" applyBorder="1" applyAlignment="1" applyProtection="1">
      <alignment horizontal="left" vertical="center" wrapText="1"/>
    </xf>
    <xf numFmtId="0" fontId="51" fillId="11" borderId="0" xfId="5" applyFont="1" applyFill="1" applyBorder="1" applyAlignment="1" applyProtection="1">
      <alignment horizontal="center" vertical="center" wrapText="1"/>
    </xf>
    <xf numFmtId="0" fontId="47" fillId="11" borderId="23" xfId="5" applyFont="1" applyFill="1" applyBorder="1" applyAlignment="1" applyProtection="1">
      <alignment horizontal="left" vertical="center" wrapText="1"/>
    </xf>
    <xf numFmtId="0" fontId="0" fillId="11" borderId="24" xfId="0" applyFill="1" applyBorder="1" applyAlignment="1">
      <alignment vertical="center"/>
    </xf>
    <xf numFmtId="0" fontId="47" fillId="11" borderId="0" xfId="5" applyFont="1" applyFill="1" applyBorder="1" applyAlignment="1" applyProtection="1">
      <alignment horizontal="center" wrapText="1"/>
    </xf>
    <xf numFmtId="0" fontId="47" fillId="11" borderId="26" xfId="5" applyFont="1" applyFill="1" applyBorder="1" applyAlignment="1" applyProtection="1">
      <alignment horizontal="left" vertical="center" wrapText="1"/>
    </xf>
    <xf numFmtId="0" fontId="16" fillId="11" borderId="68" xfId="0" applyFont="1" applyFill="1" applyBorder="1" applyAlignment="1">
      <alignment vertical="center"/>
    </xf>
    <xf numFmtId="11" fontId="16" fillId="11" borderId="43" xfId="0" applyNumberFormat="1" applyFont="1" applyFill="1" applyBorder="1" applyAlignment="1">
      <alignment horizontal="center" vertical="center" wrapText="1"/>
    </xf>
    <xf numFmtId="11" fontId="16" fillId="3" borderId="43" xfId="0" applyNumberFormat="1" applyFont="1" applyFill="1" applyBorder="1" applyAlignment="1">
      <alignment horizontal="center" vertical="center" wrapText="1"/>
    </xf>
    <xf numFmtId="0" fontId="47" fillId="11" borderId="24" xfId="5" applyFont="1" applyFill="1" applyBorder="1" applyAlignment="1" applyProtection="1">
      <alignment horizontal="center" vertical="center" wrapText="1"/>
    </xf>
    <xf numFmtId="0" fontId="62" fillId="11" borderId="68" xfId="0" applyFont="1" applyFill="1" applyBorder="1" applyAlignment="1">
      <alignment horizontal="center" vertical="center"/>
    </xf>
    <xf numFmtId="0" fontId="0" fillId="11" borderId="193" xfId="0" applyFill="1" applyBorder="1" applyAlignment="1">
      <alignment horizontal="center" vertical="center"/>
    </xf>
    <xf numFmtId="0" fontId="0" fillId="11" borderId="194" xfId="0" applyFill="1" applyBorder="1" applyAlignment="1">
      <alignment horizontal="center" vertical="center"/>
    </xf>
    <xf numFmtId="10" fontId="0" fillId="11" borderId="165" xfId="0" applyNumberFormat="1" applyFill="1" applyBorder="1" applyAlignment="1">
      <alignment horizontal="center" vertical="center"/>
    </xf>
    <xf numFmtId="10" fontId="0" fillId="11" borderId="166" xfId="0" applyNumberFormat="1" applyFill="1" applyBorder="1" applyAlignment="1">
      <alignment horizontal="center" vertical="center"/>
    </xf>
    <xf numFmtId="0" fontId="7" fillId="11" borderId="195" xfId="0" applyFont="1" applyFill="1" applyBorder="1" applyAlignment="1">
      <alignment horizontal="center" vertical="center" wrapText="1"/>
    </xf>
    <xf numFmtId="0" fontId="7" fillId="11" borderId="196" xfId="0" applyFont="1" applyFill="1" applyBorder="1" applyAlignment="1">
      <alignment horizontal="center" vertical="center" wrapText="1"/>
    </xf>
    <xf numFmtId="0" fontId="7" fillId="11" borderId="197" xfId="0" applyFont="1" applyFill="1" applyBorder="1" applyAlignment="1">
      <alignment horizontal="center" vertical="center" wrapText="1"/>
    </xf>
    <xf numFmtId="0" fontId="16" fillId="11" borderId="38" xfId="0" applyFont="1" applyFill="1" applyBorder="1" applyAlignment="1">
      <alignment horizontal="center" vertical="center" wrapText="1"/>
    </xf>
    <xf numFmtId="0" fontId="16" fillId="11" borderId="14" xfId="0" applyFont="1" applyFill="1" applyBorder="1" applyAlignment="1">
      <alignment horizontal="center" vertical="center" wrapText="1"/>
    </xf>
    <xf numFmtId="1" fontId="16" fillId="11" borderId="5" xfId="0" applyNumberFormat="1" applyFont="1" applyFill="1" applyBorder="1" applyAlignment="1">
      <alignment horizontal="center" vertical="center"/>
    </xf>
    <xf numFmtId="3" fontId="0" fillId="20" borderId="105" xfId="0" applyNumberFormat="1" applyFill="1" applyBorder="1" applyAlignment="1">
      <alignment horizontal="center" vertical="center"/>
    </xf>
    <xf numFmtId="3" fontId="0" fillId="17" borderId="105" xfId="0" applyNumberFormat="1" applyFill="1" applyBorder="1" applyAlignment="1">
      <alignment horizontal="center" vertical="center"/>
    </xf>
    <xf numFmtId="4" fontId="16" fillId="0" borderId="118" xfId="0" quotePrefix="1" applyNumberFormat="1" applyFont="1" applyBorder="1" applyAlignment="1">
      <alignment horizontal="center" vertical="center" wrapText="1"/>
    </xf>
    <xf numFmtId="0" fontId="16" fillId="11" borderId="0" xfId="0" applyFont="1" applyFill="1" applyAlignment="1">
      <alignment horizontal="center" vertical="center" wrapText="1"/>
    </xf>
    <xf numFmtId="182" fontId="0" fillId="11" borderId="0" xfId="0" applyNumberFormat="1" applyFill="1" applyAlignment="1">
      <alignment horizontal="center" vertical="center"/>
    </xf>
    <xf numFmtId="2" fontId="16" fillId="0" borderId="60" xfId="0" applyNumberFormat="1" applyFont="1" applyBorder="1" applyAlignment="1">
      <alignment horizontal="center" vertical="center" wrapText="1"/>
    </xf>
    <xf numFmtId="164" fontId="16" fillId="0" borderId="60" xfId="0" applyNumberFormat="1" applyFont="1" applyBorder="1" applyAlignment="1">
      <alignment horizontal="center" vertical="center" wrapText="1"/>
    </xf>
    <xf numFmtId="4" fontId="16" fillId="0" borderId="60" xfId="0" applyNumberFormat="1" applyFont="1" applyBorder="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4" fontId="16" fillId="0" borderId="60" xfId="0" applyNumberFormat="1" applyFont="1" applyBorder="1" applyAlignment="1">
      <alignment horizontal="center" vertical="center" wrapText="1"/>
    </xf>
    <xf numFmtId="4" fontId="16" fillId="0" borderId="34" xfId="0" applyNumberFormat="1" applyFont="1" applyBorder="1" applyAlignment="1" applyProtection="1">
      <alignment horizontal="center" vertical="center" wrapText="1"/>
      <protection locked="0"/>
    </xf>
    <xf numFmtId="4" fontId="16" fillId="0" borderId="15" xfId="0" applyNumberFormat="1" applyFont="1" applyBorder="1" applyAlignment="1" applyProtection="1">
      <alignment horizontal="center" vertical="center" wrapText="1"/>
      <protection locked="0"/>
    </xf>
    <xf numFmtId="4" fontId="16" fillId="0" borderId="63" xfId="0" applyNumberFormat="1" applyFont="1" applyBorder="1" applyAlignment="1" applyProtection="1">
      <alignment horizontal="center" vertical="center" wrapText="1"/>
      <protection locked="0"/>
    </xf>
    <xf numFmtId="0" fontId="16" fillId="11" borderId="27" xfId="0" applyFont="1" applyFill="1" applyBorder="1" applyAlignment="1">
      <alignment horizontal="right" vertical="center" wrapText="1"/>
    </xf>
    <xf numFmtId="0" fontId="16" fillId="11" borderId="27" xfId="0" applyFont="1" applyFill="1" applyBorder="1" applyAlignment="1">
      <alignment horizontal="right" vertical="center"/>
    </xf>
    <xf numFmtId="0" fontId="16" fillId="11" borderId="43" xfId="0" applyFont="1" applyFill="1" applyBorder="1" applyAlignment="1">
      <alignment horizontal="left" vertical="center"/>
    </xf>
    <xf numFmtId="0" fontId="16" fillId="11" borderId="0" xfId="0" applyFont="1" applyFill="1" applyAlignment="1">
      <alignment horizontal="right" vertical="center"/>
    </xf>
    <xf numFmtId="0" fontId="47" fillId="11" borderId="132" xfId="5" applyFont="1" applyFill="1" applyBorder="1" applyAlignment="1" applyProtection="1">
      <alignment horizontal="center" wrapText="1"/>
    </xf>
    <xf numFmtId="3" fontId="47" fillId="9" borderId="0" xfId="5" applyNumberFormat="1" applyFont="1" applyFill="1" applyBorder="1" applyAlignment="1" applyProtection="1">
      <alignment horizontal="center" vertical="center" wrapText="1"/>
      <protection locked="0"/>
    </xf>
    <xf numFmtId="0" fontId="47" fillId="11" borderId="0" xfId="0" applyFont="1" applyFill="1" applyAlignment="1">
      <alignment horizontal="center" wrapText="1"/>
    </xf>
    <xf numFmtId="0" fontId="8" fillId="11" borderId="23" xfId="0" applyFont="1" applyFill="1" applyBorder="1" applyAlignment="1">
      <alignment vertical="center"/>
    </xf>
    <xf numFmtId="0" fontId="8" fillId="11" borderId="24" xfId="0" applyFont="1" applyFill="1" applyBorder="1" applyAlignment="1">
      <alignment vertical="center"/>
    </xf>
    <xf numFmtId="0" fontId="8" fillId="11" borderId="26" xfId="0" applyFont="1" applyFill="1" applyBorder="1" applyAlignment="1">
      <alignment vertical="center"/>
    </xf>
    <xf numFmtId="0" fontId="16" fillId="11" borderId="27" xfId="0" applyFont="1" applyFill="1" applyBorder="1" applyAlignment="1">
      <alignment horizontal="center" vertical="center"/>
    </xf>
    <xf numFmtId="3" fontId="0" fillId="17" borderId="106" xfId="0" applyNumberFormat="1" applyFill="1" applyBorder="1" applyAlignment="1">
      <alignment horizontal="center" vertical="center"/>
    </xf>
    <xf numFmtId="3" fontId="0" fillId="20" borderId="106" xfId="0" applyNumberFormat="1" applyFill="1" applyBorder="1" applyAlignment="1">
      <alignment horizontal="center" vertical="center"/>
    </xf>
    <xf numFmtId="3" fontId="0" fillId="11" borderId="187" xfId="0" applyNumberFormat="1" applyFill="1" applyBorder="1" applyAlignment="1">
      <alignment horizontal="center" vertical="center"/>
    </xf>
    <xf numFmtId="3" fontId="0" fillId="20" borderId="187" xfId="0" applyNumberFormat="1" applyFill="1" applyBorder="1" applyAlignment="1">
      <alignment horizontal="center" vertical="center"/>
    </xf>
    <xf numFmtId="3" fontId="0" fillId="20" borderId="188" xfId="0" applyNumberFormat="1" applyFill="1" applyBorder="1" applyAlignment="1">
      <alignment horizontal="center" vertical="center"/>
    </xf>
    <xf numFmtId="3" fontId="0" fillId="11" borderId="106" xfId="0" applyNumberFormat="1" applyFill="1" applyBorder="1" applyAlignment="1">
      <alignment horizontal="center" vertical="center"/>
    </xf>
    <xf numFmtId="3" fontId="0" fillId="11" borderId="188" xfId="0" applyNumberFormat="1" applyFill="1" applyBorder="1" applyAlignment="1">
      <alignment horizontal="center" vertical="center"/>
    </xf>
    <xf numFmtId="0" fontId="0" fillId="11" borderId="198" xfId="0" applyFill="1" applyBorder="1" applyAlignment="1">
      <alignment horizontal="center" vertical="center"/>
    </xf>
    <xf numFmtId="0" fontId="0" fillId="11" borderId="199" xfId="0" applyFill="1" applyBorder="1" applyAlignment="1">
      <alignment horizontal="center" vertical="center"/>
    </xf>
    <xf numFmtId="0" fontId="0" fillId="11" borderId="153" xfId="0" applyFill="1" applyBorder="1" applyAlignment="1">
      <alignment horizontal="center" vertical="center"/>
    </xf>
    <xf numFmtId="0" fontId="0" fillId="11" borderId="152" xfId="0" applyFill="1" applyBorder="1" applyAlignment="1">
      <alignment horizontal="center" vertical="center"/>
    </xf>
    <xf numFmtId="0" fontId="0" fillId="11" borderId="199" xfId="0" applyFill="1" applyBorder="1" applyAlignment="1">
      <alignment vertical="center"/>
    </xf>
    <xf numFmtId="0" fontId="0" fillId="11" borderId="152" xfId="0" applyFill="1" applyBorder="1" applyAlignment="1">
      <alignment vertical="center"/>
    </xf>
    <xf numFmtId="0" fontId="0" fillId="11" borderId="201" xfId="0" applyFill="1" applyBorder="1" applyAlignment="1">
      <alignment horizontal="center" vertical="center"/>
    </xf>
    <xf numFmtId="0" fontId="0" fillId="11" borderId="2" xfId="0" applyFill="1" applyBorder="1" applyAlignment="1">
      <alignment horizontal="center" vertical="center"/>
    </xf>
    <xf numFmtId="0" fontId="16" fillId="11" borderId="201" xfId="0" applyFont="1" applyFill="1" applyBorder="1" applyAlignment="1">
      <alignment horizontal="center" vertical="center"/>
    </xf>
    <xf numFmtId="0" fontId="16" fillId="11" borderId="199" xfId="0" applyFont="1" applyFill="1" applyBorder="1" applyAlignment="1">
      <alignment vertical="center"/>
    </xf>
    <xf numFmtId="0" fontId="16" fillId="11" borderId="198" xfId="0" applyFont="1" applyFill="1" applyBorder="1" applyAlignment="1">
      <alignment horizontal="center" vertical="center"/>
    </xf>
    <xf numFmtId="0" fontId="16" fillId="11" borderId="199" xfId="0" applyFont="1" applyFill="1" applyBorder="1" applyAlignment="1">
      <alignment horizontal="center" vertical="center"/>
    </xf>
    <xf numFmtId="0" fontId="16" fillId="11" borderId="0" xfId="0" applyFont="1" applyFill="1" applyAlignment="1">
      <alignment vertical="center" wrapText="1"/>
    </xf>
    <xf numFmtId="0" fontId="0" fillId="11" borderId="199" xfId="0" applyFill="1" applyBorder="1" applyAlignment="1">
      <alignment horizontal="right" vertical="center" wrapText="1"/>
    </xf>
    <xf numFmtId="0" fontId="16" fillId="11" borderId="65" xfId="0" applyFont="1" applyFill="1" applyBorder="1" applyAlignment="1">
      <alignment horizontal="center" vertical="center"/>
    </xf>
    <xf numFmtId="0" fontId="16" fillId="11" borderId="24" xfId="0" applyFont="1" applyFill="1" applyBorder="1" applyAlignment="1">
      <alignment horizontal="center" vertical="center"/>
    </xf>
    <xf numFmtId="0" fontId="16" fillId="11" borderId="24" xfId="0" applyFont="1" applyFill="1" applyBorder="1" applyAlignment="1">
      <alignment horizontal="center" vertical="center" wrapText="1"/>
    </xf>
    <xf numFmtId="0" fontId="16" fillId="11" borderId="61" xfId="0" applyFont="1" applyFill="1" applyBorder="1" applyAlignment="1">
      <alignment horizontal="center" vertical="center" wrapText="1"/>
    </xf>
    <xf numFmtId="0" fontId="0" fillId="11" borderId="198" xfId="0" applyFill="1" applyBorder="1" applyAlignment="1">
      <alignment vertical="center"/>
    </xf>
    <xf numFmtId="0" fontId="0" fillId="11" borderId="145" xfId="0" applyFill="1" applyBorder="1" applyAlignment="1">
      <alignment horizontal="center" vertical="center"/>
    </xf>
    <xf numFmtId="0" fontId="0" fillId="11" borderId="146" xfId="0" applyFill="1" applyBorder="1" applyAlignment="1">
      <alignment horizontal="center" vertical="center"/>
    </xf>
    <xf numFmtId="0" fontId="0" fillId="11" borderId="122" xfId="0" applyFill="1" applyBorder="1" applyAlignment="1">
      <alignment horizontal="center" vertical="center"/>
    </xf>
    <xf numFmtId="0" fontId="0" fillId="11" borderId="116" xfId="0" applyFill="1" applyBorder="1" applyAlignment="1">
      <alignment horizontal="center" vertical="center"/>
    </xf>
    <xf numFmtId="0" fontId="0" fillId="11" borderId="49" xfId="0" applyFill="1" applyBorder="1" applyAlignment="1">
      <alignment horizontal="center" vertical="center"/>
    </xf>
    <xf numFmtId="0" fontId="0" fillId="11" borderId="128" xfId="0" applyFill="1" applyBorder="1" applyAlignment="1">
      <alignment horizontal="center" vertical="center" wrapText="1"/>
    </xf>
    <xf numFmtId="0" fontId="0" fillId="11" borderId="153" xfId="0" applyFill="1" applyBorder="1" applyAlignment="1">
      <alignment horizontal="center" vertical="center" wrapText="1"/>
    </xf>
    <xf numFmtId="0" fontId="0" fillId="11" borderId="68" xfId="0" applyFill="1" applyBorder="1" applyAlignment="1">
      <alignment horizontal="center" vertical="center" wrapText="1"/>
    </xf>
    <xf numFmtId="0" fontId="0" fillId="11" borderId="116" xfId="0" applyFill="1" applyBorder="1" applyAlignment="1">
      <alignment horizontal="center" vertical="center" wrapText="1"/>
    </xf>
    <xf numFmtId="164" fontId="0" fillId="11" borderId="0" xfId="0" applyNumberFormat="1" applyFill="1" applyAlignment="1">
      <alignment horizontal="center" vertical="center"/>
    </xf>
    <xf numFmtId="164" fontId="0" fillId="11" borderId="132" xfId="0" applyNumberFormat="1" applyFill="1" applyBorder="1" applyAlignment="1">
      <alignment horizontal="center" vertical="center"/>
    </xf>
    <xf numFmtId="164" fontId="0" fillId="11" borderId="66" xfId="0" applyNumberFormat="1" applyFill="1" applyBorder="1" applyAlignment="1">
      <alignment horizontal="center" vertical="center"/>
    </xf>
    <xf numFmtId="182" fontId="47" fillId="9" borderId="5" xfId="5" applyNumberFormat="1" applyFont="1" applyFill="1" applyBorder="1" applyAlignment="1" applyProtection="1">
      <alignment horizontal="center" vertical="center" wrapText="1"/>
      <protection locked="0"/>
    </xf>
    <xf numFmtId="0" fontId="62" fillId="11" borderId="16" xfId="0" applyFont="1" applyFill="1" applyBorder="1" applyAlignment="1">
      <alignment horizontal="center" vertical="center" wrapText="1"/>
    </xf>
    <xf numFmtId="0" fontId="62" fillId="11" borderId="196" xfId="0" applyFont="1" applyFill="1" applyBorder="1" applyAlignment="1">
      <alignment horizontal="center" vertical="center" wrapText="1"/>
    </xf>
    <xf numFmtId="0" fontId="62" fillId="11" borderId="197" xfId="0" applyFont="1" applyFill="1" applyBorder="1" applyAlignment="1">
      <alignment horizontal="center" vertical="center" wrapText="1"/>
    </xf>
    <xf numFmtId="0" fontId="62" fillId="11" borderId="202" xfId="0" applyFont="1" applyFill="1" applyBorder="1" applyAlignment="1">
      <alignment horizontal="center" vertical="center" wrapText="1"/>
    </xf>
    <xf numFmtId="0" fontId="0" fillId="11" borderId="203" xfId="0" applyFill="1" applyBorder="1" applyAlignment="1">
      <alignment horizontal="center" vertical="center"/>
    </xf>
    <xf numFmtId="0" fontId="62" fillId="11" borderId="204" xfId="0" applyFont="1" applyFill="1" applyBorder="1" applyAlignment="1">
      <alignment horizontal="center" vertical="center" wrapText="1"/>
    </xf>
    <xf numFmtId="0" fontId="0" fillId="11" borderId="205" xfId="0" applyFill="1" applyBorder="1" applyAlignment="1">
      <alignment horizontal="center" vertical="center"/>
    </xf>
    <xf numFmtId="0" fontId="62" fillId="11" borderId="5" xfId="0" applyFont="1" applyFill="1" applyBorder="1" applyAlignment="1">
      <alignment horizontal="center" vertical="center" wrapText="1"/>
    </xf>
    <xf numFmtId="0" fontId="62" fillId="11" borderId="117" xfId="0" applyFont="1" applyFill="1" applyBorder="1" applyAlignment="1">
      <alignment horizontal="center" vertical="center" wrapText="1"/>
    </xf>
    <xf numFmtId="0" fontId="62" fillId="11" borderId="60" xfId="0" applyFont="1" applyFill="1" applyBorder="1" applyAlignment="1">
      <alignment horizontal="center" vertical="center" wrapText="1"/>
    </xf>
    <xf numFmtId="2" fontId="0" fillId="11" borderId="169" xfId="0" applyNumberFormat="1" applyFill="1" applyBorder="1" applyAlignment="1">
      <alignment horizontal="center" vertical="center"/>
    </xf>
    <xf numFmtId="2" fontId="0" fillId="11" borderId="165" xfId="0" applyNumberFormat="1" applyFill="1" applyBorder="1" applyAlignment="1">
      <alignment horizontal="center" vertical="center"/>
    </xf>
    <xf numFmtId="2" fontId="0" fillId="11" borderId="157" xfId="0" applyNumberFormat="1" applyFill="1" applyBorder="1" applyAlignment="1">
      <alignment horizontal="center" vertical="center"/>
    </xf>
    <xf numFmtId="2" fontId="0" fillId="11" borderId="166" xfId="0" applyNumberFormat="1" applyFill="1" applyBorder="1" applyAlignment="1">
      <alignment horizontal="center" vertical="center"/>
    </xf>
    <xf numFmtId="0" fontId="16" fillId="11" borderId="61" xfId="0" applyFont="1" applyFill="1" applyBorder="1" applyAlignment="1">
      <alignment horizontal="center" vertical="center"/>
    </xf>
    <xf numFmtId="0" fontId="62" fillId="11" borderId="147" xfId="0" applyFont="1" applyFill="1" applyBorder="1" applyAlignment="1">
      <alignment horizontal="center" vertical="center" wrapText="1"/>
    </xf>
    <xf numFmtId="0" fontId="62" fillId="11" borderId="17" xfId="0" applyFont="1" applyFill="1" applyBorder="1" applyAlignment="1">
      <alignment horizontal="center" vertical="center" wrapText="1"/>
    </xf>
    <xf numFmtId="0" fontId="62" fillId="11" borderId="18" xfId="0" applyFont="1" applyFill="1" applyBorder="1" applyAlignment="1">
      <alignment horizontal="center" vertical="center" wrapText="1"/>
    </xf>
    <xf numFmtId="182" fontId="0" fillId="11" borderId="189" xfId="0" applyNumberFormat="1" applyFill="1" applyBorder="1" applyAlignment="1">
      <alignment horizontal="center" vertical="center"/>
    </xf>
    <xf numFmtId="182" fontId="0" fillId="11" borderId="105" xfId="0" applyNumberFormat="1" applyFill="1" applyBorder="1" applyAlignment="1">
      <alignment horizontal="center" vertical="center"/>
    </xf>
    <xf numFmtId="0" fontId="87" fillId="11" borderId="5" xfId="0" applyFont="1" applyFill="1" applyBorder="1" applyAlignment="1">
      <alignment horizontal="center" vertical="center" wrapText="1"/>
    </xf>
    <xf numFmtId="182" fontId="0" fillId="11" borderId="175" xfId="0" applyNumberFormat="1" applyFill="1" applyBorder="1" applyAlignment="1">
      <alignment horizontal="center" vertical="center"/>
    </xf>
    <xf numFmtId="182" fontId="0" fillId="11" borderId="208" xfId="0" applyNumberFormat="1" applyFill="1" applyBorder="1" applyAlignment="1">
      <alignment horizontal="center" vertical="center"/>
    </xf>
    <xf numFmtId="182" fontId="0" fillId="11" borderId="196" xfId="0" applyNumberFormat="1" applyFill="1" applyBorder="1" applyAlignment="1">
      <alignment horizontal="center" vertical="center"/>
    </xf>
    <xf numFmtId="182" fontId="0" fillId="11" borderId="197" xfId="0" applyNumberFormat="1" applyFill="1" applyBorder="1" applyAlignment="1">
      <alignment horizontal="center" vertical="center"/>
    </xf>
    <xf numFmtId="49" fontId="16" fillId="0" borderId="38" xfId="0" applyNumberFormat="1" applyFont="1" applyBorder="1" applyAlignment="1">
      <alignment horizontal="left" vertical="center"/>
    </xf>
    <xf numFmtId="49" fontId="16" fillId="0" borderId="39" xfId="0" applyNumberFormat="1" applyFont="1" applyBorder="1" applyAlignment="1">
      <alignment horizontal="left" vertical="center"/>
    </xf>
    <xf numFmtId="166" fontId="16" fillId="0" borderId="39" xfId="0" applyNumberFormat="1" applyFont="1" applyBorder="1" applyAlignment="1">
      <alignment horizontal="center" vertical="center"/>
    </xf>
    <xf numFmtId="2" fontId="16" fillId="0" borderId="39" xfId="9" applyNumberFormat="1" applyFont="1" applyBorder="1" applyAlignment="1" applyProtection="1">
      <alignment horizontal="center" vertical="center"/>
    </xf>
    <xf numFmtId="2" fontId="16" fillId="0" borderId="41" xfId="0" applyNumberFormat="1" applyFont="1" applyBorder="1" applyAlignment="1">
      <alignment horizontal="center" vertical="center"/>
    </xf>
    <xf numFmtId="2" fontId="47" fillId="0" borderId="39" xfId="0" applyNumberFormat="1" applyFont="1" applyBorder="1" applyAlignment="1">
      <alignment horizontal="center" vertical="center"/>
    </xf>
    <xf numFmtId="49" fontId="16" fillId="0" borderId="42" xfId="0" applyNumberFormat="1" applyFont="1" applyBorder="1" applyAlignment="1">
      <alignment horizontal="left" vertical="center"/>
    </xf>
    <xf numFmtId="49" fontId="16" fillId="0" borderId="43" xfId="0" applyNumberFormat="1" applyFont="1" applyBorder="1" applyAlignment="1">
      <alignment horizontal="left" vertical="center"/>
    </xf>
    <xf numFmtId="166" fontId="16" fillId="0" borderId="43" xfId="0" applyNumberFormat="1" applyFont="1" applyBorder="1" applyAlignment="1">
      <alignment horizontal="center" vertical="center"/>
    </xf>
    <xf numFmtId="2" fontId="16" fillId="0" borderId="43" xfId="9" applyNumberFormat="1" applyFont="1" applyBorder="1" applyAlignment="1" applyProtection="1">
      <alignment horizontal="center" vertical="center"/>
    </xf>
    <xf numFmtId="2" fontId="16" fillId="0" borderId="45" xfId="0" applyNumberFormat="1" applyFont="1" applyBorder="1" applyAlignment="1">
      <alignment horizontal="center" vertical="center"/>
    </xf>
    <xf numFmtId="2" fontId="47" fillId="0" borderId="43" xfId="0" applyNumberFormat="1" applyFont="1" applyBorder="1" applyAlignment="1">
      <alignment horizontal="center" vertical="center"/>
    </xf>
    <xf numFmtId="0" fontId="52" fillId="11" borderId="0" xfId="5" applyNumberFormat="1" applyFont="1" applyFill="1" applyBorder="1" applyAlignment="1" applyProtection="1">
      <alignment horizontal="center" vertical="center"/>
    </xf>
    <xf numFmtId="0" fontId="7" fillId="24" borderId="5" xfId="0" applyFont="1" applyFill="1" applyBorder="1" applyAlignment="1">
      <alignment vertical="center" wrapText="1"/>
    </xf>
    <xf numFmtId="0" fontId="7" fillId="24" borderId="22" xfId="0" applyFont="1" applyFill="1" applyBorder="1" applyAlignment="1">
      <alignment vertical="center" wrapText="1"/>
    </xf>
    <xf numFmtId="167" fontId="20" fillId="24" borderId="12" xfId="5" applyNumberFormat="1" applyFont="1" applyFill="1" applyBorder="1" applyAlignment="1" applyProtection="1">
      <alignment horizontal="center" vertical="center" wrapText="1"/>
    </xf>
    <xf numFmtId="167" fontId="20" fillId="24" borderId="12" xfId="0" applyNumberFormat="1" applyFont="1" applyFill="1" applyBorder="1" applyAlignment="1">
      <alignment horizontal="center" vertical="center" wrapText="1"/>
    </xf>
    <xf numFmtId="4" fontId="20" fillId="24" borderId="12" xfId="0" applyNumberFormat="1" applyFont="1" applyFill="1" applyBorder="1" applyAlignment="1">
      <alignment horizontal="center" vertical="center" wrapText="1"/>
    </xf>
    <xf numFmtId="167" fontId="1" fillId="24" borderId="15" xfId="0" applyNumberFormat="1" applyFont="1" applyFill="1" applyBorder="1" applyAlignment="1">
      <alignment horizontal="center" vertical="center" wrapText="1"/>
    </xf>
    <xf numFmtId="4" fontId="8" fillId="24" borderId="15" xfId="0" applyNumberFormat="1" applyFont="1" applyFill="1" applyBorder="1" applyAlignment="1">
      <alignment horizontal="center" vertical="center" wrapText="1"/>
    </xf>
    <xf numFmtId="4" fontId="1" fillId="24" borderId="64" xfId="0" applyNumberFormat="1" applyFont="1" applyFill="1" applyBorder="1" applyAlignment="1">
      <alignment horizontal="center" vertical="center" wrapText="1"/>
    </xf>
    <xf numFmtId="4" fontId="1" fillId="24" borderId="15" xfId="0" applyNumberFormat="1" applyFont="1" applyFill="1" applyBorder="1" applyAlignment="1">
      <alignment horizontal="center" vertical="center" wrapText="1"/>
    </xf>
    <xf numFmtId="0" fontId="7" fillId="24" borderId="59" xfId="0" applyFont="1" applyFill="1" applyBorder="1" applyAlignment="1">
      <alignment horizontal="center" vertical="center" wrapText="1"/>
    </xf>
    <xf numFmtId="0" fontId="7" fillId="24" borderId="25" xfId="0" applyFont="1" applyFill="1" applyBorder="1" applyAlignment="1">
      <alignment horizontal="center" vertical="center" wrapText="1"/>
    </xf>
    <xf numFmtId="0" fontId="9" fillId="24" borderId="5" xfId="0" applyFont="1" applyFill="1" applyBorder="1" applyAlignment="1">
      <alignment horizontal="center" vertical="center" wrapText="1"/>
    </xf>
    <xf numFmtId="0" fontId="9" fillId="24" borderId="22" xfId="0" applyFont="1" applyFill="1" applyBorder="1" applyAlignment="1">
      <alignment horizontal="center" vertical="center" wrapText="1"/>
    </xf>
    <xf numFmtId="2" fontId="7" fillId="24" borderId="5" xfId="0" applyNumberFormat="1" applyFont="1" applyFill="1" applyBorder="1" applyAlignment="1">
      <alignment horizontal="center" vertical="center" wrapText="1"/>
    </xf>
    <xf numFmtId="0" fontId="7" fillId="24" borderId="5" xfId="0" applyFont="1" applyFill="1" applyBorder="1" applyAlignment="1">
      <alignment horizontal="center" vertical="center" wrapText="1"/>
    </xf>
    <xf numFmtId="0" fontId="7" fillId="24" borderId="21" xfId="0" applyFont="1" applyFill="1" applyBorder="1" applyAlignment="1">
      <alignment horizontal="center" vertical="center" wrapText="1"/>
    </xf>
    <xf numFmtId="0" fontId="7" fillId="24" borderId="17" xfId="0" applyFont="1" applyFill="1" applyBorder="1" applyAlignment="1">
      <alignment horizontal="center" vertical="center" wrapText="1"/>
    </xf>
    <xf numFmtId="0" fontId="7" fillId="24" borderId="18" xfId="0" applyFont="1" applyFill="1" applyBorder="1" applyAlignment="1">
      <alignment horizontal="center" vertical="center" wrapText="1"/>
    </xf>
    <xf numFmtId="0" fontId="7" fillId="24" borderId="31" xfId="0" applyFont="1" applyFill="1" applyBorder="1" applyAlignment="1">
      <alignment horizontal="center" vertical="center" wrapText="1"/>
    </xf>
    <xf numFmtId="0" fontId="7" fillId="24" borderId="12" xfId="0" applyFont="1" applyFill="1" applyBorder="1" applyAlignment="1">
      <alignment horizontal="center" vertical="center" wrapText="1"/>
    </xf>
    <xf numFmtId="0" fontId="7" fillId="24" borderId="12" xfId="0" applyFont="1" applyFill="1" applyBorder="1" applyAlignment="1">
      <alignment horizontal="center" vertical="center"/>
    </xf>
    <xf numFmtId="10" fontId="7" fillId="24" borderId="12" xfId="0" applyNumberFormat="1" applyFont="1" applyFill="1" applyBorder="1" applyAlignment="1">
      <alignment horizontal="center" vertical="center" wrapText="1"/>
    </xf>
    <xf numFmtId="0" fontId="9" fillId="24" borderId="34" xfId="0" applyFont="1" applyFill="1" applyBorder="1" applyAlignment="1">
      <alignment horizontal="center" vertical="center"/>
    </xf>
    <xf numFmtId="0" fontId="9" fillId="24" borderId="15" xfId="0" applyFont="1" applyFill="1" applyBorder="1" applyAlignment="1">
      <alignment horizontal="center" vertical="center"/>
    </xf>
    <xf numFmtId="0" fontId="9" fillId="24" borderId="33" xfId="0" applyFont="1" applyFill="1" applyBorder="1" applyAlignment="1">
      <alignment horizontal="center" vertical="center"/>
    </xf>
    <xf numFmtId="10" fontId="9" fillId="24" borderId="15" xfId="0" applyNumberFormat="1" applyFont="1" applyFill="1" applyBorder="1" applyAlignment="1">
      <alignment horizontal="center" vertical="center"/>
    </xf>
    <xf numFmtId="0" fontId="9" fillId="24" borderId="29" xfId="0" applyFont="1" applyFill="1" applyBorder="1" applyAlignment="1">
      <alignment horizontal="center" vertical="center"/>
    </xf>
    <xf numFmtId="0" fontId="20" fillId="24" borderId="12" xfId="0" applyFont="1" applyFill="1" applyBorder="1" applyAlignment="1" applyProtection="1">
      <alignment horizontal="center" vertical="center" wrapText="1"/>
      <protection locked="0"/>
    </xf>
    <xf numFmtId="0" fontId="7" fillId="24" borderId="12" xfId="0" applyFont="1" applyFill="1" applyBorder="1" applyAlignment="1" applyProtection="1">
      <alignment horizontal="center" vertical="center" wrapText="1"/>
      <protection locked="0"/>
    </xf>
    <xf numFmtId="10" fontId="7" fillId="24" borderId="12" xfId="0" applyNumberFormat="1" applyFont="1" applyFill="1" applyBorder="1" applyAlignment="1" applyProtection="1">
      <alignment horizontal="center" vertical="center" wrapText="1"/>
      <protection locked="0"/>
    </xf>
    <xf numFmtId="0" fontId="7" fillId="24" borderId="25" xfId="0" applyFont="1" applyFill="1" applyBorder="1" applyAlignment="1" applyProtection="1">
      <alignment horizontal="center" vertical="center" wrapText="1"/>
      <protection locked="0"/>
    </xf>
    <xf numFmtId="0" fontId="3" fillId="24" borderId="15" xfId="0" applyFont="1" applyFill="1" applyBorder="1" applyAlignment="1" applyProtection="1">
      <alignment horizontal="center" vertical="center"/>
      <protection locked="0"/>
    </xf>
    <xf numFmtId="0" fontId="1" fillId="24" borderId="15" xfId="0" applyFont="1" applyFill="1" applyBorder="1" applyAlignment="1" applyProtection="1">
      <alignment horizontal="center" vertical="center"/>
      <protection locked="0"/>
    </xf>
    <xf numFmtId="10" fontId="1" fillId="24" borderId="15" xfId="0" applyNumberFormat="1" applyFont="1" applyFill="1" applyBorder="1" applyAlignment="1" applyProtection="1">
      <alignment horizontal="center" vertical="center"/>
      <protection locked="0"/>
    </xf>
    <xf numFmtId="0" fontId="1" fillId="24" borderId="29" xfId="0" applyFont="1" applyFill="1" applyBorder="1" applyAlignment="1" applyProtection="1">
      <alignment horizontal="center" vertical="center"/>
      <protection locked="0"/>
    </xf>
    <xf numFmtId="0" fontId="7" fillId="24" borderId="13" xfId="0" applyFont="1" applyFill="1" applyBorder="1" applyAlignment="1">
      <alignment vertical="center" wrapText="1"/>
    </xf>
    <xf numFmtId="0" fontId="8" fillId="24" borderId="14" xfId="0" applyFont="1" applyFill="1" applyBorder="1" applyAlignment="1">
      <alignment vertical="center" wrapText="1"/>
    </xf>
    <xf numFmtId="0" fontId="47" fillId="11" borderId="0" xfId="5" applyNumberFormat="1" applyFont="1" applyFill="1" applyBorder="1" applyAlignment="1" applyProtection="1">
      <alignment horizontal="center" vertical="center"/>
    </xf>
    <xf numFmtId="170" fontId="16" fillId="8" borderId="135" xfId="0" applyNumberFormat="1" applyFont="1" applyFill="1" applyBorder="1" applyAlignment="1">
      <alignment horizontal="center" vertical="center"/>
    </xf>
    <xf numFmtId="0" fontId="16" fillId="7" borderId="26" xfId="0" applyFont="1" applyFill="1" applyBorder="1" applyAlignment="1">
      <alignment vertical="center" wrapText="1"/>
    </xf>
    <xf numFmtId="0" fontId="16" fillId="7" borderId="0" xfId="0" applyFont="1" applyFill="1" applyAlignment="1">
      <alignment vertical="center" wrapText="1"/>
    </xf>
    <xf numFmtId="0" fontId="16" fillId="7" borderId="54" xfId="0" applyFont="1" applyFill="1" applyBorder="1" applyAlignment="1">
      <alignment vertical="center" wrapText="1"/>
    </xf>
    <xf numFmtId="0" fontId="42" fillId="7" borderId="26" xfId="0" applyFont="1" applyFill="1" applyBorder="1" applyAlignment="1">
      <alignment vertical="center"/>
    </xf>
    <xf numFmtId="0" fontId="42" fillId="7" borderId="0" xfId="0" applyFont="1" applyFill="1" applyAlignment="1">
      <alignment vertical="center"/>
    </xf>
    <xf numFmtId="0" fontId="42" fillId="7" borderId="54" xfId="0" applyFont="1" applyFill="1" applyBorder="1" applyAlignment="1">
      <alignment vertical="center"/>
    </xf>
    <xf numFmtId="0" fontId="41" fillId="7" borderId="23" xfId="0" applyFont="1" applyFill="1" applyBorder="1" applyAlignment="1">
      <alignment vertical="center"/>
    </xf>
    <xf numFmtId="0" fontId="41" fillId="7" borderId="24" xfId="0" applyFont="1" applyFill="1" applyBorder="1" applyAlignment="1">
      <alignment vertical="center"/>
    </xf>
    <xf numFmtId="0" fontId="41" fillId="7" borderId="125" xfId="0" applyFont="1" applyFill="1" applyBorder="1" applyAlignment="1">
      <alignment vertical="center"/>
    </xf>
    <xf numFmtId="0" fontId="7" fillId="0" borderId="19" xfId="0" applyFont="1" applyBorder="1" applyAlignment="1">
      <alignment vertical="center"/>
    </xf>
    <xf numFmtId="0" fontId="7" fillId="0" borderId="20" xfId="0" applyFont="1" applyBorder="1" applyAlignment="1">
      <alignment vertical="center"/>
    </xf>
    <xf numFmtId="0" fontId="7" fillId="0" borderId="22" xfId="0" applyFont="1" applyBorder="1" applyAlignment="1">
      <alignment vertical="center"/>
    </xf>
    <xf numFmtId="0" fontId="16" fillId="7" borderId="23" xfId="0" applyFont="1" applyFill="1" applyBorder="1" applyAlignment="1">
      <alignment vertical="center" wrapText="1"/>
    </xf>
    <xf numFmtId="0" fontId="16" fillId="7" borderId="24" xfId="0" applyFont="1" applyFill="1" applyBorder="1" applyAlignment="1">
      <alignment vertical="center" wrapText="1"/>
    </xf>
    <xf numFmtId="0" fontId="16" fillId="7" borderId="125" xfId="0" applyFont="1" applyFill="1" applyBorder="1" applyAlignment="1">
      <alignment vertical="center" wrapText="1"/>
    </xf>
    <xf numFmtId="49" fontId="8" fillId="9" borderId="19" xfId="0" applyNumberFormat="1" applyFont="1" applyFill="1" applyBorder="1" applyAlignment="1">
      <alignment horizontal="left" vertical="center"/>
    </xf>
    <xf numFmtId="49" fontId="8" fillId="9" borderId="20" xfId="0" applyNumberFormat="1" applyFont="1" applyFill="1" applyBorder="1" applyAlignment="1">
      <alignment horizontal="left" vertical="center"/>
    </xf>
    <xf numFmtId="49" fontId="8" fillId="9" borderId="53" xfId="0" applyNumberFormat="1" applyFont="1" applyFill="1" applyBorder="1" applyAlignment="1">
      <alignment horizontal="left" vertical="center"/>
    </xf>
    <xf numFmtId="0" fontId="16" fillId="21" borderId="19" xfId="0" applyFont="1" applyFill="1" applyBorder="1" applyAlignment="1">
      <alignment horizontal="center" vertical="center"/>
    </xf>
    <xf numFmtId="0" fontId="16" fillId="21" borderId="20" xfId="0" applyFont="1" applyFill="1" applyBorder="1" applyAlignment="1">
      <alignment horizontal="center" vertical="center"/>
    </xf>
    <xf numFmtId="0" fontId="16" fillId="21" borderId="22" xfId="0" applyFont="1" applyFill="1" applyBorder="1" applyAlignment="1">
      <alignment horizontal="center" vertical="center"/>
    </xf>
    <xf numFmtId="183" fontId="16" fillId="8" borderId="19" xfId="0" applyNumberFormat="1" applyFont="1" applyFill="1" applyBorder="1" applyAlignment="1">
      <alignment horizontal="center" vertical="center"/>
    </xf>
    <xf numFmtId="183" fontId="16" fillId="8" borderId="20" xfId="0" applyNumberFormat="1" applyFont="1" applyFill="1" applyBorder="1" applyAlignment="1">
      <alignment horizontal="center" vertical="center"/>
    </xf>
    <xf numFmtId="183" fontId="16" fillId="8" borderId="22" xfId="0" applyNumberFormat="1" applyFont="1" applyFill="1" applyBorder="1" applyAlignment="1">
      <alignment horizontal="center" vertical="center"/>
    </xf>
    <xf numFmtId="0" fontId="16" fillId="7" borderId="26"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54" xfId="0" applyFont="1" applyFill="1" applyBorder="1" applyAlignment="1">
      <alignment horizontal="left" vertical="center" wrapText="1"/>
    </xf>
    <xf numFmtId="0" fontId="44" fillId="7" borderId="55" xfId="0" applyFont="1" applyFill="1" applyBorder="1" applyAlignment="1">
      <alignment horizontal="center" vertical="center" wrapText="1"/>
    </xf>
    <xf numFmtId="0" fontId="44" fillId="7" borderId="56" xfId="0" applyFont="1" applyFill="1" applyBorder="1" applyAlignment="1">
      <alignment horizontal="center" vertical="center" wrapText="1"/>
    </xf>
    <xf numFmtId="0" fontId="44" fillId="7" borderId="57" xfId="0" applyFont="1" applyFill="1" applyBorder="1" applyAlignment="1">
      <alignment horizontal="center" vertical="center" wrapText="1"/>
    </xf>
    <xf numFmtId="0" fontId="7" fillId="10" borderId="20" xfId="0" applyFont="1" applyFill="1" applyBorder="1" applyAlignment="1">
      <alignment horizontal="left" vertical="center" wrapText="1"/>
    </xf>
    <xf numFmtId="0" fontId="7" fillId="10" borderId="53" xfId="0" applyFont="1" applyFill="1" applyBorder="1" applyAlignment="1">
      <alignment horizontal="left" vertical="center" wrapText="1"/>
    </xf>
    <xf numFmtId="49" fontId="8" fillId="2" borderId="19" xfId="0" applyNumberFormat="1" applyFont="1" applyFill="1" applyBorder="1" applyAlignment="1">
      <alignment horizontal="left" vertical="center"/>
    </xf>
    <xf numFmtId="49" fontId="8" fillId="2" borderId="20" xfId="0" applyNumberFormat="1" applyFont="1" applyFill="1" applyBorder="1" applyAlignment="1">
      <alignment horizontal="left" vertical="center"/>
    </xf>
    <xf numFmtId="49" fontId="8" fillId="2" borderId="22" xfId="0" applyNumberFormat="1" applyFont="1" applyFill="1" applyBorder="1" applyAlignment="1">
      <alignment horizontal="left" vertical="center"/>
    </xf>
    <xf numFmtId="0" fontId="7" fillId="0" borderId="19" xfId="0" applyFont="1" applyBorder="1" applyAlignment="1">
      <alignment vertical="center" wrapText="1"/>
    </xf>
    <xf numFmtId="0" fontId="7" fillId="0" borderId="22" xfId="0" applyFont="1" applyBorder="1" applyAlignment="1">
      <alignment vertical="center" wrapText="1"/>
    </xf>
    <xf numFmtId="0" fontId="16" fillId="13" borderId="19" xfId="0" applyFont="1" applyFill="1" applyBorder="1" applyAlignment="1">
      <alignment vertical="center"/>
    </xf>
    <xf numFmtId="0" fontId="16" fillId="13" borderId="20" xfId="0" applyFont="1" applyFill="1" applyBorder="1" applyAlignment="1">
      <alignment vertical="center"/>
    </xf>
    <xf numFmtId="0" fontId="16" fillId="13" borderId="53" xfId="0" applyFont="1" applyFill="1" applyBorder="1" applyAlignment="1">
      <alignment vertical="center"/>
    </xf>
    <xf numFmtId="49" fontId="8" fillId="9" borderId="22" xfId="0" applyNumberFormat="1" applyFont="1" applyFill="1" applyBorder="1" applyAlignment="1">
      <alignment horizontal="left" vertical="center"/>
    </xf>
    <xf numFmtId="0" fontId="7" fillId="9" borderId="20" xfId="0" applyFont="1" applyFill="1" applyBorder="1" applyAlignment="1">
      <alignment horizontal="left" vertical="center" wrapText="1"/>
    </xf>
    <xf numFmtId="0" fontId="7" fillId="9" borderId="53" xfId="0" applyFont="1" applyFill="1" applyBorder="1" applyAlignment="1">
      <alignment horizontal="left" vertical="center" wrapText="1"/>
    </xf>
    <xf numFmtId="49" fontId="8" fillId="2" borderId="53" xfId="0" applyNumberFormat="1" applyFont="1" applyFill="1" applyBorder="1" applyAlignment="1">
      <alignment horizontal="left" vertical="center"/>
    </xf>
    <xf numFmtId="0" fontId="7" fillId="0" borderId="91" xfId="0" applyFont="1" applyBorder="1" applyAlignment="1">
      <alignment vertical="center" wrapText="1"/>
    </xf>
    <xf numFmtId="0" fontId="7" fillId="0" borderId="88" xfId="0" applyFont="1" applyBorder="1" applyAlignment="1">
      <alignment vertical="center" wrapText="1"/>
    </xf>
    <xf numFmtId="0" fontId="7" fillId="9" borderId="10" xfId="0" applyFont="1" applyFill="1" applyBorder="1" applyAlignment="1">
      <alignment vertical="center" wrapText="1"/>
    </xf>
    <xf numFmtId="0" fontId="7" fillId="9" borderId="99" xfId="0" applyFont="1" applyFill="1" applyBorder="1" applyAlignment="1">
      <alignment vertical="center" wrapText="1"/>
    </xf>
    <xf numFmtId="0" fontId="7" fillId="9" borderId="85" xfId="0" applyFont="1" applyFill="1" applyBorder="1" applyAlignment="1">
      <alignment vertical="center"/>
    </xf>
    <xf numFmtId="0" fontId="7" fillId="9" borderId="98" xfId="0" applyFont="1" applyFill="1" applyBorder="1" applyAlignment="1">
      <alignment vertical="center"/>
    </xf>
    <xf numFmtId="0" fontId="7" fillId="9" borderId="66" xfId="0" applyFont="1" applyFill="1" applyBorder="1" applyAlignment="1">
      <alignment vertical="center"/>
    </xf>
    <xf numFmtId="0" fontId="7" fillId="9" borderId="95" xfId="0" applyFont="1" applyFill="1" applyBorder="1" applyAlignment="1">
      <alignment vertical="center"/>
    </xf>
    <xf numFmtId="0" fontId="53" fillId="12" borderId="19" xfId="0" applyFont="1" applyFill="1" applyBorder="1" applyAlignment="1">
      <alignment horizontal="left" vertical="center"/>
    </xf>
    <xf numFmtId="0" fontId="53" fillId="12" borderId="20" xfId="0" applyFont="1" applyFill="1" applyBorder="1" applyAlignment="1">
      <alignment horizontal="left" vertical="center"/>
    </xf>
    <xf numFmtId="0" fontId="53" fillId="12" borderId="22" xfId="0" applyFont="1" applyFill="1" applyBorder="1" applyAlignment="1">
      <alignment horizontal="left" vertical="center"/>
    </xf>
    <xf numFmtId="168" fontId="8" fillId="0" borderId="79" xfId="0" applyNumberFormat="1" applyFont="1" applyBorder="1" applyAlignment="1" applyProtection="1">
      <alignment horizontal="center" vertical="center"/>
      <protection locked="0"/>
    </xf>
    <xf numFmtId="168" fontId="8" fillId="0" borderId="89" xfId="0" applyNumberFormat="1" applyFont="1" applyBorder="1" applyAlignment="1" applyProtection="1">
      <alignment horizontal="center" vertical="center"/>
      <protection locked="0"/>
    </xf>
    <xf numFmtId="0" fontId="16" fillId="9" borderId="70" xfId="0" applyFont="1" applyFill="1" applyBorder="1" applyAlignment="1">
      <alignment horizontal="left" vertical="center"/>
    </xf>
    <xf numFmtId="0" fontId="16" fillId="9" borderId="75" xfId="0" applyFont="1" applyFill="1" applyBorder="1" applyAlignment="1">
      <alignment horizontal="left" vertical="center"/>
    </xf>
    <xf numFmtId="0" fontId="16" fillId="0" borderId="85" xfId="0" applyFont="1" applyBorder="1" applyAlignment="1">
      <alignment horizontal="left" vertical="center"/>
    </xf>
    <xf numFmtId="0" fontId="16" fillId="0" borderId="98" xfId="0" applyFont="1" applyBorder="1" applyAlignment="1">
      <alignment horizontal="left" vertical="center"/>
    </xf>
    <xf numFmtId="0" fontId="16" fillId="0" borderId="78" xfId="0" applyFont="1" applyBorder="1" applyAlignment="1">
      <alignment horizontal="left" vertical="center"/>
    </xf>
    <xf numFmtId="0" fontId="16" fillId="0" borderId="66" xfId="0" applyFont="1" applyBorder="1" applyAlignment="1">
      <alignment horizontal="left" vertical="center"/>
    </xf>
    <xf numFmtId="0" fontId="16" fillId="0" borderId="95" xfId="0" applyFont="1" applyBorder="1" applyAlignment="1">
      <alignment horizontal="left" vertical="center"/>
    </xf>
    <xf numFmtId="0" fontId="16" fillId="0" borderId="70" xfId="0" applyFont="1" applyBorder="1" applyAlignment="1">
      <alignment horizontal="left" vertical="center"/>
    </xf>
    <xf numFmtId="0" fontId="7" fillId="0" borderId="10" xfId="0" applyFont="1" applyBorder="1" applyAlignment="1">
      <alignment horizontal="left" vertical="center" wrapText="1"/>
    </xf>
    <xf numFmtId="0" fontId="7" fillId="0" borderId="85" xfId="0" applyFont="1" applyBorder="1" applyAlignment="1">
      <alignment horizontal="left" vertical="center" wrapText="1"/>
    </xf>
    <xf numFmtId="0" fontId="7" fillId="0" borderId="76" xfId="0" applyFont="1" applyBorder="1" applyAlignment="1">
      <alignment horizontal="left" vertical="center" wrapText="1"/>
    </xf>
    <xf numFmtId="0" fontId="7" fillId="0" borderId="26" xfId="0" applyFont="1" applyBorder="1" applyAlignment="1">
      <alignment horizontal="left" vertical="center" wrapText="1"/>
    </xf>
    <xf numFmtId="0" fontId="7" fillId="0" borderId="0" xfId="0" applyFont="1" applyAlignment="1">
      <alignment horizontal="left" vertical="center" wrapText="1"/>
    </xf>
    <xf numFmtId="0" fontId="7" fillId="0" borderId="28" xfId="0" applyFont="1" applyBorder="1" applyAlignment="1">
      <alignment horizontal="left" vertical="center" wrapText="1"/>
    </xf>
    <xf numFmtId="0" fontId="7" fillId="0" borderId="3" xfId="0" applyFont="1" applyBorder="1" applyAlignment="1">
      <alignment horizontal="left" vertical="center" wrapText="1"/>
    </xf>
    <xf numFmtId="0" fontId="16" fillId="0" borderId="157" xfId="0" applyFont="1" applyBorder="1" applyAlignment="1">
      <alignment horizontal="left" vertical="center"/>
    </xf>
    <xf numFmtId="0" fontId="16" fillId="0" borderId="3" xfId="0" applyFont="1" applyBorder="1" applyAlignment="1">
      <alignment horizontal="left" vertical="center"/>
    </xf>
    <xf numFmtId="0" fontId="16" fillId="0" borderId="29" xfId="0" applyFont="1" applyBorder="1" applyAlignment="1">
      <alignment horizontal="left" vertical="center"/>
    </xf>
    <xf numFmtId="0" fontId="16" fillId="0" borderId="81"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8" fillId="9" borderId="19" xfId="0" applyFont="1" applyFill="1" applyBorder="1" applyAlignment="1">
      <alignment horizontal="center" vertical="center"/>
    </xf>
    <xf numFmtId="0" fontId="8" fillId="9" borderId="20" xfId="0" applyFont="1" applyFill="1" applyBorder="1" applyAlignment="1">
      <alignment horizontal="center" vertical="center"/>
    </xf>
    <xf numFmtId="0" fontId="8" fillId="9" borderId="22" xfId="0" applyFont="1" applyFill="1" applyBorder="1" applyAlignment="1">
      <alignment horizontal="center" vertical="center"/>
    </xf>
    <xf numFmtId="0" fontId="8" fillId="0" borderId="82"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81" xfId="0" applyFont="1" applyBorder="1" applyAlignment="1">
      <alignment vertical="center" wrapText="1"/>
    </xf>
    <xf numFmtId="0" fontId="8" fillId="0" borderId="0" xfId="0" applyFont="1" applyAlignment="1">
      <alignment vertical="center" wrapText="1"/>
    </xf>
    <xf numFmtId="0" fontId="8" fillId="0" borderId="27" xfId="0" applyFont="1" applyBorder="1" applyAlignment="1">
      <alignment vertical="center" wrapText="1"/>
    </xf>
    <xf numFmtId="0" fontId="8" fillId="0" borderId="124" xfId="0" applyFont="1" applyBorder="1" applyAlignment="1">
      <alignment horizontal="left" vertical="center" wrapText="1"/>
    </xf>
    <xf numFmtId="0" fontId="8" fillId="0" borderId="143" xfId="0" applyFont="1" applyBorder="1" applyAlignment="1">
      <alignment horizontal="left" vertical="center" wrapText="1"/>
    </xf>
    <xf numFmtId="0" fontId="8" fillId="0" borderId="51" xfId="0" applyFont="1" applyBorder="1" applyAlignment="1">
      <alignment horizontal="left" vertical="center" wrapText="1"/>
    </xf>
    <xf numFmtId="168" fontId="5" fillId="0" borderId="79" xfId="5" applyNumberFormat="1" applyBorder="1" applyAlignment="1" applyProtection="1">
      <alignment horizontal="center" vertical="center" wrapText="1"/>
      <protection locked="0"/>
    </xf>
    <xf numFmtId="168" fontId="8" fillId="0" borderId="89" xfId="0" applyNumberFormat="1" applyFont="1" applyBorder="1" applyAlignment="1" applyProtection="1">
      <alignment horizontal="center" vertical="center" wrapText="1"/>
      <protection locked="0"/>
    </xf>
    <xf numFmtId="168" fontId="8" fillId="0" borderId="70" xfId="0" applyNumberFormat="1" applyFont="1" applyBorder="1" applyAlignment="1" applyProtection="1">
      <alignment horizontal="center" vertical="center"/>
      <protection locked="0"/>
    </xf>
    <xf numFmtId="168" fontId="8" fillId="0" borderId="66" xfId="0" applyNumberFormat="1" applyFont="1" applyBorder="1" applyAlignment="1" applyProtection="1">
      <alignment horizontal="center" vertical="center"/>
      <protection locked="0"/>
    </xf>
    <xf numFmtId="49" fontId="8" fillId="0" borderId="83" xfId="0" applyNumberFormat="1" applyFont="1" applyBorder="1" applyAlignment="1" applyProtection="1">
      <alignment vertical="center"/>
      <protection locked="0"/>
    </xf>
    <xf numFmtId="49" fontId="8" fillId="0" borderId="67" xfId="0" applyNumberFormat="1" applyFont="1" applyBorder="1" applyAlignment="1" applyProtection="1">
      <alignment vertical="center"/>
      <protection locked="0"/>
    </xf>
    <xf numFmtId="49" fontId="8" fillId="0" borderId="87" xfId="0" applyNumberFormat="1" applyFont="1" applyBorder="1" applyAlignment="1" applyProtection="1">
      <alignment vertical="center"/>
      <protection locked="0"/>
    </xf>
    <xf numFmtId="49" fontId="8" fillId="0" borderId="70" xfId="0" applyNumberFormat="1" applyFont="1" applyBorder="1" applyAlignment="1" applyProtection="1">
      <alignment vertical="center"/>
      <protection locked="0"/>
    </xf>
    <xf numFmtId="49" fontId="8" fillId="0" borderId="66" xfId="0" applyNumberFormat="1" applyFont="1" applyBorder="1" applyAlignment="1" applyProtection="1">
      <alignment vertical="center"/>
      <protection locked="0"/>
    </xf>
    <xf numFmtId="49" fontId="8" fillId="0" borderId="95" xfId="0" applyNumberFormat="1" applyFont="1" applyBorder="1" applyAlignment="1" applyProtection="1">
      <alignment vertical="center"/>
      <protection locked="0"/>
    </xf>
    <xf numFmtId="0" fontId="7" fillId="0" borderId="99" xfId="0" applyFont="1" applyBorder="1" applyAlignment="1">
      <alignment horizontal="left" vertical="center" wrapText="1"/>
    </xf>
    <xf numFmtId="0" fontId="7" fillId="0" borderId="66" xfId="0" applyFont="1" applyBorder="1" applyAlignment="1">
      <alignment horizontal="left" vertical="center" wrapText="1"/>
    </xf>
    <xf numFmtId="0" fontId="7" fillId="0" borderId="75" xfId="0" applyFont="1" applyBorder="1" applyAlignment="1">
      <alignment horizontal="left" vertical="center" wrapText="1"/>
    </xf>
    <xf numFmtId="0" fontId="7" fillId="0" borderId="30" xfId="0" applyFont="1" applyBorder="1" applyAlignment="1">
      <alignment vertical="center"/>
    </xf>
    <xf numFmtId="0" fontId="7" fillId="0" borderId="67" xfId="0" applyFont="1" applyBorder="1" applyAlignment="1">
      <alignment vertical="center"/>
    </xf>
    <xf numFmtId="0" fontId="7" fillId="0" borderId="74" xfId="0" applyFont="1" applyBorder="1" applyAlignment="1">
      <alignment vertical="center"/>
    </xf>
    <xf numFmtId="0" fontId="16" fillId="9" borderId="158" xfId="0" applyFont="1" applyFill="1" applyBorder="1" applyAlignment="1">
      <alignment horizontal="left" vertical="center"/>
    </xf>
    <xf numFmtId="0" fontId="7" fillId="0" borderId="104" xfId="0" applyFont="1" applyBorder="1" applyAlignment="1">
      <alignment horizontal="center" vertical="center"/>
    </xf>
    <xf numFmtId="0" fontId="7" fillId="0" borderId="93" xfId="0" applyFont="1" applyBorder="1" applyAlignment="1">
      <alignment horizontal="center" vertical="center"/>
    </xf>
    <xf numFmtId="0" fontId="7" fillId="9" borderId="158" xfId="0" applyFont="1" applyFill="1" applyBorder="1" applyAlignment="1">
      <alignment vertical="center"/>
    </xf>
    <xf numFmtId="0" fontId="7" fillId="9" borderId="159" xfId="0" applyFont="1" applyFill="1" applyBorder="1" applyAlignment="1">
      <alignment vertical="center"/>
    </xf>
    <xf numFmtId="0" fontId="7" fillId="9" borderId="162" xfId="0" applyFont="1" applyFill="1" applyBorder="1" applyAlignment="1">
      <alignment vertical="center"/>
    </xf>
    <xf numFmtId="0" fontId="7" fillId="9" borderId="163" xfId="0" applyFont="1" applyFill="1" applyBorder="1" applyAlignment="1">
      <alignment vertical="center"/>
    </xf>
    <xf numFmtId="0" fontId="7" fillId="9" borderId="91" xfId="0" applyFont="1" applyFill="1" applyBorder="1" applyAlignment="1">
      <alignment vertical="center" wrapText="1"/>
    </xf>
    <xf numFmtId="0" fontId="7" fillId="9" borderId="88" xfId="0" applyFont="1" applyFill="1" applyBorder="1" applyAlignment="1">
      <alignment vertical="center" wrapText="1"/>
    </xf>
    <xf numFmtId="49" fontId="8" fillId="0" borderId="71" xfId="0" applyNumberFormat="1" applyFont="1" applyBorder="1" applyAlignment="1" applyProtection="1">
      <alignment horizontal="left" vertical="center"/>
      <protection locked="0"/>
    </xf>
    <xf numFmtId="49" fontId="8" fillId="0" borderId="89" xfId="0" applyNumberFormat="1" applyFont="1" applyBorder="1" applyAlignment="1" applyProtection="1">
      <alignment horizontal="left" vertical="center"/>
      <protection locked="0"/>
    </xf>
    <xf numFmtId="0" fontId="7" fillId="0" borderId="158" xfId="0" applyFont="1" applyBorder="1" applyAlignment="1">
      <alignment horizontal="left" vertical="center" wrapText="1"/>
    </xf>
    <xf numFmtId="0" fontId="7" fillId="0" borderId="162" xfId="0" applyFont="1" applyBorder="1" applyAlignment="1">
      <alignment horizontal="left" vertical="center" wrapText="1"/>
    </xf>
    <xf numFmtId="0" fontId="8" fillId="9" borderId="0" xfId="0" applyFont="1" applyFill="1" applyAlignment="1">
      <alignment horizontal="left" vertical="top" wrapText="1"/>
    </xf>
    <xf numFmtId="0" fontId="8" fillId="9" borderId="27" xfId="0" applyFont="1" applyFill="1" applyBorder="1" applyAlignment="1">
      <alignment horizontal="left" vertical="top" wrapText="1"/>
    </xf>
    <xf numFmtId="0" fontId="8" fillId="9" borderId="26" xfId="0" applyFont="1" applyFill="1" applyBorder="1" applyAlignment="1">
      <alignment horizontal="left" vertical="top" wrapText="1"/>
    </xf>
    <xf numFmtId="0" fontId="19" fillId="0" borderId="0" xfId="0" applyFont="1" applyAlignment="1">
      <alignment horizontal="center" vertical="center"/>
    </xf>
    <xf numFmtId="49" fontId="8" fillId="0" borderId="67" xfId="0" applyNumberFormat="1" applyFont="1" applyBorder="1" applyAlignment="1" applyProtection="1">
      <alignment horizontal="left" vertical="center"/>
      <protection locked="0"/>
    </xf>
    <xf numFmtId="49" fontId="8" fillId="0" borderId="87" xfId="0" applyNumberFormat="1" applyFont="1" applyBorder="1" applyAlignment="1" applyProtection="1">
      <alignment horizontal="left" vertical="center"/>
      <protection locked="0"/>
    </xf>
    <xf numFmtId="0" fontId="8" fillId="0" borderId="180" xfId="0" applyFont="1" applyBorder="1" applyAlignment="1">
      <alignment horizontal="left" vertical="center" wrapText="1"/>
    </xf>
    <xf numFmtId="0" fontId="8" fillId="0" borderId="113" xfId="0" applyFont="1" applyBorder="1" applyAlignment="1">
      <alignment horizontal="left" vertical="center" wrapText="1"/>
    </xf>
    <xf numFmtId="0" fontId="8" fillId="0" borderId="114" xfId="0" applyFont="1" applyBorder="1" applyAlignment="1">
      <alignment horizontal="left" vertical="center" wrapText="1"/>
    </xf>
    <xf numFmtId="0" fontId="8" fillId="0" borderId="179" xfId="0" applyFont="1" applyBorder="1" applyAlignment="1">
      <alignment horizontal="left" vertical="center" wrapText="1"/>
    </xf>
    <xf numFmtId="0" fontId="8" fillId="0" borderId="69" xfId="0" applyFont="1" applyBorder="1" applyAlignment="1">
      <alignment horizontal="left" vertical="center" wrapText="1"/>
    </xf>
    <xf numFmtId="0" fontId="8" fillId="0" borderId="92" xfId="0" applyFont="1" applyBorder="1" applyAlignment="1">
      <alignment horizontal="left" vertical="center" wrapText="1"/>
    </xf>
    <xf numFmtId="0" fontId="7" fillId="0" borderId="91" xfId="0" applyFont="1" applyBorder="1" applyAlignment="1">
      <alignment horizontal="left" vertical="center"/>
    </xf>
    <xf numFmtId="0" fontId="7" fillId="0" borderId="93" xfId="0" applyFont="1" applyBorder="1" applyAlignment="1">
      <alignment horizontal="left" vertical="center"/>
    </xf>
    <xf numFmtId="0" fontId="7" fillId="0" borderId="88" xfId="0" applyFont="1" applyBorder="1" applyAlignment="1">
      <alignment horizontal="left" vertical="center"/>
    </xf>
    <xf numFmtId="169" fontId="8" fillId="0" borderId="71" xfId="0" applyNumberFormat="1" applyFont="1" applyBorder="1" applyAlignment="1" applyProtection="1">
      <alignment horizontal="left" vertical="center"/>
      <protection locked="0"/>
    </xf>
    <xf numFmtId="169" fontId="8" fillId="0" borderId="89" xfId="0" applyNumberFormat="1" applyFont="1" applyBorder="1" applyAlignment="1" applyProtection="1">
      <alignment horizontal="left" vertical="center"/>
      <protection locked="0"/>
    </xf>
    <xf numFmtId="0" fontId="7" fillId="0" borderId="0" xfId="0" applyFont="1" applyAlignment="1">
      <alignment vertical="center"/>
    </xf>
    <xf numFmtId="0" fontId="29" fillId="0" borderId="3" xfId="0" applyFont="1" applyBorder="1" applyAlignment="1">
      <alignment vertical="center"/>
    </xf>
    <xf numFmtId="0" fontId="16" fillId="9" borderId="0" xfId="0" applyFont="1" applyFill="1" applyAlignment="1">
      <alignment vertical="center"/>
    </xf>
    <xf numFmtId="49" fontId="8" fillId="0" borderId="158" xfId="0" applyNumberFormat="1" applyFont="1" applyBorder="1" applyAlignment="1" applyProtection="1">
      <alignment horizontal="left" vertical="center"/>
      <protection locked="0"/>
    </xf>
    <xf numFmtId="49" fontId="8" fillId="0" borderId="159" xfId="0" applyNumberFormat="1" applyFont="1" applyBorder="1" applyAlignment="1" applyProtection="1">
      <alignment horizontal="left" vertical="center"/>
      <protection locked="0"/>
    </xf>
    <xf numFmtId="49" fontId="8" fillId="0" borderId="165" xfId="0" applyNumberFormat="1" applyFont="1" applyBorder="1" applyAlignment="1" applyProtection="1">
      <alignment horizontal="left" vertical="center"/>
      <protection locked="0"/>
    </xf>
    <xf numFmtId="49" fontId="8" fillId="0" borderId="166" xfId="0" applyNumberFormat="1" applyFont="1" applyBorder="1" applyAlignment="1" applyProtection="1">
      <alignment horizontal="left" vertical="center"/>
      <protection locked="0"/>
    </xf>
    <xf numFmtId="0" fontId="7" fillId="0" borderId="158" xfId="0" applyFont="1" applyBorder="1" applyAlignment="1">
      <alignment vertical="center" wrapText="1"/>
    </xf>
    <xf numFmtId="0" fontId="7" fillId="0" borderId="165" xfId="0" applyFont="1" applyBorder="1" applyAlignment="1">
      <alignment vertical="center" wrapText="1"/>
    </xf>
    <xf numFmtId="0" fontId="7" fillId="0" borderId="164" xfId="0" applyFont="1" applyBorder="1" applyAlignment="1">
      <alignment vertical="center" wrapText="1"/>
    </xf>
    <xf numFmtId="0" fontId="27" fillId="9" borderId="19" xfId="5" applyFont="1" applyFill="1" applyBorder="1" applyAlignment="1" applyProtection="1">
      <alignment horizontal="center" vertical="center"/>
    </xf>
    <xf numFmtId="0" fontId="7" fillId="9" borderId="20" xfId="0" applyFont="1" applyFill="1" applyBorder="1" applyAlignment="1">
      <alignment horizontal="center" vertical="center"/>
    </xf>
    <xf numFmtId="0" fontId="7" fillId="9" borderId="22" xfId="0" applyFont="1" applyFill="1" applyBorder="1" applyAlignment="1">
      <alignment horizontal="center" vertical="center"/>
    </xf>
    <xf numFmtId="0" fontId="28" fillId="11" borderId="26" xfId="0" applyFont="1" applyFill="1" applyBorder="1" applyAlignment="1">
      <alignment horizontal="center" vertical="center" textRotation="180"/>
    </xf>
    <xf numFmtId="0" fontId="28" fillId="11" borderId="72" xfId="0" applyFont="1" applyFill="1" applyBorder="1" applyAlignment="1">
      <alignment horizontal="center" vertical="center" textRotation="180"/>
    </xf>
    <xf numFmtId="0" fontId="7" fillId="11" borderId="26" xfId="0" applyFont="1" applyFill="1" applyBorder="1" applyAlignment="1">
      <alignment vertical="center"/>
    </xf>
    <xf numFmtId="0" fontId="7" fillId="11" borderId="0" xfId="0" applyFont="1" applyFill="1" applyAlignment="1">
      <alignment vertical="center"/>
    </xf>
    <xf numFmtId="0" fontId="7" fillId="11" borderId="26"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26" xfId="0" applyFont="1" applyFill="1" applyBorder="1" applyAlignment="1">
      <alignment horizontal="left" vertical="center" wrapText="1"/>
    </xf>
    <xf numFmtId="0" fontId="7" fillId="11" borderId="0" xfId="0" applyFont="1" applyFill="1" applyAlignment="1">
      <alignment horizontal="left" vertical="center" wrapText="1"/>
    </xf>
    <xf numFmtId="0" fontId="8" fillId="3" borderId="23"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25"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27" xfId="0" applyFont="1" applyFill="1" applyBorder="1" applyAlignment="1">
      <alignment horizontal="left" vertical="center" wrapText="1"/>
    </xf>
    <xf numFmtId="0" fontId="8" fillId="3" borderId="28"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3" borderId="29" xfId="0" applyFont="1" applyFill="1" applyBorder="1" applyAlignment="1">
      <alignment horizontal="left" vertical="center" wrapText="1"/>
    </xf>
    <xf numFmtId="0" fontId="28" fillId="11" borderId="27" xfId="0" applyFont="1" applyFill="1" applyBorder="1" applyAlignment="1">
      <alignment horizontal="center" vertical="center" textRotation="180"/>
    </xf>
    <xf numFmtId="0" fontId="62" fillId="9" borderId="23" xfId="0" applyFont="1" applyFill="1" applyBorder="1" applyAlignment="1">
      <alignment vertical="top" wrapText="1"/>
    </xf>
    <xf numFmtId="0" fontId="62" fillId="9" borderId="24" xfId="0" applyFont="1" applyFill="1" applyBorder="1" applyAlignment="1">
      <alignment vertical="top" wrapText="1"/>
    </xf>
    <xf numFmtId="0" fontId="62" fillId="9" borderId="25" xfId="0" applyFont="1" applyFill="1" applyBorder="1" applyAlignment="1">
      <alignment vertical="top" wrapText="1"/>
    </xf>
    <xf numFmtId="0" fontId="62" fillId="9" borderId="26" xfId="0" applyFont="1" applyFill="1" applyBorder="1" applyAlignment="1">
      <alignment vertical="top" wrapText="1"/>
    </xf>
    <xf numFmtId="0" fontId="62" fillId="9" borderId="0" xfId="0" applyFont="1" applyFill="1" applyAlignment="1">
      <alignment vertical="top" wrapText="1"/>
    </xf>
    <xf numFmtId="0" fontId="62" fillId="9" borderId="27" xfId="0" applyFont="1" applyFill="1" applyBorder="1" applyAlignment="1">
      <alignment vertical="top" wrapText="1"/>
    </xf>
    <xf numFmtId="0" fontId="62" fillId="9" borderId="28" xfId="0" applyFont="1" applyFill="1" applyBorder="1" applyAlignment="1">
      <alignment vertical="top" wrapText="1"/>
    </xf>
    <xf numFmtId="0" fontId="62" fillId="9" borderId="3" xfId="0" applyFont="1" applyFill="1" applyBorder="1" applyAlignment="1">
      <alignment vertical="top" wrapText="1"/>
    </xf>
    <xf numFmtId="0" fontId="62" fillId="9" borderId="29" xfId="0" applyFont="1" applyFill="1" applyBorder="1" applyAlignment="1">
      <alignment vertical="top" wrapText="1"/>
    </xf>
    <xf numFmtId="0" fontId="8" fillId="9" borderId="23"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26" xfId="0" applyFont="1" applyFill="1" applyBorder="1" applyAlignment="1">
      <alignment horizontal="center" vertical="center" wrapText="1"/>
    </xf>
    <xf numFmtId="0" fontId="8" fillId="9" borderId="0" xfId="0" applyFont="1" applyFill="1" applyAlignment="1">
      <alignment horizontal="center" vertical="center" wrapText="1"/>
    </xf>
    <xf numFmtId="0" fontId="8" fillId="9" borderId="27" xfId="0" applyFont="1" applyFill="1" applyBorder="1" applyAlignment="1">
      <alignment horizontal="center" vertical="center" wrapText="1"/>
    </xf>
    <xf numFmtId="0" fontId="8" fillId="9" borderId="28"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29" xfId="0" applyFont="1" applyFill="1" applyBorder="1" applyAlignment="1">
      <alignment horizontal="center" vertical="center" wrapText="1"/>
    </xf>
    <xf numFmtId="0" fontId="8" fillId="11" borderId="130" xfId="0" applyFont="1" applyFill="1" applyBorder="1" applyAlignment="1">
      <alignment vertical="center"/>
    </xf>
    <xf numFmtId="0" fontId="8" fillId="11" borderId="71" xfId="0" applyFont="1" applyFill="1" applyBorder="1" applyAlignment="1">
      <alignment vertical="center"/>
    </xf>
    <xf numFmtId="0" fontId="8" fillId="11" borderId="4" xfId="0" applyFont="1" applyFill="1" applyBorder="1" applyAlignment="1">
      <alignment vertical="center"/>
    </xf>
    <xf numFmtId="0" fontId="7" fillId="9" borderId="23"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7" fillId="9" borderId="25" xfId="0" applyFont="1" applyFill="1" applyBorder="1" applyAlignment="1">
      <alignment horizontal="center" vertical="center" wrapText="1"/>
    </xf>
    <xf numFmtId="0" fontId="7" fillId="9" borderId="26" xfId="0"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27"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29" xfId="0" applyFont="1" applyFill="1" applyBorder="1" applyAlignment="1">
      <alignment horizontal="center" vertical="center" wrapText="1"/>
    </xf>
    <xf numFmtId="0" fontId="8" fillId="0" borderId="158" xfId="0" applyFont="1" applyBorder="1" applyAlignment="1">
      <alignment horizontal="left" vertical="center" wrapText="1"/>
    </xf>
    <xf numFmtId="0" fontId="8" fillId="0" borderId="159" xfId="0" applyFont="1" applyBorder="1" applyAlignment="1">
      <alignment horizontal="left" vertical="center" wrapText="1"/>
    </xf>
    <xf numFmtId="0" fontId="8" fillId="0" borderId="160" xfId="0" applyFont="1" applyBorder="1" applyAlignment="1">
      <alignment horizontal="left" vertical="center" wrapText="1"/>
    </xf>
    <xf numFmtId="0" fontId="8" fillId="0" borderId="161" xfId="0" applyFont="1" applyBorder="1" applyAlignment="1">
      <alignment horizontal="left" vertical="center" wrapText="1"/>
    </xf>
    <xf numFmtId="0" fontId="8" fillId="0" borderId="162" xfId="0" applyFont="1" applyBorder="1" applyAlignment="1">
      <alignment horizontal="left" vertical="center" wrapText="1"/>
    </xf>
    <xf numFmtId="0" fontId="8" fillId="0" borderId="163" xfId="0" applyFont="1" applyBorder="1" applyAlignment="1">
      <alignment horizontal="left" vertical="center" wrapText="1"/>
    </xf>
    <xf numFmtId="168" fontId="5" fillId="0" borderId="66" xfId="5" applyNumberFormat="1" applyBorder="1" applyAlignment="1" applyProtection="1">
      <alignment horizontal="center" vertical="center"/>
      <protection locked="0"/>
    </xf>
    <xf numFmtId="168" fontId="8" fillId="0" borderId="95" xfId="0" applyNumberFormat="1" applyFont="1" applyBorder="1" applyAlignment="1" applyProtection="1">
      <alignment horizontal="center" vertical="center"/>
      <protection locked="0"/>
    </xf>
    <xf numFmtId="49" fontId="8" fillId="0" borderId="66" xfId="0" applyNumberFormat="1" applyFont="1" applyBorder="1" applyAlignment="1" applyProtection="1">
      <alignment horizontal="left" vertical="center"/>
      <protection locked="0"/>
    </xf>
    <xf numFmtId="49" fontId="8" fillId="0" borderId="95" xfId="0" applyNumberFormat="1" applyFont="1" applyBorder="1" applyAlignment="1" applyProtection="1">
      <alignment horizontal="left" vertical="center"/>
      <protection locked="0"/>
    </xf>
    <xf numFmtId="0" fontId="8" fillId="0" borderId="79" xfId="0" applyFont="1" applyBorder="1" applyAlignment="1" applyProtection="1">
      <alignment horizontal="left" vertical="center"/>
      <protection locked="0"/>
    </xf>
    <xf numFmtId="0" fontId="8" fillId="0" borderId="71" xfId="0" applyFont="1" applyBorder="1" applyAlignment="1" applyProtection="1">
      <alignment horizontal="left" vertical="center"/>
      <protection locked="0"/>
    </xf>
    <xf numFmtId="0" fontId="8" fillId="0" borderId="89" xfId="0" applyFont="1" applyBorder="1" applyAlignment="1" applyProtection="1">
      <alignment horizontal="left" vertical="center"/>
      <protection locked="0"/>
    </xf>
    <xf numFmtId="0" fontId="8" fillId="0" borderId="70" xfId="0"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0" fontId="8" fillId="0" borderId="95" xfId="0" applyFont="1" applyBorder="1" applyAlignment="1" applyProtection="1">
      <alignment horizontal="left" vertical="center"/>
      <protection locked="0"/>
    </xf>
    <xf numFmtId="0" fontId="8" fillId="0" borderId="70" xfId="0" applyFont="1" applyBorder="1" applyAlignment="1">
      <alignment horizontal="left" vertical="center"/>
    </xf>
    <xf numFmtId="0" fontId="8" fillId="0" borderId="66" xfId="0" applyFont="1" applyBorder="1" applyAlignment="1">
      <alignment horizontal="left" vertical="center"/>
    </xf>
    <xf numFmtId="0" fontId="8" fillId="0" borderId="95" xfId="0" applyFont="1" applyBorder="1" applyAlignment="1">
      <alignment horizontal="left" vertical="center"/>
    </xf>
    <xf numFmtId="0" fontId="8" fillId="0" borderId="70" xfId="0" applyFont="1" applyBorder="1" applyAlignment="1">
      <alignment vertical="center" wrapText="1"/>
    </xf>
    <xf numFmtId="0" fontId="8" fillId="0" borderId="66" xfId="0" applyFont="1" applyBorder="1" applyAlignment="1">
      <alignment vertical="center" wrapText="1"/>
    </xf>
    <xf numFmtId="0" fontId="8" fillId="0" borderId="95" xfId="0" applyFont="1" applyBorder="1" applyAlignment="1">
      <alignment vertical="center" wrapText="1"/>
    </xf>
    <xf numFmtId="0" fontId="8" fillId="0" borderId="78" xfId="0" applyFont="1" applyBorder="1" applyAlignment="1">
      <alignment horizontal="left" vertical="center" wrapText="1"/>
    </xf>
    <xf numFmtId="0" fontId="8" fillId="0" borderId="85" xfId="0" applyFont="1" applyBorder="1" applyAlignment="1">
      <alignment horizontal="left" vertical="center" wrapText="1"/>
    </xf>
    <xf numFmtId="0" fontId="8" fillId="0" borderId="98" xfId="0" applyFont="1" applyBorder="1" applyAlignment="1">
      <alignment horizontal="left" vertical="center" wrapText="1"/>
    </xf>
    <xf numFmtId="0" fontId="8" fillId="0" borderId="81" xfId="0" applyFont="1" applyBorder="1" applyAlignment="1">
      <alignment horizontal="left" vertical="center" wrapText="1"/>
    </xf>
    <xf numFmtId="0" fontId="8" fillId="0" borderId="0" xfId="0" applyFont="1" applyAlignment="1">
      <alignment horizontal="left" vertical="center" wrapText="1"/>
    </xf>
    <xf numFmtId="0" fontId="8" fillId="0" borderId="27" xfId="0" applyFont="1" applyBorder="1" applyAlignment="1">
      <alignment horizontal="left" vertical="center" wrapText="1"/>
    </xf>
    <xf numFmtId="0" fontId="8" fillId="0" borderId="70" xfId="0" applyFont="1" applyBorder="1" applyAlignment="1">
      <alignment horizontal="left" vertical="center" wrapText="1"/>
    </xf>
    <xf numFmtId="0" fontId="8" fillId="0" borderId="66" xfId="0" applyFont="1" applyBorder="1" applyAlignment="1">
      <alignment horizontal="left" vertical="center" wrapText="1"/>
    </xf>
    <xf numFmtId="0" fontId="8" fillId="0" borderId="95" xfId="0" applyFont="1" applyBorder="1" applyAlignment="1">
      <alignment horizontal="left" vertical="center" wrapText="1"/>
    </xf>
    <xf numFmtId="0" fontId="7" fillId="0" borderId="9" xfId="0" applyFont="1" applyBorder="1" applyAlignment="1">
      <alignment horizontal="left" vertical="center" wrapText="1"/>
    </xf>
    <xf numFmtId="0" fontId="7" fillId="0" borderId="71" xfId="0" applyFont="1" applyBorder="1" applyAlignment="1">
      <alignment horizontal="left" vertical="center" wrapText="1"/>
    </xf>
    <xf numFmtId="0" fontId="7" fillId="0" borderId="107" xfId="0" applyFont="1" applyBorder="1" applyAlignment="1">
      <alignment horizontal="left" vertical="center" wrapText="1"/>
    </xf>
    <xf numFmtId="14" fontId="8" fillId="0" borderId="79" xfId="0" applyNumberFormat="1" applyFont="1" applyBorder="1" applyAlignment="1" applyProtection="1">
      <alignment horizontal="center" vertical="center"/>
      <protection locked="0"/>
    </xf>
    <xf numFmtId="14" fontId="8" fillId="0" borderId="89" xfId="0" applyNumberFormat="1" applyFont="1" applyBorder="1" applyAlignment="1" applyProtection="1">
      <alignment horizontal="center" vertical="center"/>
      <protection locked="0"/>
    </xf>
    <xf numFmtId="170" fontId="8" fillId="0" borderId="80" xfId="0" applyNumberFormat="1" applyFont="1" applyBorder="1" applyAlignment="1" applyProtection="1">
      <alignment horizontal="center" vertical="center"/>
      <protection locked="0"/>
    </xf>
    <xf numFmtId="170" fontId="8" fillId="0" borderId="77" xfId="0" applyNumberFormat="1" applyFont="1" applyBorder="1" applyAlignment="1" applyProtection="1">
      <alignment horizontal="center" vertical="center"/>
      <protection locked="0"/>
    </xf>
    <xf numFmtId="170" fontId="8" fillId="0" borderId="182" xfId="0" applyNumberFormat="1" applyFont="1" applyBorder="1" applyAlignment="1" applyProtection="1">
      <alignment horizontal="center" vertical="center"/>
      <protection locked="0"/>
    </xf>
    <xf numFmtId="0" fontId="7" fillId="9" borderId="158" xfId="0" applyFont="1" applyFill="1" applyBorder="1" applyAlignment="1">
      <alignment horizontal="left" vertical="center" wrapText="1"/>
    </xf>
    <xf numFmtId="0" fontId="7" fillId="9" borderId="159" xfId="0" applyFont="1" applyFill="1" applyBorder="1" applyAlignment="1">
      <alignment horizontal="left" vertical="center" wrapText="1"/>
    </xf>
    <xf numFmtId="0" fontId="7" fillId="9" borderId="162" xfId="0" applyFont="1" applyFill="1" applyBorder="1" applyAlignment="1">
      <alignment horizontal="left" vertical="center" wrapText="1"/>
    </xf>
    <xf numFmtId="0" fontId="7" fillId="9" borderId="163" xfId="0" applyFont="1" applyFill="1" applyBorder="1" applyAlignment="1">
      <alignment horizontal="left" vertical="center" wrapText="1"/>
    </xf>
    <xf numFmtId="0" fontId="8" fillId="0" borderId="0" xfId="0" applyFont="1" applyAlignment="1">
      <alignment vertical="center"/>
    </xf>
    <xf numFmtId="0" fontId="8" fillId="0" borderId="110" xfId="0" applyFont="1" applyBorder="1" applyAlignment="1">
      <alignment vertical="center" wrapText="1"/>
    </xf>
    <xf numFmtId="0" fontId="8" fillId="0" borderId="111" xfId="0" applyFont="1" applyBorder="1" applyAlignment="1">
      <alignment vertical="center" wrapText="1"/>
    </xf>
    <xf numFmtId="0" fontId="8" fillId="0" borderId="50" xfId="0" applyFont="1" applyBorder="1" applyAlignment="1">
      <alignment vertical="center" wrapText="1"/>
    </xf>
    <xf numFmtId="0" fontId="7" fillId="0" borderId="102" xfId="0" applyFont="1" applyBorder="1" applyAlignment="1">
      <alignment horizontal="right" vertical="center"/>
    </xf>
    <xf numFmtId="0" fontId="16" fillId="0" borderId="123" xfId="0" applyFont="1" applyBorder="1" applyAlignment="1" applyProtection="1">
      <alignment horizontal="center" vertical="center"/>
      <protection locked="0"/>
    </xf>
    <xf numFmtId="0" fontId="16" fillId="0" borderId="52" xfId="0" applyFont="1" applyBorder="1" applyAlignment="1" applyProtection="1">
      <alignment horizontal="center" vertical="center"/>
      <protection locked="0"/>
    </xf>
    <xf numFmtId="0" fontId="16" fillId="0" borderId="108" xfId="0" applyFont="1" applyBorder="1" applyAlignment="1" applyProtection="1">
      <alignment horizontal="left" vertical="top"/>
      <protection locked="0"/>
    </xf>
    <xf numFmtId="0" fontId="16" fillId="0" borderId="109" xfId="0" applyFont="1" applyBorder="1" applyAlignment="1" applyProtection="1">
      <alignment horizontal="left" vertical="top"/>
      <protection locked="0"/>
    </xf>
    <xf numFmtId="0" fontId="7" fillId="0" borderId="100" xfId="0" applyFont="1" applyBorder="1" applyAlignment="1">
      <alignment horizontal="right" vertical="center"/>
    </xf>
    <xf numFmtId="0" fontId="16" fillId="0" borderId="100" xfId="0" applyFont="1" applyBorder="1" applyAlignment="1" applyProtection="1">
      <alignment horizontal="center" vertical="center"/>
      <protection locked="0"/>
    </xf>
    <xf numFmtId="0" fontId="16" fillId="0" borderId="101" xfId="0" applyFont="1" applyBorder="1" applyAlignment="1" applyProtection="1">
      <alignment horizontal="center" vertical="center"/>
      <protection locked="0"/>
    </xf>
    <xf numFmtId="0" fontId="7" fillId="0" borderId="105" xfId="0" applyFont="1" applyBorder="1" applyAlignment="1">
      <alignment horizontal="right" vertical="center"/>
    </xf>
    <xf numFmtId="0" fontId="16" fillId="0" borderId="105" xfId="0" applyFont="1" applyBorder="1" applyAlignment="1" applyProtection="1">
      <alignment horizontal="center" vertical="center"/>
      <protection locked="0"/>
    </xf>
    <xf numFmtId="0" fontId="16" fillId="0" borderId="106" xfId="0" applyFont="1" applyBorder="1" applyAlignment="1" applyProtection="1">
      <alignment horizontal="center" vertical="center"/>
      <protection locked="0"/>
    </xf>
    <xf numFmtId="0" fontId="7" fillId="0" borderId="83" xfId="0" applyFont="1" applyBorder="1" applyAlignment="1">
      <alignment horizontal="left" vertical="center" wrapText="1"/>
    </xf>
    <xf numFmtId="0" fontId="7" fillId="0" borderId="67" xfId="0" applyFont="1" applyBorder="1" applyAlignment="1">
      <alignment horizontal="left" vertical="center" wrapText="1"/>
    </xf>
    <xf numFmtId="0" fontId="7" fillId="0" borderId="87" xfId="0" applyFont="1" applyBorder="1" applyAlignment="1">
      <alignment horizontal="left" vertical="center" wrapText="1"/>
    </xf>
    <xf numFmtId="49" fontId="16" fillId="0" borderId="102" xfId="0" applyNumberFormat="1" applyFont="1" applyBorder="1" applyAlignment="1" applyProtection="1">
      <alignment horizontal="center" vertical="center"/>
      <protection locked="0"/>
    </xf>
    <xf numFmtId="49" fontId="16" fillId="0" borderId="103" xfId="0" applyNumberFormat="1" applyFont="1" applyBorder="1" applyAlignment="1" applyProtection="1">
      <alignment horizontal="center" vertical="center"/>
      <protection locked="0"/>
    </xf>
    <xf numFmtId="49" fontId="16" fillId="0" borderId="124" xfId="0" applyNumberFormat="1" applyFont="1" applyBorder="1" applyAlignment="1" applyProtection="1">
      <alignment horizontal="center" vertical="center"/>
      <protection locked="0"/>
    </xf>
    <xf numFmtId="49" fontId="16" fillId="0" borderId="51" xfId="0" applyNumberFormat="1" applyFont="1" applyBorder="1" applyAlignment="1" applyProtection="1">
      <alignment horizontal="center" vertical="center"/>
      <protection locked="0"/>
    </xf>
    <xf numFmtId="49" fontId="16" fillId="0" borderId="100" xfId="0" applyNumberFormat="1" applyFont="1" applyBorder="1" applyAlignment="1" applyProtection="1">
      <alignment horizontal="center" vertical="center"/>
      <protection locked="0"/>
    </xf>
    <xf numFmtId="49" fontId="16" fillId="0" borderId="101" xfId="0" applyNumberFormat="1" applyFont="1" applyBorder="1" applyAlignment="1" applyProtection="1">
      <alignment horizontal="center" vertical="center"/>
      <protection locked="0"/>
    </xf>
    <xf numFmtId="0" fontId="16" fillId="0" borderId="142" xfId="0" applyFont="1" applyBorder="1" applyAlignment="1">
      <alignment vertical="center"/>
    </xf>
    <xf numFmtId="0" fontId="16" fillId="0" borderId="143" xfId="0" applyFont="1" applyBorder="1" applyAlignment="1">
      <alignment vertical="center"/>
    </xf>
    <xf numFmtId="0" fontId="16" fillId="0" borderId="51" xfId="0" applyFont="1" applyBorder="1" applyAlignment="1">
      <alignment vertical="center"/>
    </xf>
    <xf numFmtId="0" fontId="0" fillId="0" borderId="124" xfId="0" applyBorder="1" applyAlignment="1" applyProtection="1">
      <alignment horizontal="left" vertical="center"/>
      <protection locked="0"/>
    </xf>
    <xf numFmtId="0" fontId="0" fillId="0" borderId="143" xfId="0"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123" xfId="0" applyBorder="1" applyAlignment="1" applyProtection="1">
      <alignment horizontal="left" vertical="center"/>
      <protection locked="0"/>
    </xf>
    <xf numFmtId="0" fontId="0" fillId="0" borderId="116" xfId="0" applyBorder="1" applyAlignment="1" applyProtection="1">
      <alignment horizontal="left" vertical="center"/>
      <protection locked="0"/>
    </xf>
    <xf numFmtId="0" fontId="0" fillId="0" borderId="52" xfId="0" applyBorder="1" applyAlignment="1" applyProtection="1">
      <alignment horizontal="left" vertical="center"/>
      <protection locked="0"/>
    </xf>
    <xf numFmtId="0" fontId="16" fillId="0" borderId="149" xfId="0" applyFont="1" applyBorder="1" applyAlignment="1">
      <alignment vertical="center"/>
    </xf>
    <xf numFmtId="0" fontId="16" fillId="0" borderId="68" xfId="0" applyFont="1" applyBorder="1" applyAlignment="1">
      <alignment vertical="center"/>
    </xf>
    <xf numFmtId="0" fontId="16" fillId="0" borderId="94" xfId="0" applyFont="1" applyBorder="1" applyAlignment="1">
      <alignment vertical="center"/>
    </xf>
    <xf numFmtId="0" fontId="7" fillId="0" borderId="30" xfId="0" applyFont="1" applyBorder="1" applyAlignment="1">
      <alignment vertical="center" wrapText="1"/>
    </xf>
    <xf numFmtId="0" fontId="7" fillId="0" borderId="67" xfId="0" applyFont="1" applyBorder="1" applyAlignment="1">
      <alignment vertical="center" wrapText="1"/>
    </xf>
    <xf numFmtId="0" fontId="7" fillId="0" borderId="87" xfId="0" applyFont="1" applyBorder="1" applyAlignment="1">
      <alignment vertical="center" wrapText="1"/>
    </xf>
    <xf numFmtId="0" fontId="7" fillId="0" borderId="74" xfId="0" applyFont="1" applyBorder="1" applyAlignment="1">
      <alignment vertical="center" wrapText="1"/>
    </xf>
    <xf numFmtId="0" fontId="7" fillId="0" borderId="10" xfId="0" applyFont="1" applyBorder="1" applyAlignment="1">
      <alignment vertical="center" wrapText="1"/>
    </xf>
    <xf numFmtId="0" fontId="7" fillId="0" borderId="76" xfId="0" applyFont="1" applyBorder="1" applyAlignment="1">
      <alignment vertical="center" wrapText="1"/>
    </xf>
    <xf numFmtId="0" fontId="7" fillId="0" borderId="26" xfId="0" applyFont="1" applyBorder="1" applyAlignment="1">
      <alignment vertical="center" wrapText="1"/>
    </xf>
    <xf numFmtId="0" fontId="7" fillId="0" borderId="168" xfId="0" applyFont="1" applyBorder="1" applyAlignment="1">
      <alignment vertical="center" wrapText="1"/>
    </xf>
    <xf numFmtId="0" fontId="7" fillId="0" borderId="99" xfId="0" applyFont="1" applyBorder="1" applyAlignment="1">
      <alignment vertical="center" wrapText="1"/>
    </xf>
    <xf numFmtId="0" fontId="7" fillId="0" borderId="75" xfId="0" applyFont="1" applyBorder="1" applyAlignment="1">
      <alignment vertical="center" wrapText="1"/>
    </xf>
    <xf numFmtId="0" fontId="7" fillId="0" borderId="28" xfId="0" applyFont="1" applyBorder="1" applyAlignment="1">
      <alignment vertical="center" wrapText="1"/>
    </xf>
    <xf numFmtId="0" fontId="7" fillId="0" borderId="169" xfId="0" applyFont="1" applyBorder="1" applyAlignment="1">
      <alignment vertical="center" wrapText="1"/>
    </xf>
    <xf numFmtId="0" fontId="7" fillId="0" borderId="9" xfId="0" applyFont="1" applyBorder="1" applyAlignment="1">
      <alignment vertical="center" wrapText="1"/>
    </xf>
    <xf numFmtId="0" fontId="7" fillId="0" borderId="107" xfId="0" applyFont="1" applyBorder="1" applyAlignment="1">
      <alignment vertical="center" wrapText="1"/>
    </xf>
    <xf numFmtId="0" fontId="16" fillId="0" borderId="115" xfId="0" applyFont="1" applyBorder="1" applyAlignment="1">
      <alignment vertical="center"/>
    </xf>
    <xf numFmtId="0" fontId="16" fillId="0" borderId="173" xfId="0" applyFont="1" applyBorder="1" applyAlignment="1">
      <alignment vertical="center"/>
    </xf>
    <xf numFmtId="0" fontId="16" fillId="0" borderId="172" xfId="0" applyFont="1" applyBorder="1" applyAlignment="1">
      <alignment vertical="center"/>
    </xf>
    <xf numFmtId="0" fontId="16" fillId="0" borderId="167" xfId="0" applyFont="1" applyBorder="1" applyAlignment="1">
      <alignment vertical="center"/>
    </xf>
    <xf numFmtId="0" fontId="7" fillId="9" borderId="158" xfId="0" applyFont="1" applyFill="1" applyBorder="1" applyAlignment="1">
      <alignment vertical="center" wrapText="1"/>
    </xf>
    <xf numFmtId="0" fontId="7" fillId="9" borderId="162" xfId="0" applyFont="1" applyFill="1" applyBorder="1" applyAlignment="1">
      <alignment vertical="center" wrapText="1"/>
    </xf>
    <xf numFmtId="0" fontId="38" fillId="7" borderId="28" xfId="0" applyFont="1" applyFill="1" applyBorder="1" applyAlignment="1">
      <alignment horizontal="left" vertical="center" wrapText="1"/>
    </xf>
    <xf numFmtId="0" fontId="38" fillId="7" borderId="3" xfId="0" applyFont="1" applyFill="1" applyBorder="1" applyAlignment="1">
      <alignment horizontal="left" vertical="center" wrapText="1"/>
    </xf>
    <xf numFmtId="0" fontId="38" fillId="7" borderId="20" xfId="0" applyFont="1" applyFill="1" applyBorder="1" applyAlignment="1">
      <alignment horizontal="left" vertical="center" wrapText="1"/>
    </xf>
    <xf numFmtId="0" fontId="38" fillId="7" borderId="22" xfId="0" applyFont="1" applyFill="1" applyBorder="1" applyAlignment="1">
      <alignment horizontal="left" vertical="center" wrapText="1"/>
    </xf>
    <xf numFmtId="0" fontId="7" fillId="0" borderId="175" xfId="0" applyFont="1" applyBorder="1" applyAlignment="1">
      <alignment vertical="center" wrapText="1"/>
    </xf>
    <xf numFmtId="0" fontId="7" fillId="0" borderId="176" xfId="0" applyFont="1" applyBorder="1" applyAlignment="1">
      <alignment vertical="center" wrapText="1"/>
    </xf>
    <xf numFmtId="0" fontId="7" fillId="0" borderId="166" xfId="0" applyFont="1" applyBorder="1" applyAlignment="1">
      <alignment vertical="center" wrapText="1"/>
    </xf>
    <xf numFmtId="0" fontId="8" fillId="0" borderId="174" xfId="0" applyFont="1" applyBorder="1" applyAlignment="1">
      <alignment vertical="center"/>
    </xf>
    <xf numFmtId="0" fontId="8" fillId="0" borderId="175" xfId="0" applyFont="1" applyBorder="1" applyAlignment="1">
      <alignment vertical="center"/>
    </xf>
    <xf numFmtId="0" fontId="8" fillId="0" borderId="164" xfId="0" applyFont="1" applyBorder="1" applyAlignment="1">
      <alignment vertical="center"/>
    </xf>
    <xf numFmtId="0" fontId="8" fillId="0" borderId="165" xfId="0" applyFont="1" applyBorder="1" applyAlignment="1">
      <alignment vertical="center"/>
    </xf>
    <xf numFmtId="0" fontId="7" fillId="9" borderId="177" xfId="0" applyFont="1" applyFill="1" applyBorder="1" applyAlignment="1">
      <alignment vertical="center" wrapText="1"/>
    </xf>
    <xf numFmtId="0" fontId="7" fillId="9" borderId="178" xfId="0" applyFont="1" applyFill="1" applyBorder="1" applyAlignment="1">
      <alignment vertical="center" wrapText="1"/>
    </xf>
    <xf numFmtId="0" fontId="7" fillId="9" borderId="157" xfId="0" applyFont="1" applyFill="1" applyBorder="1" applyAlignment="1">
      <alignment vertical="center" wrapText="1"/>
    </xf>
    <xf numFmtId="0" fontId="7" fillId="9" borderId="29" xfId="0" applyFont="1" applyFill="1" applyBorder="1" applyAlignment="1">
      <alignment vertical="center" wrapText="1"/>
    </xf>
    <xf numFmtId="0" fontId="8" fillId="9" borderId="170" xfId="0" applyFont="1" applyFill="1" applyBorder="1" applyAlignment="1">
      <alignment vertical="center"/>
    </xf>
    <xf numFmtId="0" fontId="8" fillId="9" borderId="132" xfId="0" applyFont="1" applyFill="1" applyBorder="1" applyAlignment="1">
      <alignment vertical="center"/>
    </xf>
    <xf numFmtId="0" fontId="8" fillId="9" borderId="171" xfId="0" applyFont="1" applyFill="1" applyBorder="1" applyAlignment="1">
      <alignment vertical="center"/>
    </xf>
    <xf numFmtId="0" fontId="8" fillId="9" borderId="28" xfId="0" applyFont="1" applyFill="1" applyBorder="1" applyAlignment="1">
      <alignment vertical="center"/>
    </xf>
    <xf numFmtId="0" fontId="8" fillId="9" borderId="3" xfId="0" applyFont="1" applyFill="1" applyBorder="1" applyAlignment="1">
      <alignment vertical="center"/>
    </xf>
    <xf numFmtId="0" fontId="8" fillId="9" borderId="169" xfId="0" applyFont="1" applyFill="1" applyBorder="1" applyAlignment="1">
      <alignment vertical="center"/>
    </xf>
    <xf numFmtId="0" fontId="16" fillId="9" borderId="115" xfId="0" applyFont="1" applyFill="1" applyBorder="1" applyAlignment="1" applyProtection="1">
      <alignment horizontal="center" vertical="center"/>
      <protection locked="0"/>
    </xf>
    <xf numFmtId="0" fontId="16" fillId="9" borderId="116" xfId="0" applyFont="1" applyFill="1" applyBorder="1" applyAlignment="1" applyProtection="1">
      <alignment horizontal="center" vertical="center"/>
      <protection locked="0"/>
    </xf>
    <xf numFmtId="0" fontId="16" fillId="9" borderId="52" xfId="0" applyFont="1" applyFill="1" applyBorder="1" applyAlignment="1" applyProtection="1">
      <alignment horizontal="center" vertical="center"/>
      <protection locked="0"/>
    </xf>
    <xf numFmtId="0" fontId="16" fillId="12" borderId="19" xfId="0" applyFont="1" applyFill="1" applyBorder="1" applyAlignment="1">
      <alignment horizontal="center" vertical="center"/>
    </xf>
    <xf numFmtId="0" fontId="16" fillId="12" borderId="20" xfId="0" applyFont="1" applyFill="1" applyBorder="1" applyAlignment="1">
      <alignment horizontal="center" vertical="center"/>
    </xf>
    <xf numFmtId="0" fontId="16" fillId="12" borderId="22" xfId="0" applyFont="1" applyFill="1" applyBorder="1" applyAlignment="1">
      <alignment horizontal="center" vertical="center"/>
    </xf>
    <xf numFmtId="0" fontId="16" fillId="9" borderId="110" xfId="0" applyFont="1" applyFill="1" applyBorder="1" applyAlignment="1" applyProtection="1">
      <alignment horizontal="center" vertical="center"/>
      <protection locked="0"/>
    </xf>
    <xf numFmtId="0" fontId="16" fillId="9" borderId="111" xfId="0" applyFont="1" applyFill="1" applyBorder="1" applyAlignment="1" applyProtection="1">
      <alignment horizontal="center" vertical="center"/>
      <protection locked="0"/>
    </xf>
    <xf numFmtId="0" fontId="16" fillId="9" borderId="50" xfId="0" applyFont="1" applyFill="1" applyBorder="1" applyAlignment="1" applyProtection="1">
      <alignment horizontal="center" vertical="center"/>
      <protection locked="0"/>
    </xf>
    <xf numFmtId="0" fontId="16" fillId="9" borderId="142" xfId="0" applyFont="1" applyFill="1" applyBorder="1" applyAlignment="1" applyProtection="1">
      <alignment horizontal="center" vertical="center"/>
      <protection locked="0"/>
    </xf>
    <xf numFmtId="0" fontId="16" fillId="9" borderId="143" xfId="0" applyFont="1" applyFill="1" applyBorder="1" applyAlignment="1" applyProtection="1">
      <alignment horizontal="center" vertical="center"/>
      <protection locked="0"/>
    </xf>
    <xf numFmtId="0" fontId="16" fillId="9" borderId="51" xfId="0" applyFont="1" applyFill="1" applyBorder="1" applyAlignment="1" applyProtection="1">
      <alignment horizontal="center" vertical="center"/>
      <protection locked="0"/>
    </xf>
    <xf numFmtId="0" fontId="16" fillId="23" borderId="23" xfId="0" applyFont="1" applyFill="1" applyBorder="1" applyAlignment="1">
      <alignment horizontal="center" vertical="center" wrapText="1"/>
    </xf>
    <xf numFmtId="0" fontId="16" fillId="23" borderId="24" xfId="0" applyFont="1" applyFill="1" applyBorder="1" applyAlignment="1">
      <alignment horizontal="center" vertical="center" wrapText="1"/>
    </xf>
    <xf numFmtId="0" fontId="16" fillId="23" borderId="25" xfId="0" applyFont="1" applyFill="1" applyBorder="1" applyAlignment="1">
      <alignment horizontal="center" vertical="center" wrapText="1"/>
    </xf>
    <xf numFmtId="0" fontId="16" fillId="23" borderId="28" xfId="0" applyFont="1" applyFill="1" applyBorder="1" applyAlignment="1">
      <alignment horizontal="center" vertical="center" wrapText="1"/>
    </xf>
    <xf numFmtId="0" fontId="16" fillId="23" borderId="3" xfId="0" applyFont="1" applyFill="1" applyBorder="1" applyAlignment="1">
      <alignment horizontal="center" vertical="center" wrapText="1"/>
    </xf>
    <xf numFmtId="0" fontId="16" fillId="23" borderId="29" xfId="0" applyFont="1" applyFill="1" applyBorder="1" applyAlignment="1">
      <alignment horizontal="center" vertical="center" wrapText="1"/>
    </xf>
    <xf numFmtId="0" fontId="16" fillId="11" borderId="0" xfId="0" applyFont="1" applyFill="1" applyAlignment="1">
      <alignment vertical="center" wrapText="1"/>
    </xf>
    <xf numFmtId="0" fontId="36" fillId="12" borderId="20" xfId="0" applyFont="1" applyFill="1" applyBorder="1" applyAlignment="1">
      <alignment vertical="center"/>
    </xf>
    <xf numFmtId="0" fontId="7" fillId="11" borderId="19" xfId="0" applyFont="1" applyFill="1" applyBorder="1" applyAlignment="1">
      <alignment horizontal="center" vertical="center" wrapText="1"/>
    </xf>
    <xf numFmtId="0" fontId="7" fillId="11" borderId="22" xfId="0" applyFont="1" applyFill="1" applyBorder="1" applyAlignment="1">
      <alignment horizontal="center" vertical="center" wrapText="1"/>
    </xf>
    <xf numFmtId="0" fontId="7" fillId="11" borderId="59" xfId="0" applyFont="1" applyFill="1" applyBorder="1" applyAlignment="1">
      <alignment horizontal="center" vertical="center" wrapText="1"/>
    </xf>
    <xf numFmtId="0" fontId="7" fillId="11" borderId="60" xfId="0" applyFont="1" applyFill="1" applyBorder="1" applyAlignment="1">
      <alignment horizontal="center" vertical="center" wrapText="1"/>
    </xf>
    <xf numFmtId="0" fontId="7" fillId="11" borderId="59" xfId="0" applyFont="1" applyFill="1" applyBorder="1" applyAlignment="1">
      <alignment horizontal="center" vertical="center"/>
    </xf>
    <xf numFmtId="0" fontId="7" fillId="11" borderId="60" xfId="0" applyFont="1" applyFill="1" applyBorder="1" applyAlignment="1">
      <alignment horizontal="center" vertical="center"/>
    </xf>
    <xf numFmtId="0" fontId="16" fillId="11" borderId="0" xfId="0" applyFont="1" applyFill="1" applyAlignment="1">
      <alignment vertical="center"/>
    </xf>
    <xf numFmtId="0" fontId="16" fillId="11" borderId="27" xfId="0" applyFont="1" applyFill="1" applyBorder="1" applyAlignment="1">
      <alignment vertical="center"/>
    </xf>
    <xf numFmtId="0" fontId="16" fillId="11" borderId="68" xfId="0" applyFont="1" applyFill="1" applyBorder="1" applyAlignment="1">
      <alignment vertical="center" wrapText="1"/>
    </xf>
    <xf numFmtId="0" fontId="68" fillId="11" borderId="0" xfId="0" applyFont="1" applyFill="1" applyAlignment="1">
      <alignment horizontal="left"/>
    </xf>
    <xf numFmtId="0" fontId="70" fillId="11" borderId="0" xfId="0" applyFont="1" applyFill="1" applyAlignment="1">
      <alignment horizontal="left"/>
    </xf>
    <xf numFmtId="0" fontId="16" fillId="11" borderId="27" xfId="0" applyFont="1" applyFill="1" applyBorder="1" applyAlignment="1">
      <alignment vertical="center" wrapText="1"/>
    </xf>
    <xf numFmtId="49" fontId="65" fillId="24" borderId="110" xfId="0" applyNumberFormat="1" applyFont="1" applyFill="1" applyBorder="1" applyAlignment="1">
      <alignment horizontal="left" vertical="center" wrapText="1"/>
    </xf>
    <xf numFmtId="49" fontId="65" fillId="24" borderId="111" xfId="0" applyNumberFormat="1" applyFont="1" applyFill="1" applyBorder="1" applyAlignment="1">
      <alignment horizontal="left" vertical="center" wrapText="1"/>
    </xf>
    <xf numFmtId="49" fontId="65" fillId="24" borderId="50" xfId="0" applyNumberFormat="1" applyFont="1" applyFill="1" applyBorder="1" applyAlignment="1">
      <alignment horizontal="left" vertical="center" wrapText="1"/>
    </xf>
    <xf numFmtId="0" fontId="65" fillId="11" borderId="110" xfId="0" applyFont="1" applyFill="1" applyBorder="1" applyAlignment="1">
      <alignment horizontal="left" vertical="center" wrapText="1"/>
    </xf>
    <xf numFmtId="0" fontId="65" fillId="11" borderId="111" xfId="0" applyFont="1" applyFill="1" applyBorder="1" applyAlignment="1">
      <alignment horizontal="left" vertical="center" wrapText="1"/>
    </xf>
    <xf numFmtId="0" fontId="65" fillId="11" borderId="50" xfId="0" applyFont="1" applyFill="1" applyBorder="1" applyAlignment="1">
      <alignment horizontal="left" vertical="center" wrapText="1"/>
    </xf>
    <xf numFmtId="0" fontId="16" fillId="11" borderId="3" xfId="0" applyFont="1" applyFill="1" applyBorder="1" applyAlignment="1">
      <alignment horizontal="left" vertical="center" wrapText="1"/>
    </xf>
    <xf numFmtId="0" fontId="41" fillId="12" borderId="20" xfId="0" applyFont="1" applyFill="1" applyBorder="1" applyAlignment="1">
      <alignment horizontal="center" vertical="center"/>
    </xf>
    <xf numFmtId="0" fontId="16" fillId="11" borderId="132" xfId="0" applyFont="1" applyFill="1" applyBorder="1" applyAlignment="1">
      <alignment vertical="center"/>
    </xf>
    <xf numFmtId="0" fontId="29" fillId="0" borderId="0" xfId="0" applyFont="1" applyAlignment="1">
      <alignment horizontal="left" vertical="center"/>
    </xf>
    <xf numFmtId="0" fontId="7" fillId="0" borderId="3" xfId="0" applyFont="1" applyBorder="1" applyAlignment="1">
      <alignment horizontal="left" vertical="center"/>
    </xf>
    <xf numFmtId="0" fontId="7" fillId="24" borderId="19" xfId="0" applyFont="1" applyFill="1" applyBorder="1" applyAlignment="1">
      <alignment horizontal="center" vertical="center" wrapText="1"/>
    </xf>
    <xf numFmtId="0" fontId="7" fillId="24" borderId="22" xfId="0" applyFont="1" applyFill="1" applyBorder="1" applyAlignment="1">
      <alignment horizontal="center" vertical="center" wrapText="1"/>
    </xf>
    <xf numFmtId="0" fontId="7" fillId="24" borderId="59" xfId="0" applyFont="1" applyFill="1" applyBorder="1" applyAlignment="1">
      <alignment horizontal="center" vertical="center"/>
    </xf>
    <xf numFmtId="0" fontId="7" fillId="24" borderId="60" xfId="0" applyFont="1" applyFill="1" applyBorder="1" applyAlignment="1">
      <alignment horizontal="center" vertical="center"/>
    </xf>
    <xf numFmtId="0" fontId="16" fillId="9" borderId="142" xfId="0" applyFont="1" applyFill="1" applyBorder="1" applyAlignment="1">
      <alignment horizontal="center" vertical="center" wrapText="1"/>
    </xf>
    <xf numFmtId="0" fontId="16" fillId="9" borderId="51" xfId="0" applyFont="1" applyFill="1" applyBorder="1" applyAlignment="1">
      <alignment horizontal="center" vertical="center" wrapText="1"/>
    </xf>
    <xf numFmtId="0" fontId="16" fillId="9" borderId="23" xfId="0" applyFont="1" applyFill="1" applyBorder="1" applyAlignment="1">
      <alignment horizontal="center" vertical="center" wrapText="1"/>
    </xf>
    <xf numFmtId="0" fontId="16" fillId="9" borderId="25" xfId="0" applyFont="1" applyFill="1" applyBorder="1" applyAlignment="1">
      <alignment horizontal="center" vertical="center" wrapText="1"/>
    </xf>
    <xf numFmtId="0" fontId="16" fillId="9" borderId="26" xfId="0" applyFont="1" applyFill="1" applyBorder="1" applyAlignment="1">
      <alignment horizontal="center" vertical="center" wrapText="1"/>
    </xf>
    <xf numFmtId="0" fontId="16" fillId="9" borderId="27" xfId="0" applyFont="1" applyFill="1" applyBorder="1" applyAlignment="1">
      <alignment horizontal="center" vertical="center" wrapText="1"/>
    </xf>
    <xf numFmtId="0" fontId="16" fillId="9" borderId="28" xfId="0" applyFont="1" applyFill="1" applyBorder="1" applyAlignment="1">
      <alignment horizontal="center" vertical="center" wrapText="1"/>
    </xf>
    <xf numFmtId="0" fontId="16" fillId="9" borderId="29" xfId="0" applyFont="1" applyFill="1" applyBorder="1" applyAlignment="1">
      <alignment horizontal="center" vertical="center" wrapText="1"/>
    </xf>
    <xf numFmtId="0" fontId="16" fillId="9" borderId="23" xfId="0" applyFont="1" applyFill="1" applyBorder="1" applyAlignment="1" applyProtection="1">
      <alignment horizontal="center" vertical="center"/>
      <protection locked="0"/>
    </xf>
    <xf numFmtId="0" fontId="16" fillId="9" borderId="24" xfId="0" applyFont="1" applyFill="1" applyBorder="1" applyAlignment="1" applyProtection="1">
      <alignment horizontal="center" vertical="center"/>
      <protection locked="0"/>
    </xf>
    <xf numFmtId="0" fontId="16" fillId="9" borderId="25" xfId="0" applyFont="1" applyFill="1" applyBorder="1" applyAlignment="1" applyProtection="1">
      <alignment horizontal="center" vertical="center"/>
      <protection locked="0"/>
    </xf>
    <xf numFmtId="0" fontId="16" fillId="9" borderId="26"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protection locked="0"/>
    </xf>
    <xf numFmtId="0" fontId="16" fillId="9" borderId="27" xfId="0" applyFont="1" applyFill="1" applyBorder="1" applyAlignment="1" applyProtection="1">
      <alignment horizontal="center" vertical="center"/>
      <protection locked="0"/>
    </xf>
    <xf numFmtId="0" fontId="16" fillId="9" borderId="28" xfId="0" applyFont="1" applyFill="1" applyBorder="1" applyAlignment="1" applyProtection="1">
      <alignment horizontal="center" vertical="center"/>
      <protection locked="0"/>
    </xf>
    <xf numFmtId="0" fontId="16" fillId="9" borderId="3" xfId="0" applyFont="1" applyFill="1" applyBorder="1" applyAlignment="1" applyProtection="1">
      <alignment horizontal="center" vertical="center"/>
      <protection locked="0"/>
    </xf>
    <xf numFmtId="0" fontId="16" fillId="9" borderId="29" xfId="0" applyFont="1" applyFill="1" applyBorder="1" applyAlignment="1" applyProtection="1">
      <alignment horizontal="center" vertical="center"/>
      <protection locked="0"/>
    </xf>
    <xf numFmtId="0" fontId="16" fillId="9" borderId="142" xfId="0" applyFont="1" applyFill="1" applyBorder="1" applyAlignment="1" applyProtection="1">
      <alignment horizontal="center" vertical="center" wrapText="1"/>
      <protection locked="0"/>
    </xf>
    <xf numFmtId="0" fontId="16" fillId="9" borderId="143" xfId="0" applyFont="1" applyFill="1" applyBorder="1" applyAlignment="1" applyProtection="1">
      <alignment horizontal="center" vertical="center" wrapText="1"/>
      <protection locked="0"/>
    </xf>
    <xf numFmtId="0" fontId="16" fillId="9" borderId="51" xfId="0" applyFont="1" applyFill="1" applyBorder="1" applyAlignment="1" applyProtection="1">
      <alignment horizontal="center" vertical="center" wrapText="1"/>
      <protection locked="0"/>
    </xf>
    <xf numFmtId="0" fontId="16" fillId="9" borderId="142" xfId="0" applyFont="1" applyFill="1" applyBorder="1" applyAlignment="1">
      <alignment horizontal="left" vertical="center" wrapText="1"/>
    </xf>
    <xf numFmtId="0" fontId="16" fillId="9" borderId="143" xfId="0" applyFont="1" applyFill="1" applyBorder="1" applyAlignment="1">
      <alignment horizontal="left" vertical="center" wrapText="1"/>
    </xf>
    <xf numFmtId="0" fontId="16" fillId="9" borderId="51" xfId="0" applyFont="1" applyFill="1" applyBorder="1" applyAlignment="1">
      <alignment horizontal="left" vertical="center" wrapText="1"/>
    </xf>
    <xf numFmtId="0" fontId="16" fillId="9" borderId="115" xfId="0" applyFont="1" applyFill="1" applyBorder="1" applyAlignment="1">
      <alignment horizontal="left" vertical="center" wrapText="1"/>
    </xf>
    <xf numFmtId="0" fontId="16" fillId="9" borderId="116" xfId="0" applyFont="1" applyFill="1" applyBorder="1" applyAlignment="1">
      <alignment horizontal="left" vertical="center" wrapText="1"/>
    </xf>
    <xf numFmtId="0" fontId="16" fillId="9" borderId="52" xfId="0" applyFont="1" applyFill="1" applyBorder="1" applyAlignment="1">
      <alignment horizontal="left" vertical="center" wrapText="1"/>
    </xf>
    <xf numFmtId="0" fontId="7" fillId="24" borderId="59" xfId="0" applyFont="1" applyFill="1" applyBorder="1" applyAlignment="1">
      <alignment horizontal="center" vertical="center" wrapText="1"/>
    </xf>
    <xf numFmtId="0" fontId="7" fillId="24" borderId="60" xfId="0" applyFont="1" applyFill="1" applyBorder="1" applyAlignment="1">
      <alignment horizontal="center" vertical="center" wrapText="1"/>
    </xf>
    <xf numFmtId="0" fontId="16" fillId="9" borderId="110" xfId="0" applyFont="1" applyFill="1" applyBorder="1" applyAlignment="1" applyProtection="1">
      <alignment horizontal="center" vertical="center" wrapText="1"/>
      <protection locked="0"/>
    </xf>
    <xf numFmtId="0" fontId="16" fillId="9" borderId="111" xfId="0" applyFont="1" applyFill="1" applyBorder="1" applyAlignment="1" applyProtection="1">
      <alignment horizontal="center" vertical="center" wrapText="1"/>
      <protection locked="0"/>
    </xf>
    <xf numFmtId="0" fontId="16" fillId="9" borderId="50" xfId="0" applyFont="1" applyFill="1" applyBorder="1" applyAlignment="1" applyProtection="1">
      <alignment horizontal="center" vertical="center" wrapText="1"/>
      <protection locked="0"/>
    </xf>
    <xf numFmtId="0" fontId="16" fillId="9" borderId="110" xfId="0" applyFont="1" applyFill="1" applyBorder="1" applyAlignment="1">
      <alignment horizontal="center" vertical="center" wrapText="1"/>
    </xf>
    <xf numFmtId="0" fontId="16" fillId="9" borderId="50" xfId="0" applyFont="1" applyFill="1" applyBorder="1" applyAlignment="1">
      <alignment horizontal="center" vertical="center" wrapText="1"/>
    </xf>
    <xf numFmtId="0" fontId="16" fillId="9" borderId="115" xfId="0" applyFont="1" applyFill="1" applyBorder="1" applyAlignment="1">
      <alignment horizontal="center" vertical="center" wrapText="1"/>
    </xf>
    <xf numFmtId="0" fontId="16" fillId="9" borderId="52" xfId="0" applyFont="1" applyFill="1" applyBorder="1" applyAlignment="1">
      <alignment horizontal="center" vertical="center" wrapText="1"/>
    </xf>
    <xf numFmtId="0" fontId="86" fillId="22" borderId="23" xfId="0" applyFont="1" applyFill="1" applyBorder="1" applyAlignment="1">
      <alignment horizontal="center" vertical="center"/>
    </xf>
    <xf numFmtId="0" fontId="86" fillId="22" borderId="24" xfId="0" applyFont="1" applyFill="1" applyBorder="1" applyAlignment="1">
      <alignment horizontal="center" vertical="center"/>
    </xf>
    <xf numFmtId="0" fontId="86" fillId="22" borderId="25" xfId="0" applyFont="1" applyFill="1" applyBorder="1" applyAlignment="1">
      <alignment horizontal="center" vertical="center"/>
    </xf>
    <xf numFmtId="0" fontId="86" fillId="22" borderId="28" xfId="0" applyFont="1" applyFill="1" applyBorder="1" applyAlignment="1">
      <alignment horizontal="center" vertical="center"/>
    </xf>
    <xf numFmtId="0" fontId="86" fillId="22" borderId="3" xfId="0" applyFont="1" applyFill="1" applyBorder="1" applyAlignment="1">
      <alignment horizontal="center" vertical="center"/>
    </xf>
    <xf numFmtId="0" fontId="86" fillId="22" borderId="29" xfId="0" applyFont="1" applyFill="1" applyBorder="1" applyAlignment="1">
      <alignment horizontal="center" vertical="center"/>
    </xf>
    <xf numFmtId="0" fontId="16" fillId="9" borderId="39" xfId="0" applyFont="1" applyFill="1" applyBorder="1" applyAlignment="1">
      <alignment horizontal="left" vertical="top"/>
    </xf>
    <xf numFmtId="0" fontId="16" fillId="9" borderId="35" xfId="0" applyFont="1" applyFill="1" applyBorder="1" applyAlignment="1">
      <alignment horizontal="left" vertical="top"/>
    </xf>
    <xf numFmtId="0" fontId="16" fillId="9" borderId="43" xfId="0" applyFont="1" applyFill="1" applyBorder="1" applyAlignment="1">
      <alignment horizontal="left" vertical="top"/>
    </xf>
    <xf numFmtId="0" fontId="16" fillId="9" borderId="36" xfId="0" applyFont="1" applyFill="1" applyBorder="1" applyAlignment="1">
      <alignment horizontal="left" vertical="top"/>
    </xf>
    <xf numFmtId="0" fontId="16" fillId="9" borderId="61" xfId="0" applyFont="1" applyFill="1" applyBorder="1" applyAlignment="1">
      <alignment horizontal="center" vertical="center" wrapText="1"/>
    </xf>
    <xf numFmtId="0" fontId="16" fillId="9" borderId="199" xfId="0" applyFont="1" applyFill="1" applyBorder="1" applyAlignment="1">
      <alignment horizontal="center" vertical="center" wrapText="1"/>
    </xf>
    <xf numFmtId="0" fontId="16" fillId="9" borderId="34" xfId="0" applyFont="1" applyFill="1" applyBorder="1" applyAlignment="1">
      <alignment horizontal="center" vertical="center" wrapText="1"/>
    </xf>
    <xf numFmtId="0" fontId="16" fillId="21" borderId="19" xfId="0" applyFont="1" applyFill="1" applyBorder="1" applyAlignment="1">
      <alignment horizontal="center" vertical="center" wrapText="1"/>
    </xf>
    <xf numFmtId="0" fontId="16" fillId="21" borderId="20" xfId="0" applyFont="1" applyFill="1" applyBorder="1" applyAlignment="1">
      <alignment horizontal="center" vertical="center" wrapText="1"/>
    </xf>
    <xf numFmtId="0" fontId="16" fillId="21" borderId="22" xfId="0" applyFont="1" applyFill="1" applyBorder="1" applyAlignment="1">
      <alignment horizontal="center" vertical="center" wrapText="1"/>
    </xf>
    <xf numFmtId="0" fontId="16" fillId="9" borderId="47" xfId="0" applyFont="1" applyFill="1" applyBorder="1" applyAlignment="1">
      <alignment horizontal="left" vertical="center"/>
    </xf>
    <xf numFmtId="0" fontId="16" fillId="9" borderId="37" xfId="0" applyFont="1" applyFill="1" applyBorder="1" applyAlignment="1">
      <alignment horizontal="left" vertical="center"/>
    </xf>
    <xf numFmtId="0" fontId="16" fillId="9" borderId="43" xfId="0" applyFont="1" applyFill="1" applyBorder="1" applyAlignment="1">
      <alignment horizontal="left" vertical="center"/>
    </xf>
    <xf numFmtId="0" fontId="16" fillId="9" borderId="36" xfId="0" applyFont="1" applyFill="1" applyBorder="1" applyAlignment="1">
      <alignment horizontal="left" vertical="center"/>
    </xf>
    <xf numFmtId="0" fontId="16" fillId="9" borderId="42" xfId="0" applyFont="1" applyFill="1" applyBorder="1" applyAlignment="1">
      <alignment horizontal="left" vertical="top" wrapText="1"/>
    </xf>
    <xf numFmtId="0" fontId="16" fillId="9" borderId="43" xfId="0" applyFont="1" applyFill="1" applyBorder="1" applyAlignment="1">
      <alignment horizontal="left" vertical="top" wrapText="1"/>
    </xf>
    <xf numFmtId="0" fontId="16" fillId="9" borderId="46" xfId="0" applyFont="1" applyFill="1" applyBorder="1" applyAlignment="1">
      <alignment horizontal="left" vertical="top" wrapText="1"/>
    </xf>
    <xf numFmtId="0" fontId="16" fillId="9" borderId="47" xfId="0" applyFont="1" applyFill="1" applyBorder="1" applyAlignment="1">
      <alignment horizontal="left" vertical="top" wrapText="1"/>
    </xf>
    <xf numFmtId="0" fontId="16" fillId="9" borderId="115" xfId="0" applyFont="1" applyFill="1" applyBorder="1" applyAlignment="1">
      <alignment horizontal="left" vertical="top" wrapText="1"/>
    </xf>
    <xf numFmtId="0" fontId="16" fillId="9" borderId="49" xfId="0" applyFont="1" applyFill="1" applyBorder="1" applyAlignment="1">
      <alignment horizontal="left" vertical="top" wrapText="1"/>
    </xf>
    <xf numFmtId="0" fontId="16" fillId="9" borderId="142" xfId="0" applyFont="1" applyFill="1" applyBorder="1" applyAlignment="1">
      <alignment horizontal="left" vertical="top" wrapText="1"/>
    </xf>
    <xf numFmtId="0" fontId="16" fillId="9" borderId="45" xfId="0" applyFont="1" applyFill="1" applyBorder="1" applyAlignment="1">
      <alignment horizontal="left" vertical="top" wrapText="1"/>
    </xf>
    <xf numFmtId="0" fontId="16" fillId="9" borderId="170" xfId="0" applyFont="1" applyFill="1" applyBorder="1" applyAlignment="1">
      <alignment horizontal="left" vertical="top" wrapText="1"/>
    </xf>
    <xf numFmtId="0" fontId="16" fillId="9" borderId="200" xfId="0" applyFont="1" applyFill="1" applyBorder="1" applyAlignment="1">
      <alignment horizontal="left" vertical="top" wrapText="1"/>
    </xf>
    <xf numFmtId="0" fontId="16" fillId="9" borderId="26" xfId="0" applyFont="1" applyFill="1" applyBorder="1" applyAlignment="1">
      <alignment horizontal="left" vertical="top" wrapText="1"/>
    </xf>
    <xf numFmtId="0" fontId="16" fillId="9" borderId="199" xfId="0" applyFont="1" applyFill="1" applyBorder="1" applyAlignment="1">
      <alignment horizontal="left" vertical="top" wrapText="1"/>
    </xf>
    <xf numFmtId="0" fontId="16" fillId="9" borderId="149" xfId="0" applyFont="1" applyFill="1" applyBorder="1" applyAlignment="1">
      <alignment horizontal="left" vertical="top" wrapText="1"/>
    </xf>
    <xf numFmtId="0" fontId="16" fillId="9" borderId="146" xfId="0" applyFont="1" applyFill="1" applyBorder="1" applyAlignment="1">
      <alignment horizontal="left" vertical="top" wrapText="1"/>
    </xf>
    <xf numFmtId="0" fontId="16" fillId="9" borderId="38" xfId="0" applyFont="1" applyFill="1" applyBorder="1" applyAlignment="1">
      <alignment horizontal="left" vertical="top" wrapText="1"/>
    </xf>
    <xf numFmtId="0" fontId="16" fillId="9" borderId="39" xfId="0" applyFont="1" applyFill="1" applyBorder="1" applyAlignment="1">
      <alignment horizontal="left" vertical="top" wrapText="1"/>
    </xf>
    <xf numFmtId="0" fontId="16" fillId="9" borderId="23" xfId="0" applyFont="1" applyFill="1" applyBorder="1" applyAlignment="1">
      <alignment horizontal="left" vertical="top" wrapText="1"/>
    </xf>
    <xf numFmtId="0" fontId="16" fillId="9" borderId="61" xfId="0" applyFont="1" applyFill="1" applyBorder="1" applyAlignment="1">
      <alignment horizontal="left" vertical="top" wrapText="1"/>
    </xf>
    <xf numFmtId="0" fontId="16" fillId="9" borderId="43" xfId="0" applyFont="1" applyFill="1" applyBorder="1"/>
    <xf numFmtId="0" fontId="16" fillId="9" borderId="36" xfId="0" applyFont="1" applyFill="1" applyBorder="1"/>
    <xf numFmtId="0" fontId="16" fillId="11" borderId="143" xfId="0" applyFont="1" applyFill="1" applyBorder="1" applyAlignment="1">
      <alignment vertical="center" wrapText="1"/>
    </xf>
    <xf numFmtId="0" fontId="39" fillId="11" borderId="3" xfId="0" applyFont="1" applyFill="1" applyBorder="1" applyAlignment="1">
      <alignment horizontal="center" vertical="center" wrapText="1"/>
    </xf>
    <xf numFmtId="0" fontId="16" fillId="7" borderId="19" xfId="0" applyFont="1" applyFill="1" applyBorder="1" applyAlignment="1">
      <alignment vertical="center"/>
    </xf>
    <xf numFmtId="0" fontId="16" fillId="7" borderId="22" xfId="0" applyFont="1" applyFill="1" applyBorder="1" applyAlignment="1">
      <alignment vertical="center"/>
    </xf>
    <xf numFmtId="0" fontId="16" fillId="7" borderId="23" xfId="0" applyFont="1" applyFill="1" applyBorder="1" applyAlignment="1">
      <alignment vertical="center"/>
    </xf>
    <xf numFmtId="0" fontId="16" fillId="7" borderId="25" xfId="0" applyFont="1" applyFill="1" applyBorder="1" applyAlignment="1">
      <alignment vertical="center"/>
    </xf>
    <xf numFmtId="0" fontId="16" fillId="7" borderId="28" xfId="0" applyFont="1" applyFill="1" applyBorder="1" applyAlignment="1">
      <alignment vertical="center"/>
    </xf>
    <xf numFmtId="0" fontId="16" fillId="7" borderId="29" xfId="0" applyFont="1" applyFill="1" applyBorder="1" applyAlignment="1">
      <alignment vertical="center"/>
    </xf>
    <xf numFmtId="2" fontId="16" fillId="7" borderId="23" xfId="0" applyNumberFormat="1" applyFont="1" applyFill="1" applyBorder="1" applyAlignment="1">
      <alignment horizontal="center" vertical="center"/>
    </xf>
    <xf numFmtId="2" fontId="16" fillId="7" borderId="25" xfId="0" applyNumberFormat="1" applyFont="1" applyFill="1" applyBorder="1" applyAlignment="1">
      <alignment horizontal="center" vertical="center"/>
    </xf>
    <xf numFmtId="2" fontId="16" fillId="7" borderId="28" xfId="0" applyNumberFormat="1" applyFont="1" applyFill="1" applyBorder="1" applyAlignment="1">
      <alignment horizontal="center" vertical="center"/>
    </xf>
    <xf numFmtId="2" fontId="16" fillId="7" borderId="29" xfId="0" applyNumberFormat="1" applyFont="1" applyFill="1" applyBorder="1" applyAlignment="1">
      <alignment horizontal="center" vertical="center"/>
    </xf>
    <xf numFmtId="0" fontId="16" fillId="9" borderId="59" xfId="0" applyFont="1" applyFill="1" applyBorder="1" applyAlignment="1" applyProtection="1">
      <alignment horizontal="center" vertical="center"/>
      <protection locked="0"/>
    </xf>
    <xf numFmtId="0" fontId="16" fillId="9" borderId="60" xfId="0" applyFont="1" applyFill="1" applyBorder="1" applyAlignment="1" applyProtection="1">
      <alignment horizontal="center" vertical="center"/>
      <protection locked="0"/>
    </xf>
    <xf numFmtId="4" fontId="20" fillId="11" borderId="0" xfId="0" applyNumberFormat="1" applyFont="1" applyFill="1" applyAlignment="1">
      <alignment horizontal="center" vertical="center" wrapText="1"/>
    </xf>
    <xf numFmtId="0" fontId="18" fillId="0" borderId="3" xfId="5" applyFont="1" applyBorder="1" applyAlignment="1" applyProtection="1">
      <alignment horizontal="left" vertical="center"/>
    </xf>
    <xf numFmtId="0" fontId="7" fillId="24" borderId="61" xfId="0" applyFont="1" applyFill="1" applyBorder="1" applyAlignment="1">
      <alignment horizontal="center" vertical="center" wrapText="1"/>
    </xf>
    <xf numFmtId="0" fontId="7" fillId="24" borderId="34" xfId="0" applyFont="1" applyFill="1" applyBorder="1" applyAlignment="1">
      <alignment horizontal="center" vertical="center" wrapText="1"/>
    </xf>
    <xf numFmtId="0" fontId="7" fillId="24" borderId="13" xfId="0" applyFont="1" applyFill="1" applyBorder="1" applyAlignment="1">
      <alignment horizontal="center" vertical="center" wrapText="1"/>
    </xf>
    <xf numFmtId="0" fontId="7" fillId="24" borderId="14" xfId="0" applyFont="1" applyFill="1" applyBorder="1" applyAlignment="1">
      <alignment horizontal="center" vertical="center" wrapText="1"/>
    </xf>
    <xf numFmtId="4" fontId="20" fillId="24" borderId="65" xfId="0" applyNumberFormat="1" applyFont="1" applyFill="1" applyBorder="1" applyAlignment="1">
      <alignment horizontal="center" vertical="center" wrapText="1"/>
    </xf>
    <xf numFmtId="4" fontId="20" fillId="24" borderId="64" xfId="0" applyNumberFormat="1" applyFont="1" applyFill="1" applyBorder="1" applyAlignment="1">
      <alignment horizontal="center" vertical="center" wrapText="1"/>
    </xf>
    <xf numFmtId="4" fontId="20" fillId="24" borderId="62" xfId="0" applyNumberFormat="1" applyFont="1" applyFill="1" applyBorder="1" applyAlignment="1">
      <alignment horizontal="center" vertical="center" wrapText="1"/>
    </xf>
    <xf numFmtId="4" fontId="20" fillId="24" borderId="63" xfId="0" applyNumberFormat="1" applyFont="1" applyFill="1" applyBorder="1" applyAlignment="1">
      <alignment horizontal="center" vertical="center" wrapText="1"/>
    </xf>
    <xf numFmtId="0" fontId="36" fillId="12" borderId="3" xfId="0" applyFont="1" applyFill="1" applyBorder="1" applyAlignment="1">
      <alignment vertical="center"/>
    </xf>
    <xf numFmtId="0" fontId="16" fillId="11" borderId="24" xfId="0" applyFont="1" applyFill="1" applyBorder="1" applyAlignment="1">
      <alignment vertical="center" wrapText="1"/>
    </xf>
    <xf numFmtId="0" fontId="7" fillId="11" borderId="13" xfId="0" applyFont="1" applyFill="1" applyBorder="1" applyAlignment="1">
      <alignment horizontal="center" vertical="center" wrapText="1"/>
    </xf>
    <xf numFmtId="0" fontId="7" fillId="11" borderId="14" xfId="0" applyFont="1" applyFill="1" applyBorder="1" applyAlignment="1">
      <alignment horizontal="center" vertical="center" wrapText="1"/>
    </xf>
    <xf numFmtId="0" fontId="7" fillId="11" borderId="61" xfId="0" applyFont="1" applyFill="1" applyBorder="1" applyAlignment="1">
      <alignment horizontal="center" vertical="center" wrapText="1"/>
    </xf>
    <xf numFmtId="0" fontId="7" fillId="11" borderId="34" xfId="0" applyFont="1" applyFill="1" applyBorder="1" applyAlignment="1">
      <alignment horizontal="center" vertical="center" wrapText="1"/>
    </xf>
    <xf numFmtId="4" fontId="20" fillId="11" borderId="65" xfId="0" applyNumberFormat="1" applyFont="1" applyFill="1" applyBorder="1" applyAlignment="1">
      <alignment horizontal="center" vertical="center" wrapText="1"/>
    </xf>
    <xf numFmtId="4" fontId="20" fillId="11" borderId="64" xfId="0" applyNumberFormat="1" applyFont="1" applyFill="1" applyBorder="1" applyAlignment="1">
      <alignment horizontal="center" vertical="center" wrapText="1"/>
    </xf>
    <xf numFmtId="4" fontId="20" fillId="11" borderId="62" xfId="0" applyNumberFormat="1" applyFont="1" applyFill="1" applyBorder="1" applyAlignment="1">
      <alignment horizontal="center" vertical="center" wrapText="1"/>
    </xf>
    <xf numFmtId="4" fontId="20" fillId="11" borderId="63" xfId="0" applyNumberFormat="1" applyFont="1" applyFill="1" applyBorder="1" applyAlignment="1">
      <alignment horizontal="center" vertical="center" wrapText="1"/>
    </xf>
    <xf numFmtId="0" fontId="64" fillId="24" borderId="110" xfId="0" applyFont="1" applyFill="1" applyBorder="1" applyAlignment="1">
      <alignment horizontal="left" vertical="center"/>
    </xf>
    <xf numFmtId="0" fontId="64" fillId="24" borderId="111" xfId="0" applyFont="1" applyFill="1" applyBorder="1" applyAlignment="1">
      <alignment horizontal="left" vertical="center"/>
    </xf>
    <xf numFmtId="0" fontId="64" fillId="24" borderId="50" xfId="0" applyFont="1" applyFill="1" applyBorder="1" applyAlignment="1">
      <alignment horizontal="left" vertical="center"/>
    </xf>
    <xf numFmtId="0" fontId="16" fillId="0" borderId="0" xfId="0" applyFont="1" applyAlignment="1">
      <alignment horizontal="left" vertical="center" wrapText="1"/>
    </xf>
    <xf numFmtId="0" fontId="64" fillId="11" borderId="110" xfId="0" applyFont="1" applyFill="1" applyBorder="1" applyAlignment="1">
      <alignment horizontal="left" vertical="center"/>
    </xf>
    <xf numFmtId="0" fontId="64" fillId="11" borderId="111" xfId="0" applyFont="1" applyFill="1" applyBorder="1" applyAlignment="1">
      <alignment horizontal="left" vertical="center"/>
    </xf>
    <xf numFmtId="0" fontId="64" fillId="11" borderId="50" xfId="0" applyFont="1" applyFill="1" applyBorder="1" applyAlignment="1">
      <alignment horizontal="left" vertical="center"/>
    </xf>
    <xf numFmtId="167" fontId="16" fillId="7" borderId="19" xfId="0" applyNumberFormat="1" applyFont="1" applyFill="1" applyBorder="1" applyAlignment="1">
      <alignment horizontal="center" vertical="center"/>
    </xf>
    <xf numFmtId="167" fontId="16" fillId="7" borderId="22" xfId="0" applyNumberFormat="1" applyFont="1" applyFill="1" applyBorder="1" applyAlignment="1">
      <alignment horizontal="center" vertical="center"/>
    </xf>
    <xf numFmtId="0" fontId="41" fillId="12" borderId="19" xfId="0" applyFont="1" applyFill="1" applyBorder="1" applyAlignment="1">
      <alignment horizontal="center" vertical="center"/>
    </xf>
    <xf numFmtId="0" fontId="41" fillId="12" borderId="22" xfId="0" applyFont="1" applyFill="1" applyBorder="1" applyAlignment="1">
      <alignment horizontal="center" vertical="center"/>
    </xf>
    <xf numFmtId="2" fontId="16" fillId="7" borderId="19" xfId="0" applyNumberFormat="1" applyFont="1" applyFill="1" applyBorder="1" applyAlignment="1">
      <alignment horizontal="center" vertical="center"/>
    </xf>
    <xf numFmtId="2" fontId="16" fillId="7" borderId="22" xfId="0" applyNumberFormat="1" applyFont="1" applyFill="1" applyBorder="1" applyAlignment="1">
      <alignment horizontal="center" vertical="center"/>
    </xf>
    <xf numFmtId="0" fontId="16" fillId="7" borderId="19" xfId="0" applyFont="1" applyFill="1" applyBorder="1" applyAlignment="1">
      <alignment horizontal="center" vertical="center"/>
    </xf>
    <xf numFmtId="0" fontId="16" fillId="7" borderId="22" xfId="0" applyFont="1" applyFill="1" applyBorder="1" applyAlignment="1">
      <alignment horizontal="center" vertical="center"/>
    </xf>
    <xf numFmtId="0" fontId="16" fillId="11" borderId="26" xfId="0" applyFont="1" applyFill="1" applyBorder="1" applyAlignment="1">
      <alignment vertical="center"/>
    </xf>
    <xf numFmtId="0" fontId="16" fillId="11" borderId="0" xfId="0" applyFont="1" applyFill="1" applyAlignment="1">
      <alignment horizontal="left" vertical="center" wrapText="1"/>
    </xf>
    <xf numFmtId="0" fontId="36" fillId="12" borderId="3" xfId="0" applyFont="1" applyFill="1" applyBorder="1" applyAlignment="1">
      <alignment horizontal="left" vertical="center"/>
    </xf>
    <xf numFmtId="0" fontId="16" fillId="11" borderId="19" xfId="0" applyFont="1" applyFill="1" applyBorder="1" applyAlignment="1">
      <alignment horizontal="center" vertical="center"/>
    </xf>
    <xf numFmtId="0" fontId="16" fillId="11" borderId="20" xfId="0" applyFont="1" applyFill="1" applyBorder="1" applyAlignment="1">
      <alignment horizontal="center" vertical="center"/>
    </xf>
    <xf numFmtId="0" fontId="16" fillId="11" borderId="22" xfId="0" applyFont="1" applyFill="1" applyBorder="1" applyAlignment="1">
      <alignment horizontal="center" vertical="center"/>
    </xf>
    <xf numFmtId="0" fontId="16" fillId="11" borderId="143" xfId="0" applyFont="1" applyFill="1" applyBorder="1" applyAlignment="1">
      <alignment horizontal="left" vertical="center" wrapText="1"/>
    </xf>
    <xf numFmtId="0" fontId="42" fillId="12" borderId="19" xfId="0" applyFont="1" applyFill="1" applyBorder="1" applyAlignment="1">
      <alignment horizontal="center" vertical="center"/>
    </xf>
    <xf numFmtId="0" fontId="42" fillId="12" borderId="20" xfId="0" applyFont="1" applyFill="1" applyBorder="1" applyAlignment="1">
      <alignment horizontal="center" vertical="center"/>
    </xf>
    <xf numFmtId="0" fontId="16" fillId="11" borderId="24" xfId="0" applyFont="1" applyFill="1" applyBorder="1" applyAlignment="1">
      <alignment horizontal="left" vertical="center" wrapText="1"/>
    </xf>
    <xf numFmtId="0" fontId="16" fillId="11" borderId="3" xfId="0" applyFont="1" applyFill="1" applyBorder="1" applyAlignment="1">
      <alignment horizontal="left" vertical="center"/>
    </xf>
    <xf numFmtId="0" fontId="41" fillId="3" borderId="19" xfId="0" applyFont="1" applyFill="1" applyBorder="1" applyAlignment="1">
      <alignment horizontal="left" vertical="center"/>
    </xf>
    <xf numFmtId="0" fontId="41" fillId="3" borderId="20" xfId="0" applyFont="1" applyFill="1" applyBorder="1" applyAlignment="1">
      <alignment horizontal="left" vertical="center"/>
    </xf>
    <xf numFmtId="0" fontId="16" fillId="11" borderId="116" xfId="0" applyFont="1" applyFill="1" applyBorder="1" applyAlignment="1">
      <alignment horizontal="left" vertical="center" wrapText="1"/>
    </xf>
    <xf numFmtId="0" fontId="16" fillId="11" borderId="132" xfId="0" applyFont="1" applyFill="1" applyBorder="1" applyAlignment="1">
      <alignment horizontal="left" vertical="center" wrapText="1"/>
    </xf>
    <xf numFmtId="0" fontId="16" fillId="11" borderId="0" xfId="0" applyFont="1" applyFill="1" applyAlignment="1">
      <alignment horizontal="left" vertical="center"/>
    </xf>
    <xf numFmtId="0" fontId="16" fillId="11" borderId="110" xfId="0" applyFont="1" applyFill="1" applyBorder="1" applyAlignment="1">
      <alignment horizontal="center" vertical="center"/>
    </xf>
    <xf numFmtId="0" fontId="16" fillId="11" borderId="111" xfId="0" applyFont="1" applyFill="1" applyBorder="1" applyAlignment="1">
      <alignment horizontal="center" vertical="center"/>
    </xf>
    <xf numFmtId="0" fontId="16" fillId="11" borderId="50" xfId="0" applyFont="1" applyFill="1" applyBorder="1" applyAlignment="1">
      <alignment horizontal="center" vertical="center"/>
    </xf>
    <xf numFmtId="0" fontId="16" fillId="11" borderId="115" xfId="0" applyFont="1" applyFill="1" applyBorder="1" applyAlignment="1">
      <alignment horizontal="center" vertical="center"/>
    </xf>
    <xf numFmtId="0" fontId="16" fillId="11" borderId="116" xfId="0" applyFont="1" applyFill="1" applyBorder="1" applyAlignment="1">
      <alignment horizontal="center" vertical="center"/>
    </xf>
    <xf numFmtId="0" fontId="16" fillId="11" borderId="52" xfId="0" applyFont="1" applyFill="1" applyBorder="1" applyAlignment="1">
      <alignment horizontal="center" vertical="center"/>
    </xf>
    <xf numFmtId="0" fontId="46" fillId="11" borderId="24" xfId="5" applyFont="1" applyFill="1" applyBorder="1" applyAlignment="1" applyProtection="1">
      <alignment horizontal="left" vertical="center"/>
    </xf>
    <xf numFmtId="0" fontId="8" fillId="7" borderId="23"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8" fillId="7" borderId="26"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27"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16" fillId="11" borderId="23" xfId="0" applyFont="1" applyFill="1" applyBorder="1" applyAlignment="1">
      <alignment horizontal="center" vertical="center" wrapText="1"/>
    </xf>
    <xf numFmtId="0" fontId="16" fillId="11" borderId="24" xfId="0" applyFont="1" applyFill="1" applyBorder="1" applyAlignment="1">
      <alignment horizontal="center" vertical="center" wrapText="1"/>
    </xf>
    <xf numFmtId="0" fontId="16" fillId="11" borderId="25" xfId="0" applyFont="1" applyFill="1" applyBorder="1" applyAlignment="1">
      <alignment horizontal="center" vertical="center" wrapText="1"/>
    </xf>
    <xf numFmtId="0" fontId="16" fillId="11" borderId="26" xfId="0" applyFont="1" applyFill="1" applyBorder="1" applyAlignment="1">
      <alignment horizontal="center" vertical="center" wrapText="1"/>
    </xf>
    <xf numFmtId="0" fontId="16" fillId="11" borderId="0" xfId="0" applyFont="1" applyFill="1" applyAlignment="1">
      <alignment horizontal="center" vertical="center" wrapText="1"/>
    </xf>
    <xf numFmtId="0" fontId="16" fillId="11" borderId="27" xfId="0" applyFont="1" applyFill="1" applyBorder="1" applyAlignment="1">
      <alignment horizontal="center" vertical="center" wrapText="1"/>
    </xf>
    <xf numFmtId="0" fontId="16" fillId="11" borderId="28" xfId="0" applyFont="1" applyFill="1" applyBorder="1" applyAlignment="1">
      <alignment horizontal="center" vertical="center" wrapText="1"/>
    </xf>
    <xf numFmtId="0" fontId="16" fillId="11" borderId="3" xfId="0" applyFont="1" applyFill="1" applyBorder="1" applyAlignment="1">
      <alignment horizontal="center" vertical="center" wrapText="1"/>
    </xf>
    <xf numFmtId="0" fontId="16" fillId="11" borderId="29" xfId="0" applyFont="1" applyFill="1" applyBorder="1" applyAlignment="1">
      <alignment horizontal="center" vertical="center" wrapText="1"/>
    </xf>
    <xf numFmtId="0" fontId="16" fillId="11" borderId="151" xfId="0" applyFont="1" applyFill="1" applyBorder="1" applyAlignment="1">
      <alignment vertical="center"/>
    </xf>
    <xf numFmtId="0" fontId="16" fillId="11" borderId="67" xfId="0" applyFont="1" applyFill="1" applyBorder="1" applyAlignment="1">
      <alignment vertical="center"/>
    </xf>
    <xf numFmtId="0" fontId="16" fillId="11" borderId="87" xfId="0" applyFont="1" applyFill="1" applyBorder="1" applyAlignment="1">
      <alignment vertical="center"/>
    </xf>
    <xf numFmtId="0" fontId="16" fillId="11" borderId="26" xfId="0" applyFont="1" applyFill="1" applyBorder="1" applyAlignment="1">
      <alignment horizontal="center" vertical="center"/>
    </xf>
    <xf numFmtId="0" fontId="16" fillId="11" borderId="168" xfId="0" applyFont="1" applyFill="1" applyBorder="1" applyAlignment="1">
      <alignment horizontal="center" vertical="center"/>
    </xf>
    <xf numFmtId="0" fontId="16" fillId="11" borderId="28" xfId="0" applyFont="1" applyFill="1" applyBorder="1" applyAlignment="1">
      <alignment horizontal="center" vertical="center"/>
    </xf>
    <xf numFmtId="0" fontId="16" fillId="11" borderId="169" xfId="0" applyFont="1" applyFill="1" applyBorder="1" applyAlignment="1">
      <alignment horizontal="center" vertical="center"/>
    </xf>
    <xf numFmtId="0" fontId="7" fillId="11" borderId="20" xfId="0" applyFont="1" applyFill="1" applyBorder="1" applyAlignment="1">
      <alignment horizontal="center" vertical="center" wrapText="1"/>
    </xf>
    <xf numFmtId="0" fontId="16" fillId="11" borderId="150" xfId="0" applyFont="1" applyFill="1" applyBorder="1" applyAlignment="1">
      <alignment vertical="center"/>
    </xf>
    <xf numFmtId="0" fontId="47" fillId="11" borderId="0" xfId="5" applyFont="1" applyFill="1" applyBorder="1" applyAlignment="1" applyProtection="1">
      <alignment horizontal="left" vertical="center" wrapText="1"/>
    </xf>
    <xf numFmtId="0" fontId="38" fillId="11" borderId="110" xfId="0" applyFont="1" applyFill="1" applyBorder="1" applyAlignment="1">
      <alignment horizontal="left" vertical="center" wrapText="1"/>
    </xf>
    <xf numFmtId="0" fontId="38" fillId="11" borderId="111" xfId="0" applyFont="1" applyFill="1" applyBorder="1" applyAlignment="1">
      <alignment horizontal="left" vertical="center" wrapText="1"/>
    </xf>
    <xf numFmtId="0" fontId="38" fillId="11" borderId="50" xfId="0" applyFont="1" applyFill="1" applyBorder="1" applyAlignment="1">
      <alignment horizontal="left" vertical="center" wrapText="1"/>
    </xf>
    <xf numFmtId="0" fontId="16" fillId="7" borderId="20" xfId="0" applyFont="1" applyFill="1" applyBorder="1" applyAlignment="1">
      <alignment vertical="center"/>
    </xf>
    <xf numFmtId="176" fontId="16" fillId="7" borderId="19" xfId="0" applyNumberFormat="1" applyFont="1" applyFill="1" applyBorder="1" applyAlignment="1">
      <alignment horizontal="center" vertical="center"/>
    </xf>
    <xf numFmtId="176" fontId="16" fillId="7" borderId="22" xfId="0" applyNumberFormat="1" applyFont="1" applyFill="1" applyBorder="1" applyAlignment="1">
      <alignment horizontal="center" vertical="center"/>
    </xf>
    <xf numFmtId="2" fontId="16" fillId="0" borderId="19" xfId="0" applyNumberFormat="1" applyFont="1" applyBorder="1" applyAlignment="1" applyProtection="1">
      <alignment horizontal="center" vertical="center"/>
      <protection locked="0"/>
    </xf>
    <xf numFmtId="2" fontId="16" fillId="0" borderId="22" xfId="0" applyNumberFormat="1" applyFont="1" applyBorder="1" applyAlignment="1" applyProtection="1">
      <alignment horizontal="center" vertical="center"/>
      <protection locked="0"/>
    </xf>
    <xf numFmtId="2" fontId="8" fillId="0" borderId="24" xfId="0" applyNumberFormat="1" applyFont="1" applyBorder="1" applyAlignment="1">
      <alignment vertical="center"/>
    </xf>
    <xf numFmtId="2" fontId="64" fillId="24" borderId="110" xfId="0" applyNumberFormat="1" applyFont="1" applyFill="1" applyBorder="1" applyAlignment="1">
      <alignment horizontal="left" vertical="center"/>
    </xf>
    <xf numFmtId="2" fontId="64" fillId="24" borderId="111" xfId="0" applyNumberFormat="1" applyFont="1" applyFill="1" applyBorder="1" applyAlignment="1">
      <alignment horizontal="left" vertical="center"/>
    </xf>
    <xf numFmtId="2" fontId="64" fillId="24" borderId="50" xfId="0" applyNumberFormat="1" applyFont="1" applyFill="1" applyBorder="1" applyAlignment="1">
      <alignment horizontal="left" vertical="center"/>
    </xf>
    <xf numFmtId="0" fontId="47" fillId="11" borderId="27" xfId="5" applyFont="1" applyFill="1" applyBorder="1" applyAlignment="1" applyProtection="1">
      <alignment horizontal="left" vertical="center" wrapText="1"/>
    </xf>
    <xf numFmtId="2" fontId="64" fillId="11" borderId="110" xfId="0" applyNumberFormat="1" applyFont="1" applyFill="1" applyBorder="1" applyAlignment="1">
      <alignment horizontal="left" vertical="center" wrapText="1"/>
    </xf>
    <xf numFmtId="2" fontId="64" fillId="11" borderId="111" xfId="0" applyNumberFormat="1" applyFont="1" applyFill="1" applyBorder="1" applyAlignment="1">
      <alignment horizontal="left" vertical="center" wrapText="1"/>
    </xf>
    <xf numFmtId="2" fontId="64" fillId="11" borderId="50" xfId="0" applyNumberFormat="1" applyFont="1" applyFill="1" applyBorder="1" applyAlignment="1">
      <alignment horizontal="left" vertical="center" wrapText="1"/>
    </xf>
    <xf numFmtId="175" fontId="47" fillId="11" borderId="3" xfId="0" applyNumberFormat="1" applyFont="1" applyFill="1" applyBorder="1" applyAlignment="1">
      <alignment horizontal="left" vertical="center" wrapText="1"/>
    </xf>
    <xf numFmtId="4" fontId="16" fillId="0" borderId="127" xfId="0" applyNumberFormat="1" applyFont="1" applyBorder="1" applyAlignment="1">
      <alignment horizontal="center" vertical="center" wrapText="1"/>
    </xf>
    <xf numFmtId="4" fontId="16" fillId="0" borderId="201" xfId="0" applyNumberFormat="1" applyFont="1" applyBorder="1" applyAlignment="1">
      <alignment horizontal="center" vertical="center" wrapText="1"/>
    </xf>
    <xf numFmtId="4" fontId="16" fillId="0" borderId="148" xfId="0" applyNumberFormat="1" applyFont="1" applyBorder="1" applyAlignment="1">
      <alignment horizontal="center" vertical="center" wrapText="1"/>
    </xf>
    <xf numFmtId="4" fontId="16" fillId="0" borderId="129" xfId="0" applyNumberFormat="1" applyFont="1" applyBorder="1" applyAlignment="1">
      <alignment horizontal="center" vertical="center" wrapText="1"/>
    </xf>
    <xf numFmtId="4" fontId="16" fillId="0" borderId="207" xfId="0" applyNumberFormat="1" applyFont="1" applyBorder="1" applyAlignment="1">
      <alignment horizontal="center" vertical="center" wrapText="1"/>
    </xf>
    <xf numFmtId="4" fontId="16" fillId="0" borderId="154" xfId="0" applyNumberFormat="1" applyFont="1" applyBorder="1" applyAlignment="1">
      <alignment horizontal="center" vertical="center" wrapText="1"/>
    </xf>
    <xf numFmtId="4" fontId="16" fillId="0" borderId="190" xfId="0" applyNumberFormat="1" applyFont="1" applyBorder="1" applyAlignment="1">
      <alignment horizontal="center" vertical="center" wrapText="1"/>
    </xf>
    <xf numFmtId="4" fontId="16" fillId="0" borderId="72" xfId="0" applyNumberFormat="1" applyFont="1" applyBorder="1" applyAlignment="1">
      <alignment horizontal="center" vertical="center" wrapText="1"/>
    </xf>
    <xf numFmtId="4" fontId="16" fillId="0" borderId="181" xfId="0" applyNumberFormat="1" applyFont="1" applyBorder="1" applyAlignment="1">
      <alignment horizontal="center" vertical="center" wrapText="1"/>
    </xf>
    <xf numFmtId="0" fontId="16" fillId="0" borderId="190" xfId="0" applyFont="1" applyBorder="1" applyAlignment="1">
      <alignment horizontal="center" vertical="center" wrapText="1"/>
    </xf>
    <xf numFmtId="0" fontId="16" fillId="0" borderId="72" xfId="0" applyFont="1" applyBorder="1" applyAlignment="1">
      <alignment horizontal="center" vertical="center" wrapText="1"/>
    </xf>
    <xf numFmtId="0" fontId="16" fillId="0" borderId="181" xfId="0" applyFont="1" applyBorder="1" applyAlignment="1">
      <alignment horizontal="center" vertical="center" wrapText="1"/>
    </xf>
    <xf numFmtId="4" fontId="16" fillId="0" borderId="126" xfId="0" applyNumberFormat="1" applyFont="1" applyBorder="1" applyAlignment="1">
      <alignment horizontal="center" vertical="center" wrapText="1"/>
    </xf>
    <xf numFmtId="4" fontId="16" fillId="0" borderId="206" xfId="0" applyNumberFormat="1" applyFont="1" applyBorder="1" applyAlignment="1">
      <alignment horizontal="center" vertical="center" wrapText="1"/>
    </xf>
    <xf numFmtId="4" fontId="16" fillId="0" borderId="144" xfId="0" applyNumberFormat="1" applyFont="1" applyBorder="1" applyAlignment="1">
      <alignment horizontal="center" vertical="center" wrapText="1"/>
    </xf>
    <xf numFmtId="0" fontId="30" fillId="11" borderId="0" xfId="0" applyFont="1" applyFill="1" applyAlignment="1">
      <alignment horizontal="right" vertical="center" wrapText="1"/>
    </xf>
    <xf numFmtId="0" fontId="30" fillId="11" borderId="0" xfId="0" applyFont="1" applyFill="1" applyAlignment="1">
      <alignment horizontal="right" vertical="center"/>
    </xf>
    <xf numFmtId="0" fontId="30" fillId="11" borderId="85" xfId="0" applyFont="1" applyFill="1" applyBorder="1" applyAlignment="1">
      <alignment horizontal="right" vertical="center"/>
    </xf>
    <xf numFmtId="0" fontId="47" fillId="11" borderId="68" xfId="5" applyFont="1" applyFill="1" applyBorder="1" applyAlignment="1" applyProtection="1">
      <alignment horizontal="left" vertical="center" wrapText="1"/>
    </xf>
    <xf numFmtId="175" fontId="61" fillId="3" borderId="19" xfId="0" applyNumberFormat="1" applyFont="1" applyFill="1" applyBorder="1" applyAlignment="1">
      <alignment horizontal="left" vertical="center"/>
    </xf>
    <xf numFmtId="175" fontId="61" fillId="3" borderId="20" xfId="0" applyNumberFormat="1" applyFont="1" applyFill="1" applyBorder="1" applyAlignment="1">
      <alignment horizontal="left" vertical="center"/>
    </xf>
    <xf numFmtId="0" fontId="83" fillId="11" borderId="0" xfId="5" applyFont="1" applyFill="1" applyBorder="1" applyAlignment="1" applyProtection="1">
      <alignment horizontal="left" vertical="center" wrapText="1"/>
    </xf>
    <xf numFmtId="0" fontId="39" fillId="11" borderId="20" xfId="0" applyFont="1" applyFill="1" applyBorder="1" applyAlignment="1">
      <alignment horizontal="center" vertical="center" wrapText="1"/>
    </xf>
    <xf numFmtId="0" fontId="34" fillId="0" borderId="3" xfId="0" applyFont="1" applyBorder="1" applyAlignment="1">
      <alignment horizontal="left" vertical="center" wrapText="1"/>
    </xf>
    <xf numFmtId="0" fontId="16" fillId="11" borderId="1" xfId="0" applyFont="1" applyFill="1" applyBorder="1" applyAlignment="1">
      <alignment vertical="center"/>
    </xf>
    <xf numFmtId="175" fontId="47" fillId="11" borderId="116" xfId="0" applyNumberFormat="1" applyFont="1" applyFill="1" applyBorder="1" applyAlignment="1">
      <alignment horizontal="left" vertical="center" wrapText="1"/>
    </xf>
    <xf numFmtId="0" fontId="16" fillId="9" borderId="19" xfId="0" applyFont="1" applyFill="1" applyBorder="1" applyAlignment="1" applyProtection="1">
      <alignment horizontal="center" vertical="center"/>
      <protection locked="0"/>
    </xf>
    <xf numFmtId="0" fontId="16" fillId="9" borderId="22" xfId="0" applyFont="1" applyFill="1" applyBorder="1" applyAlignment="1" applyProtection="1">
      <alignment horizontal="center" vertical="center"/>
      <protection locked="0"/>
    </xf>
    <xf numFmtId="0" fontId="29" fillId="0" borderId="0" xfId="0" applyFont="1" applyAlignment="1">
      <alignment vertical="center"/>
    </xf>
    <xf numFmtId="175" fontId="47" fillId="11" borderId="0" xfId="0" applyNumberFormat="1" applyFont="1" applyFill="1" applyAlignment="1">
      <alignment horizontal="left" vertical="center" wrapText="1"/>
    </xf>
    <xf numFmtId="0" fontId="47" fillId="11" borderId="113" xfId="5" applyFont="1" applyFill="1" applyBorder="1" applyAlignment="1" applyProtection="1">
      <alignment horizontal="left" vertical="center" wrapText="1"/>
    </xf>
    <xf numFmtId="175" fontId="47" fillId="11" borderId="24" xfId="0" applyNumberFormat="1" applyFont="1" applyFill="1" applyBorder="1" applyAlignment="1">
      <alignment horizontal="right" vertical="center"/>
    </xf>
    <xf numFmtId="175" fontId="47" fillId="11" borderId="0" xfId="0" applyNumberFormat="1" applyFont="1" applyFill="1" applyAlignment="1">
      <alignment horizontal="right" vertical="center"/>
    </xf>
    <xf numFmtId="0" fontId="47" fillId="11" borderId="24" xfId="5" applyFont="1" applyFill="1" applyBorder="1" applyAlignment="1" applyProtection="1">
      <alignment horizontal="left" vertical="center" wrapText="1"/>
    </xf>
    <xf numFmtId="0" fontId="47" fillId="11" borderId="24" xfId="5" applyFont="1" applyFill="1" applyBorder="1" applyAlignment="1" applyProtection="1">
      <alignment horizontal="left" wrapText="1"/>
    </xf>
    <xf numFmtId="0" fontId="42" fillId="11" borderId="26" xfId="0" applyFont="1" applyFill="1" applyBorder="1" applyAlignment="1">
      <alignment horizontal="center" vertical="center"/>
    </xf>
    <xf numFmtId="0" fontId="42" fillId="11" borderId="0" xfId="0" applyFont="1" applyFill="1" applyAlignment="1">
      <alignment horizontal="center" vertical="center"/>
    </xf>
    <xf numFmtId="0" fontId="47" fillId="11" borderId="0" xfId="5" applyFont="1" applyFill="1" applyBorder="1" applyAlignment="1" applyProtection="1">
      <alignment horizontal="left" wrapText="1"/>
    </xf>
    <xf numFmtId="0" fontId="42" fillId="11" borderId="26" xfId="0" applyFont="1" applyFill="1" applyBorder="1" applyAlignment="1">
      <alignment horizontal="center" vertical="center" wrapText="1"/>
    </xf>
    <xf numFmtId="0" fontId="42" fillId="11" borderId="0" xfId="0" applyFont="1" applyFill="1" applyAlignment="1">
      <alignment horizontal="center" vertical="center" wrapText="1"/>
    </xf>
    <xf numFmtId="0" fontId="16" fillId="11" borderId="111" xfId="0" applyFont="1" applyFill="1" applyBorder="1" applyAlignment="1">
      <alignment vertical="center" wrapText="1"/>
    </xf>
    <xf numFmtId="0" fontId="16" fillId="11" borderId="0" xfId="0" applyFont="1" applyFill="1" applyAlignment="1">
      <alignment horizontal="center" vertical="center"/>
    </xf>
    <xf numFmtId="0" fontId="16" fillId="11" borderId="130" xfId="0" applyFont="1" applyFill="1" applyBorder="1" applyAlignment="1">
      <alignment vertical="center"/>
    </xf>
    <xf numFmtId="0" fontId="16" fillId="11" borderId="71" xfId="0" applyFont="1" applyFill="1" applyBorder="1" applyAlignment="1">
      <alignment vertical="center"/>
    </xf>
    <xf numFmtId="0" fontId="16" fillId="11" borderId="4" xfId="0" applyFont="1" applyFill="1" applyBorder="1" applyAlignment="1">
      <alignment vertical="center"/>
    </xf>
    <xf numFmtId="0" fontId="83" fillId="11" borderId="132" xfId="5" applyFont="1" applyFill="1" applyBorder="1" applyAlignment="1" applyProtection="1">
      <alignment horizontal="left" vertical="center" wrapText="1"/>
    </xf>
    <xf numFmtId="0" fontId="16" fillId="11" borderId="132" xfId="0" applyFont="1" applyFill="1" applyBorder="1"/>
    <xf numFmtId="175" fontId="47" fillId="11" borderId="132" xfId="0" applyNumberFormat="1" applyFont="1" applyFill="1" applyBorder="1" applyAlignment="1">
      <alignment horizontal="right" vertical="center"/>
    </xf>
    <xf numFmtId="0" fontId="47" fillId="11" borderId="132" xfId="5" applyFont="1" applyFill="1" applyBorder="1" applyAlignment="1" applyProtection="1">
      <alignment horizontal="left" vertical="center" wrapText="1"/>
    </xf>
    <xf numFmtId="0" fontId="47" fillId="11" borderId="132" xfId="5" applyFont="1" applyFill="1" applyBorder="1" applyAlignment="1" applyProtection="1">
      <alignment horizontal="left" wrapText="1"/>
    </xf>
    <xf numFmtId="0" fontId="7" fillId="11" borderId="31" xfId="0" applyFont="1" applyFill="1" applyBorder="1" applyAlignment="1">
      <alignment horizontal="center" vertical="center" wrapText="1"/>
    </xf>
    <xf numFmtId="0" fontId="7" fillId="11" borderId="32" xfId="0" applyFont="1" applyFill="1" applyBorder="1" applyAlignment="1">
      <alignment horizontal="center" vertical="center" wrapText="1"/>
    </xf>
    <xf numFmtId="0" fontId="7" fillId="11" borderId="12" xfId="0" applyFont="1" applyFill="1" applyBorder="1" applyAlignment="1">
      <alignment horizontal="center" vertical="center" wrapText="1"/>
    </xf>
    <xf numFmtId="0" fontId="7" fillId="11" borderId="15" xfId="0" applyFont="1" applyFill="1" applyBorder="1" applyAlignment="1">
      <alignment horizontal="center" vertical="center" wrapText="1"/>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7" fillId="11" borderId="15" xfId="0" applyFont="1" applyFill="1" applyBorder="1" applyAlignment="1">
      <alignment horizontal="center" vertical="center"/>
    </xf>
    <xf numFmtId="0" fontId="47" fillId="11" borderId="143" xfId="5" applyFont="1" applyFill="1" applyBorder="1" applyAlignment="1" applyProtection="1">
      <alignment horizontal="left" vertical="center" wrapText="1"/>
    </xf>
    <xf numFmtId="0" fontId="7" fillId="24" borderId="31" xfId="0" applyFont="1" applyFill="1" applyBorder="1" applyAlignment="1">
      <alignment horizontal="center" vertical="center" wrapText="1"/>
    </xf>
    <xf numFmtId="0" fontId="7" fillId="24" borderId="32" xfId="0" applyFont="1" applyFill="1" applyBorder="1" applyAlignment="1">
      <alignment horizontal="center" vertical="center" wrapText="1"/>
    </xf>
    <xf numFmtId="0" fontId="7" fillId="24" borderId="12" xfId="0" applyFont="1" applyFill="1" applyBorder="1" applyAlignment="1">
      <alignment horizontal="center" vertical="center"/>
    </xf>
    <xf numFmtId="0" fontId="7" fillId="24" borderId="15" xfId="0" applyFont="1" applyFill="1" applyBorder="1" applyAlignment="1">
      <alignment horizontal="center" vertical="center"/>
    </xf>
    <xf numFmtId="0" fontId="7" fillId="24" borderId="12" xfId="0" applyFont="1" applyFill="1" applyBorder="1" applyAlignment="1">
      <alignment horizontal="center" vertical="center" wrapText="1"/>
    </xf>
    <xf numFmtId="0" fontId="7" fillId="24" borderId="15" xfId="0" applyFont="1" applyFill="1" applyBorder="1" applyAlignment="1">
      <alignment horizontal="center" vertical="center" wrapText="1"/>
    </xf>
    <xf numFmtId="0" fontId="7" fillId="24" borderId="13" xfId="0" applyFont="1" applyFill="1" applyBorder="1" applyAlignment="1">
      <alignment horizontal="center" vertical="center"/>
    </xf>
    <xf numFmtId="0" fontId="7" fillId="24" borderId="14" xfId="0" applyFont="1" applyFill="1" applyBorder="1" applyAlignment="1">
      <alignment horizontal="center" vertical="center"/>
    </xf>
    <xf numFmtId="0" fontId="34" fillId="0" borderId="3" xfId="0" applyFont="1" applyBorder="1"/>
    <xf numFmtId="0" fontId="8" fillId="0" borderId="24" xfId="0" applyFont="1" applyBorder="1"/>
    <xf numFmtId="0" fontId="21" fillId="11" borderId="68" xfId="5" applyFont="1" applyFill="1" applyBorder="1" applyAlignment="1" applyProtection="1">
      <alignment horizontal="center" vertical="center"/>
    </xf>
    <xf numFmtId="0" fontId="60" fillId="0" borderId="0" xfId="5" applyFont="1" applyBorder="1" applyAlignment="1" applyProtection="1">
      <alignment vertical="center" wrapText="1"/>
    </xf>
    <xf numFmtId="49" fontId="16" fillId="0" borderId="12" xfId="0" applyNumberFormat="1" applyFont="1" applyBorder="1" applyAlignment="1">
      <alignment horizontal="center" vertical="center" wrapText="1"/>
    </xf>
    <xf numFmtId="49" fontId="16" fillId="0" borderId="201" xfId="0" applyNumberFormat="1" applyFont="1" applyBorder="1" applyAlignment="1">
      <alignment horizontal="center" vertical="center" wrapText="1"/>
    </xf>
    <xf numFmtId="49" fontId="16" fillId="0" borderId="148" xfId="0" applyNumberFormat="1" applyFont="1" applyBorder="1" applyAlignment="1">
      <alignment horizontal="center" vertical="center" wrapText="1"/>
    </xf>
    <xf numFmtId="3" fontId="16" fillId="0" borderId="12" xfId="0" quotePrefix="1" applyNumberFormat="1" applyFont="1" applyBorder="1" applyAlignment="1">
      <alignment horizontal="center" vertical="center" wrapText="1"/>
    </xf>
    <xf numFmtId="3" fontId="16" fillId="0" borderId="201" xfId="0" quotePrefix="1" applyNumberFormat="1" applyFont="1" applyBorder="1" applyAlignment="1">
      <alignment horizontal="center" vertical="center" wrapText="1"/>
    </xf>
    <xf numFmtId="3" fontId="16" fillId="0" borderId="148" xfId="0" quotePrefix="1" applyNumberFormat="1" applyFont="1" applyBorder="1" applyAlignment="1">
      <alignment horizontal="center" vertical="center" wrapText="1"/>
    </xf>
    <xf numFmtId="3" fontId="16" fillId="0" borderId="12" xfId="0" applyNumberFormat="1" applyFont="1" applyBorder="1" applyAlignment="1">
      <alignment horizontal="center" vertical="center"/>
    </xf>
    <xf numFmtId="3" fontId="16" fillId="0" borderId="201" xfId="0" applyNumberFormat="1" applyFont="1" applyBorder="1" applyAlignment="1">
      <alignment horizontal="center" vertical="center"/>
    </xf>
    <xf numFmtId="3" fontId="16" fillId="0" borderId="148" xfId="0" applyNumberFormat="1" applyFont="1" applyBorder="1" applyAlignment="1">
      <alignment horizontal="center" vertical="center"/>
    </xf>
    <xf numFmtId="0" fontId="7" fillId="24" borderId="13" xfId="0" applyFont="1" applyFill="1" applyBorder="1" applyAlignment="1" applyProtection="1">
      <alignment horizontal="center" vertical="center"/>
      <protection locked="0"/>
    </xf>
    <xf numFmtId="0" fontId="7" fillId="24" borderId="14" xfId="0" applyFont="1" applyFill="1" applyBorder="1" applyAlignment="1" applyProtection="1">
      <alignment horizontal="center" vertical="center"/>
      <protection locked="0"/>
    </xf>
    <xf numFmtId="0" fontId="7" fillId="24" borderId="12" xfId="0" applyFont="1" applyFill="1" applyBorder="1" applyAlignment="1" applyProtection="1">
      <alignment horizontal="center" vertical="center"/>
      <protection locked="0"/>
    </xf>
    <xf numFmtId="0" fontId="7" fillId="24" borderId="15" xfId="0" applyFont="1" applyFill="1" applyBorder="1" applyAlignment="1" applyProtection="1">
      <alignment horizontal="center" vertical="center"/>
      <protection locked="0"/>
    </xf>
    <xf numFmtId="0" fontId="7" fillId="24" borderId="12" xfId="0" applyFont="1" applyFill="1" applyBorder="1" applyAlignment="1" applyProtection="1">
      <alignment horizontal="center" vertical="center" wrapText="1"/>
      <protection locked="0"/>
    </xf>
    <xf numFmtId="0" fontId="7" fillId="24" borderId="15" xfId="0" applyFont="1" applyFill="1" applyBorder="1" applyAlignment="1" applyProtection="1">
      <alignment horizontal="center" vertical="center" wrapText="1"/>
      <protection locked="0"/>
    </xf>
    <xf numFmtId="0" fontId="7" fillId="24" borderId="61" xfId="0" applyFont="1" applyFill="1" applyBorder="1" applyAlignment="1" applyProtection="1">
      <alignment horizontal="center" vertical="center" wrapText="1"/>
      <protection locked="0"/>
    </xf>
    <xf numFmtId="0" fontId="7" fillId="24" borderId="34" xfId="0" applyFont="1" applyFill="1" applyBorder="1" applyAlignment="1" applyProtection="1">
      <alignment horizontal="center" vertical="center" wrapText="1"/>
      <protection locked="0"/>
    </xf>
    <xf numFmtId="0" fontId="34" fillId="0" borderId="3" xfId="0" applyFont="1" applyBorder="1" applyAlignment="1">
      <alignment vertical="center"/>
    </xf>
    <xf numFmtId="0" fontId="12" fillId="8" borderId="62" xfId="0" applyFont="1" applyFill="1" applyBorder="1" applyAlignment="1">
      <alignment horizontal="center" vertical="center" wrapText="1"/>
    </xf>
    <xf numFmtId="0" fontId="12" fillId="8" borderId="137"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13" xfId="0" applyFont="1" applyFill="1" applyBorder="1" applyAlignment="1">
      <alignment horizontal="center" vertical="center" wrapText="1"/>
    </xf>
    <xf numFmtId="0" fontId="12" fillId="8" borderId="58"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0" xfId="0" applyFont="1" applyFill="1" applyBorder="1" applyAlignment="1">
      <alignment horizontal="center" vertical="center" wrapText="1"/>
    </xf>
    <xf numFmtId="0" fontId="12" fillId="7" borderId="22" xfId="0" applyFont="1" applyFill="1" applyBorder="1" applyAlignment="1">
      <alignment horizontal="center" vertical="center" wrapText="1"/>
    </xf>
    <xf numFmtId="0" fontId="12" fillId="8" borderId="63" xfId="0" applyFont="1" applyFill="1" applyBorder="1" applyAlignment="1">
      <alignment horizontal="center" vertical="center" wrapText="1"/>
    </xf>
    <xf numFmtId="0" fontId="0" fillId="0" borderId="0" xfId="0"/>
    <xf numFmtId="0" fontId="7" fillId="9" borderId="3" xfId="0" applyFont="1" applyFill="1" applyBorder="1" applyAlignment="1">
      <alignment vertical="center"/>
    </xf>
    <xf numFmtId="0" fontId="29" fillId="9" borderId="0" xfId="0" applyFont="1" applyFill="1" applyAlignment="1">
      <alignment vertical="center"/>
    </xf>
    <xf numFmtId="0" fontId="12" fillId="8" borderId="14" xfId="0" applyFont="1" applyFill="1" applyBorder="1" applyAlignment="1">
      <alignment horizontal="center" vertical="center" wrapText="1"/>
    </xf>
    <xf numFmtId="0" fontId="7" fillId="9" borderId="30" xfId="0" quotePrefix="1" applyFont="1" applyFill="1" applyBorder="1" applyAlignment="1">
      <alignment vertical="center" wrapText="1"/>
    </xf>
    <xf numFmtId="0" fontId="7" fillId="9" borderId="67" xfId="0" applyFont="1" applyFill="1" applyBorder="1" applyAlignment="1">
      <alignment vertical="center" wrapText="1"/>
    </xf>
    <xf numFmtId="0" fontId="7" fillId="9" borderId="87" xfId="0" applyFont="1" applyFill="1" applyBorder="1" applyAlignment="1">
      <alignment vertical="center" wrapText="1"/>
    </xf>
    <xf numFmtId="0" fontId="7" fillId="0" borderId="66" xfId="0" applyFont="1" applyBorder="1" applyAlignment="1">
      <alignment vertical="center" wrapText="1"/>
    </xf>
    <xf numFmtId="0" fontId="7" fillId="9" borderId="85" xfId="0" applyFont="1" applyFill="1" applyBorder="1" applyAlignment="1">
      <alignment vertical="center" wrapText="1"/>
    </xf>
    <xf numFmtId="0" fontId="7" fillId="9" borderId="98" xfId="0" applyFont="1" applyFill="1" applyBorder="1" applyAlignment="1">
      <alignment vertical="center" wrapText="1"/>
    </xf>
    <xf numFmtId="0" fontId="7" fillId="9" borderId="28" xfId="0" applyFont="1" applyFill="1" applyBorder="1" applyAlignment="1">
      <alignment vertical="center" wrapText="1"/>
    </xf>
    <xf numFmtId="0" fontId="7" fillId="9" borderId="3" xfId="0" applyFont="1" applyFill="1" applyBorder="1" applyAlignment="1">
      <alignment vertical="center" wrapText="1"/>
    </xf>
    <xf numFmtId="0" fontId="8" fillId="11" borderId="1" xfId="0" applyFont="1" applyFill="1" applyBorder="1" applyAlignment="1">
      <alignment horizontal="center" vertical="center"/>
    </xf>
    <xf numFmtId="0" fontId="8" fillId="11" borderId="26" xfId="0" applyFont="1" applyFill="1" applyBorder="1" applyAlignment="1">
      <alignment vertical="center" wrapText="1"/>
    </xf>
    <xf numFmtId="0" fontId="7" fillId="0" borderId="28" xfId="0" quotePrefix="1" applyFont="1" applyBorder="1" applyAlignment="1">
      <alignment vertical="center" wrapText="1"/>
    </xf>
    <xf numFmtId="0" fontId="7" fillId="0" borderId="3" xfId="0" applyFont="1" applyBorder="1" applyAlignment="1">
      <alignment vertical="center" wrapText="1"/>
    </xf>
    <xf numFmtId="0" fontId="7" fillId="0" borderId="29" xfId="0" applyFont="1" applyBorder="1" applyAlignment="1">
      <alignment vertical="center" wrapText="1"/>
    </xf>
    <xf numFmtId="0" fontId="7" fillId="9" borderId="131" xfId="0" applyFont="1" applyFill="1" applyBorder="1" applyAlignment="1">
      <alignment vertical="center" wrapText="1"/>
    </xf>
    <xf numFmtId="0" fontId="7" fillId="9" borderId="77" xfId="0" applyFont="1" applyFill="1" applyBorder="1" applyAlignment="1">
      <alignment vertical="center" wrapText="1"/>
    </xf>
    <xf numFmtId="0" fontId="7" fillId="9" borderId="90" xfId="0" applyFont="1" applyFill="1" applyBorder="1" applyAlignment="1">
      <alignment vertical="center" wrapText="1"/>
    </xf>
    <xf numFmtId="0" fontId="7" fillId="9" borderId="66" xfId="0" applyFont="1" applyFill="1" applyBorder="1" applyAlignment="1">
      <alignment vertical="center" wrapText="1"/>
    </xf>
    <xf numFmtId="0" fontId="7" fillId="9" borderId="95" xfId="0" applyFont="1" applyFill="1" applyBorder="1" applyAlignment="1">
      <alignment vertical="center" wrapText="1"/>
    </xf>
    <xf numFmtId="0" fontId="7" fillId="9" borderId="23" xfId="0" applyFont="1" applyFill="1" applyBorder="1" applyAlignment="1">
      <alignment vertical="center" wrapText="1"/>
    </xf>
    <xf numFmtId="0" fontId="7" fillId="9" borderId="24" xfId="0" applyFont="1" applyFill="1" applyBorder="1" applyAlignment="1">
      <alignment vertical="center" wrapText="1"/>
    </xf>
    <xf numFmtId="0" fontId="7" fillId="9" borderId="25" xfId="0" applyFont="1" applyFill="1" applyBorder="1" applyAlignment="1">
      <alignment vertical="center" wrapText="1"/>
    </xf>
    <xf numFmtId="0" fontId="7" fillId="11" borderId="1" xfId="0" applyFont="1" applyFill="1" applyBorder="1" applyAlignment="1">
      <alignment horizontal="center" vertical="center"/>
    </xf>
    <xf numFmtId="0" fontId="16" fillId="9" borderId="79" xfId="0" applyFont="1" applyFill="1" applyBorder="1" applyAlignment="1">
      <alignment vertical="center" wrapText="1"/>
    </xf>
    <xf numFmtId="0" fontId="16" fillId="9" borderId="71" xfId="0" applyFont="1" applyFill="1" applyBorder="1" applyAlignment="1">
      <alignment vertical="center" wrapText="1"/>
    </xf>
    <xf numFmtId="0" fontId="16" fillId="9" borderId="89" xfId="0" applyFont="1" applyFill="1" applyBorder="1" applyAlignment="1">
      <alignment vertical="center" wrapText="1"/>
    </xf>
    <xf numFmtId="0" fontId="16" fillId="0" borderId="79" xfId="0" applyFont="1" applyBorder="1" applyAlignment="1">
      <alignment vertical="center" wrapText="1"/>
    </xf>
    <xf numFmtId="0" fontId="16" fillId="0" borderId="71" xfId="0" applyFont="1" applyBorder="1" applyAlignment="1">
      <alignment vertical="center" wrapText="1"/>
    </xf>
    <xf numFmtId="0" fontId="16" fillId="0" borderId="89" xfId="0" applyFont="1" applyBorder="1" applyAlignment="1">
      <alignment vertical="center" wrapText="1"/>
    </xf>
    <xf numFmtId="2" fontId="64" fillId="24" borderId="110" xfId="0" applyNumberFormat="1" applyFont="1" applyFill="1" applyBorder="1" applyAlignment="1">
      <alignment horizontal="left" vertical="center" wrapText="1"/>
    </xf>
    <xf numFmtId="2" fontId="64" fillId="24" borderId="111" xfId="0" applyNumberFormat="1" applyFont="1" applyFill="1" applyBorder="1" applyAlignment="1">
      <alignment horizontal="left" vertical="center" wrapText="1"/>
    </xf>
    <xf numFmtId="2" fontId="64" fillId="24" borderId="50" xfId="0" applyNumberFormat="1" applyFont="1" applyFill="1" applyBorder="1" applyAlignment="1">
      <alignment horizontal="left" vertical="center" wrapText="1"/>
    </xf>
    <xf numFmtId="0" fontId="85" fillId="11" borderId="143" xfId="5" applyFont="1" applyFill="1" applyBorder="1" applyAlignment="1" applyProtection="1">
      <alignment horizontal="center" vertical="center" wrapText="1"/>
    </xf>
    <xf numFmtId="0" fontId="7" fillId="12" borderId="19" xfId="0" applyFont="1" applyFill="1" applyBorder="1" applyAlignment="1">
      <alignment vertical="center"/>
    </xf>
    <xf numFmtId="0" fontId="7" fillId="12" borderId="20" xfId="0" applyFont="1" applyFill="1" applyBorder="1" applyAlignment="1">
      <alignment vertical="center"/>
    </xf>
    <xf numFmtId="0" fontId="7" fillId="12" borderId="22" xfId="0" applyFont="1" applyFill="1" applyBorder="1" applyAlignment="1">
      <alignment vertical="center"/>
    </xf>
    <xf numFmtId="175" fontId="39" fillId="11" borderId="111" xfId="0" applyNumberFormat="1" applyFont="1" applyFill="1" applyBorder="1" applyAlignment="1">
      <alignment horizontal="left" vertical="center" wrapText="1"/>
    </xf>
    <xf numFmtId="0" fontId="14" fillId="0" borderId="3" xfId="0" applyFont="1" applyBorder="1" applyAlignment="1">
      <alignment wrapText="1"/>
    </xf>
    <xf numFmtId="0" fontId="7" fillId="0" borderId="3" xfId="0" applyFont="1" applyBorder="1" applyAlignment="1">
      <alignment wrapText="1"/>
    </xf>
    <xf numFmtId="2" fontId="64" fillId="0" borderId="19" xfId="0" applyNumberFormat="1" applyFont="1" applyBorder="1" applyAlignment="1">
      <alignment horizontal="left" vertical="center" wrapText="1"/>
    </xf>
    <xf numFmtId="2" fontId="64" fillId="0" borderId="20" xfId="0" applyNumberFormat="1" applyFont="1" applyBorder="1" applyAlignment="1">
      <alignment horizontal="left" vertical="center" wrapText="1"/>
    </xf>
    <xf numFmtId="2" fontId="64" fillId="0" borderId="22" xfId="0" applyNumberFormat="1" applyFont="1" applyBorder="1" applyAlignment="1">
      <alignment horizontal="left" vertical="center" wrapText="1"/>
    </xf>
    <xf numFmtId="0" fontId="14" fillId="0" borderId="3" xfId="0" applyFont="1" applyBorder="1" applyAlignment="1">
      <alignment horizontal="left" wrapText="1"/>
    </xf>
    <xf numFmtId="0" fontId="34" fillId="0" borderId="3" xfId="0" applyFont="1" applyBorder="1" applyAlignment="1">
      <alignment horizontal="left" wrapText="1"/>
    </xf>
    <xf numFmtId="2" fontId="64" fillId="0" borderId="23" xfId="0" applyNumberFormat="1" applyFont="1" applyBorder="1" applyAlignment="1">
      <alignment horizontal="left" vertical="center" wrapText="1"/>
    </xf>
    <xf numFmtId="2" fontId="64" fillId="0" borderId="24" xfId="0" applyNumberFormat="1" applyFont="1" applyBorder="1" applyAlignment="1">
      <alignment horizontal="left" vertical="center" wrapText="1"/>
    </xf>
    <xf numFmtId="2" fontId="64" fillId="0" borderId="25" xfId="0" applyNumberFormat="1" applyFont="1" applyBorder="1" applyAlignment="1">
      <alignment horizontal="left" vertical="center" wrapText="1"/>
    </xf>
    <xf numFmtId="2" fontId="64" fillId="0" borderId="28" xfId="0" applyNumberFormat="1" applyFont="1" applyBorder="1" applyAlignment="1">
      <alignment horizontal="left" vertical="center" wrapText="1"/>
    </xf>
    <xf numFmtId="2" fontId="64" fillId="0" borderId="3" xfId="0" applyNumberFormat="1" applyFont="1" applyBorder="1" applyAlignment="1">
      <alignment horizontal="left" vertical="center" wrapText="1"/>
    </xf>
    <xf numFmtId="2" fontId="64" fillId="0" borderId="29" xfId="0" applyNumberFormat="1" applyFont="1" applyBorder="1" applyAlignment="1">
      <alignment horizontal="left" vertical="center" wrapText="1"/>
    </xf>
    <xf numFmtId="2" fontId="8" fillId="0" borderId="0" xfId="0" applyNumberFormat="1" applyFont="1" applyAlignment="1">
      <alignment vertical="center"/>
    </xf>
    <xf numFmtId="175" fontId="48" fillId="11" borderId="0" xfId="0" applyNumberFormat="1" applyFont="1" applyFill="1" applyAlignment="1">
      <alignment horizontal="left" vertical="center" wrapText="1"/>
    </xf>
    <xf numFmtId="0" fontId="34" fillId="0" borderId="0" xfId="0" applyFont="1" applyAlignment="1">
      <alignment horizontal="left" vertical="center" wrapText="1"/>
    </xf>
    <xf numFmtId="0" fontId="88" fillId="11" borderId="85" xfId="0" applyFont="1" applyFill="1" applyBorder="1" applyAlignment="1">
      <alignment horizontal="left" vertical="center"/>
    </xf>
    <xf numFmtId="0" fontId="30" fillId="11" borderId="85" xfId="0" applyFont="1" applyFill="1" applyBorder="1" applyAlignment="1">
      <alignment horizontal="left" vertical="center"/>
    </xf>
    <xf numFmtId="0" fontId="16" fillId="0" borderId="142" xfId="0" applyFont="1" applyBorder="1" applyAlignment="1">
      <alignment horizontal="left" vertical="center" wrapText="1"/>
    </xf>
    <xf numFmtId="0" fontId="16" fillId="0" borderId="143" xfId="0" applyFont="1" applyBorder="1" applyAlignment="1">
      <alignment horizontal="left" vertical="center" wrapText="1"/>
    </xf>
    <xf numFmtId="0" fontId="16" fillId="0" borderId="45" xfId="0" applyFont="1" applyBorder="1" applyAlignment="1">
      <alignment horizontal="left" vertical="center" wrapText="1"/>
    </xf>
    <xf numFmtId="0" fontId="16" fillId="0" borderId="115" xfId="0" applyFont="1" applyBorder="1" applyAlignment="1">
      <alignment horizontal="left" vertical="center" wrapText="1"/>
    </xf>
    <xf numFmtId="0" fontId="16" fillId="0" borderId="116" xfId="0" applyFont="1" applyBorder="1" applyAlignment="1">
      <alignment horizontal="left" vertical="center" wrapText="1"/>
    </xf>
    <xf numFmtId="0" fontId="16" fillId="0" borderId="49" xfId="0" applyFont="1" applyBorder="1" applyAlignment="1">
      <alignment horizontal="left" vertical="center" wrapText="1"/>
    </xf>
    <xf numFmtId="0" fontId="16" fillId="11" borderId="142" xfId="0" applyFont="1" applyFill="1" applyBorder="1" applyAlignment="1">
      <alignment horizontal="left" vertical="center" wrapText="1"/>
    </xf>
    <xf numFmtId="0" fontId="16" fillId="11" borderId="45" xfId="0" applyFont="1" applyFill="1" applyBorder="1" applyAlignment="1">
      <alignment horizontal="left" vertical="center" wrapText="1"/>
    </xf>
    <xf numFmtId="0" fontId="16" fillId="11" borderId="110" xfId="0" applyFont="1" applyFill="1" applyBorder="1" applyAlignment="1">
      <alignment horizontal="left" vertical="center" wrapText="1"/>
    </xf>
    <xf numFmtId="0" fontId="16" fillId="11" borderId="111" xfId="0" applyFont="1" applyFill="1" applyBorder="1" applyAlignment="1">
      <alignment horizontal="left" vertical="center" wrapText="1"/>
    </xf>
    <xf numFmtId="0" fontId="16" fillId="11" borderId="41" xfId="0" applyFont="1" applyFill="1" applyBorder="1" applyAlignment="1">
      <alignment horizontal="left" vertical="center" wrapText="1"/>
    </xf>
    <xf numFmtId="0" fontId="7" fillId="11" borderId="23" xfId="0" applyFont="1" applyFill="1" applyBorder="1" applyAlignment="1">
      <alignment horizontal="center" vertical="center"/>
    </xf>
    <xf numFmtId="0" fontId="7" fillId="11" borderId="24" xfId="0" applyFont="1" applyFill="1" applyBorder="1" applyAlignment="1">
      <alignment horizontal="center" vertical="center"/>
    </xf>
    <xf numFmtId="0" fontId="7" fillId="11" borderId="61" xfId="0" applyFont="1" applyFill="1" applyBorder="1" applyAlignment="1">
      <alignment horizontal="center" vertical="center"/>
    </xf>
    <xf numFmtId="0" fontId="7" fillId="11" borderId="28"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34" xfId="0" applyFont="1" applyFill="1" applyBorder="1" applyAlignment="1">
      <alignment horizontal="center" vertical="center"/>
    </xf>
    <xf numFmtId="10" fontId="7" fillId="11" borderId="12" xfId="0" applyNumberFormat="1" applyFont="1" applyFill="1" applyBorder="1" applyAlignment="1">
      <alignment horizontal="center" vertical="center" wrapText="1"/>
    </xf>
    <xf numFmtId="10" fontId="7" fillId="11" borderId="15" xfId="0" applyNumberFormat="1" applyFont="1" applyFill="1" applyBorder="1" applyAlignment="1">
      <alignment horizontal="center" vertical="center" wrapText="1"/>
    </xf>
    <xf numFmtId="0" fontId="7" fillId="24" borderId="23" xfId="0" applyFont="1" applyFill="1" applyBorder="1" applyAlignment="1">
      <alignment horizontal="center" vertical="center"/>
    </xf>
    <xf numFmtId="0" fontId="7" fillId="24" borderId="24" xfId="0" applyFont="1" applyFill="1" applyBorder="1" applyAlignment="1">
      <alignment horizontal="center" vertical="center"/>
    </xf>
    <xf numFmtId="0" fontId="7" fillId="24" borderId="61" xfId="0" applyFont="1" applyFill="1" applyBorder="1" applyAlignment="1">
      <alignment horizontal="center" vertical="center"/>
    </xf>
    <xf numFmtId="0" fontId="7" fillId="24" borderId="28" xfId="0" applyFont="1" applyFill="1" applyBorder="1" applyAlignment="1">
      <alignment horizontal="center" vertical="center"/>
    </xf>
    <xf numFmtId="0" fontId="7" fillId="24" borderId="3" xfId="0" applyFont="1" applyFill="1" applyBorder="1" applyAlignment="1">
      <alignment horizontal="center" vertical="center"/>
    </xf>
    <xf numFmtId="0" fontId="7" fillId="24" borderId="34" xfId="0" applyFont="1" applyFill="1" applyBorder="1" applyAlignment="1">
      <alignment horizontal="center" vertical="center"/>
    </xf>
    <xf numFmtId="10" fontId="7" fillId="24" borderId="12" xfId="0" applyNumberFormat="1" applyFont="1" applyFill="1" applyBorder="1" applyAlignment="1">
      <alignment horizontal="center" vertical="center" wrapText="1"/>
    </xf>
    <xf numFmtId="10" fontId="7" fillId="24" borderId="15" xfId="0" applyNumberFormat="1" applyFont="1" applyFill="1" applyBorder="1" applyAlignment="1">
      <alignment horizontal="center" vertical="center" wrapText="1"/>
    </xf>
    <xf numFmtId="0" fontId="16" fillId="0" borderId="110" xfId="0" applyFont="1" applyBorder="1" applyAlignment="1">
      <alignment horizontal="left" vertical="center" wrapText="1"/>
    </xf>
    <xf numFmtId="0" fontId="16" fillId="0" borderId="111" xfId="0" applyFont="1" applyBorder="1" applyAlignment="1">
      <alignment horizontal="left" vertical="center" wrapText="1"/>
    </xf>
    <xf numFmtId="0" fontId="16" fillId="0" borderId="41" xfId="0" applyFont="1" applyBorder="1" applyAlignment="1">
      <alignment horizontal="left" vertical="center" wrapText="1"/>
    </xf>
    <xf numFmtId="0" fontId="8" fillId="0" borderId="24" xfId="0" applyFont="1" applyBorder="1" applyAlignment="1">
      <alignment vertical="center"/>
    </xf>
    <xf numFmtId="0" fontId="16" fillId="0" borderId="12" xfId="0" applyFont="1" applyBorder="1" applyAlignment="1">
      <alignment horizontal="center" vertical="center" wrapText="1"/>
    </xf>
    <xf numFmtId="0" fontId="16" fillId="0" borderId="201" xfId="0" applyFont="1" applyBorder="1" applyAlignment="1">
      <alignment horizontal="center" vertical="center" wrapText="1"/>
    </xf>
    <xf numFmtId="0" fontId="16" fillId="0" borderId="148" xfId="0" applyFont="1" applyBorder="1" applyAlignment="1">
      <alignment horizontal="center" vertical="center" wrapText="1"/>
    </xf>
    <xf numFmtId="165" fontId="16" fillId="0" borderId="12" xfId="0" applyNumberFormat="1" applyFont="1" applyBorder="1" applyAlignment="1">
      <alignment horizontal="center" vertical="center"/>
    </xf>
    <xf numFmtId="165" fontId="16" fillId="0" borderId="201" xfId="0" applyNumberFormat="1" applyFont="1" applyBorder="1" applyAlignment="1">
      <alignment horizontal="center" vertical="center"/>
    </xf>
    <xf numFmtId="165" fontId="16" fillId="0" borderId="148" xfId="0" applyNumberFormat="1" applyFont="1" applyBorder="1" applyAlignment="1">
      <alignment horizontal="center" vertical="center"/>
    </xf>
    <xf numFmtId="10" fontId="16" fillId="0" borderId="12" xfId="9" applyNumberFormat="1" applyFont="1" applyBorder="1" applyAlignment="1" applyProtection="1">
      <alignment horizontal="center" vertical="center"/>
    </xf>
    <xf numFmtId="10" fontId="16" fillId="0" borderId="201" xfId="9" applyNumberFormat="1" applyFont="1" applyBorder="1" applyAlignment="1" applyProtection="1">
      <alignment horizontal="center" vertical="center"/>
    </xf>
    <xf numFmtId="10" fontId="16" fillId="0" borderId="148" xfId="9" applyNumberFormat="1" applyFont="1" applyBorder="1" applyAlignment="1" applyProtection="1">
      <alignment horizontal="center" vertical="center"/>
    </xf>
    <xf numFmtId="10" fontId="16" fillId="0" borderId="12" xfId="9" applyNumberFormat="1" applyFont="1" applyFill="1" applyBorder="1" applyAlignment="1" applyProtection="1">
      <alignment horizontal="center" vertical="center"/>
    </xf>
    <xf numFmtId="10" fontId="16" fillId="0" borderId="201" xfId="9" applyNumberFormat="1" applyFont="1" applyFill="1" applyBorder="1" applyAlignment="1" applyProtection="1">
      <alignment horizontal="center" vertical="center"/>
    </xf>
    <xf numFmtId="10" fontId="16" fillId="0" borderId="148" xfId="9" applyNumberFormat="1" applyFont="1" applyFill="1" applyBorder="1" applyAlignment="1" applyProtection="1">
      <alignment horizontal="center" vertical="center"/>
    </xf>
    <xf numFmtId="0" fontId="16" fillId="0" borderId="13" xfId="0" applyFont="1" applyBorder="1" applyAlignment="1">
      <alignment horizontal="left" vertical="top" wrapText="1"/>
    </xf>
    <xf numFmtId="0" fontId="16" fillId="0" borderId="206" xfId="0" applyFont="1" applyBorder="1" applyAlignment="1">
      <alignment horizontal="left" vertical="top" wrapText="1"/>
    </xf>
    <xf numFmtId="0" fontId="16" fillId="0" borderId="144" xfId="0" applyFont="1" applyBorder="1" applyAlignment="1">
      <alignment horizontal="left" vertical="top" wrapText="1"/>
    </xf>
    <xf numFmtId="0" fontId="16" fillId="9" borderId="170" xfId="0" applyFont="1" applyFill="1" applyBorder="1" applyAlignment="1">
      <alignment vertical="center" wrapText="1"/>
    </xf>
    <xf numFmtId="0" fontId="16" fillId="9" borderId="132" xfId="0" applyFont="1" applyFill="1" applyBorder="1" applyAlignment="1">
      <alignment vertical="center" wrapText="1"/>
    </xf>
    <xf numFmtId="0" fontId="16" fillId="9" borderId="171" xfId="0" applyFont="1" applyFill="1" applyBorder="1" applyAlignment="1">
      <alignment vertical="center" wrapText="1"/>
    </xf>
    <xf numFmtId="0" fontId="16" fillId="9" borderId="177" xfId="0" applyFont="1" applyFill="1" applyBorder="1" applyAlignment="1" applyProtection="1">
      <alignment vertical="center" wrapText="1"/>
      <protection locked="0"/>
    </xf>
    <xf numFmtId="0" fontId="16" fillId="9" borderId="178" xfId="0" applyFont="1" applyFill="1" applyBorder="1" applyAlignment="1" applyProtection="1">
      <alignment vertical="center" wrapText="1"/>
      <protection locked="0"/>
    </xf>
    <xf numFmtId="0" fontId="16" fillId="9" borderId="177" xfId="0" applyFont="1" applyFill="1" applyBorder="1" applyAlignment="1">
      <alignment vertical="center" wrapText="1"/>
    </xf>
    <xf numFmtId="0" fontId="16" fillId="9" borderId="178" xfId="0" applyFont="1" applyFill="1" applyBorder="1" applyAlignment="1">
      <alignment vertical="center" wrapText="1"/>
    </xf>
    <xf numFmtId="0" fontId="7" fillId="24" borderId="16" xfId="0" applyFont="1" applyFill="1" applyBorder="1" applyAlignment="1">
      <alignment vertical="center" wrapText="1"/>
    </xf>
    <xf numFmtId="0" fontId="7" fillId="24" borderId="17" xfId="0" applyFont="1" applyFill="1" applyBorder="1" applyAlignment="1">
      <alignment vertical="center" wrapText="1"/>
    </xf>
    <xf numFmtId="0" fontId="7" fillId="24" borderId="147" xfId="0" applyFont="1" applyFill="1" applyBorder="1" applyAlignment="1">
      <alignment horizontal="center" vertical="center" wrapText="1"/>
    </xf>
    <xf numFmtId="0" fontId="16" fillId="9" borderId="81" xfId="0" applyFont="1" applyFill="1" applyBorder="1" applyAlignment="1">
      <alignment vertical="center" wrapText="1"/>
    </xf>
    <xf numFmtId="0" fontId="16" fillId="9" borderId="27" xfId="0" applyFont="1" applyFill="1" applyBorder="1" applyAlignment="1">
      <alignment vertical="center" wrapText="1"/>
    </xf>
    <xf numFmtId="0" fontId="16" fillId="9" borderId="26" xfId="0" applyFont="1" applyFill="1" applyBorder="1" applyAlignment="1">
      <alignment vertical="center" wrapText="1"/>
    </xf>
    <xf numFmtId="0" fontId="16" fillId="9" borderId="0" xfId="0" applyFont="1" applyFill="1" applyAlignment="1">
      <alignment vertical="center" wrapText="1"/>
    </xf>
    <xf numFmtId="0" fontId="16" fillId="9" borderId="168" xfId="0" applyFont="1" applyFill="1" applyBorder="1" applyAlignment="1">
      <alignment vertical="center" wrapText="1"/>
    </xf>
    <xf numFmtId="0" fontId="16" fillId="0" borderId="121" xfId="0" applyFont="1" applyBorder="1" applyAlignment="1" applyProtection="1">
      <alignment vertical="center" wrapText="1"/>
      <protection locked="0"/>
    </xf>
    <xf numFmtId="0" fontId="16" fillId="0" borderId="51" xfId="0" applyFont="1" applyBorder="1" applyAlignment="1" applyProtection="1">
      <alignment vertical="center" wrapText="1"/>
      <protection locked="0"/>
    </xf>
    <xf numFmtId="0" fontId="16" fillId="0" borderId="142" xfId="0" applyFont="1" applyBorder="1" applyAlignment="1" applyProtection="1">
      <alignment vertical="center" wrapText="1"/>
      <protection locked="0"/>
    </xf>
    <xf numFmtId="0" fontId="16" fillId="0" borderId="45" xfId="0" applyFont="1" applyBorder="1" applyAlignment="1" applyProtection="1">
      <alignment vertical="center" wrapText="1"/>
      <protection locked="0"/>
    </xf>
    <xf numFmtId="0" fontId="52" fillId="11" borderId="0" xfId="5" applyNumberFormat="1" applyFont="1" applyFill="1" applyBorder="1" applyAlignment="1" applyProtection="1">
      <alignment horizontal="center" vertical="center"/>
    </xf>
    <xf numFmtId="0" fontId="47" fillId="11" borderId="143" xfId="0" applyFont="1" applyFill="1" applyBorder="1" applyAlignment="1">
      <alignment horizontal="left" vertical="center" wrapText="1"/>
    </xf>
    <xf numFmtId="0" fontId="39" fillId="11" borderId="116" xfId="0" applyFont="1" applyFill="1" applyBorder="1" applyAlignment="1">
      <alignment horizontal="center" vertical="center" wrapText="1"/>
    </xf>
    <xf numFmtId="0" fontId="16" fillId="11" borderId="132" xfId="0" applyFont="1" applyFill="1" applyBorder="1" applyAlignment="1">
      <alignment vertical="center" wrapText="1"/>
    </xf>
    <xf numFmtId="0" fontId="47" fillId="11" borderId="0" xfId="5" applyNumberFormat="1" applyFont="1" applyFill="1" applyBorder="1" applyAlignment="1" applyProtection="1">
      <alignment horizontal="left" vertical="center"/>
    </xf>
    <xf numFmtId="0" fontId="7" fillId="9" borderId="19" xfId="0" applyFont="1" applyFill="1" applyBorder="1" applyAlignment="1">
      <alignment vertical="center" wrapText="1"/>
    </xf>
    <xf numFmtId="0" fontId="7" fillId="9" borderId="20" xfId="0" applyFont="1" applyFill="1" applyBorder="1" applyAlignment="1">
      <alignment vertical="center" wrapText="1"/>
    </xf>
    <xf numFmtId="0" fontId="7" fillId="9" borderId="22" xfId="0" applyFont="1" applyFill="1" applyBorder="1" applyAlignment="1">
      <alignment vertical="center" wrapText="1"/>
    </xf>
    <xf numFmtId="0" fontId="8" fillId="11" borderId="26" xfId="0" applyFont="1" applyFill="1" applyBorder="1" applyAlignment="1">
      <alignment horizontal="center" vertical="center" wrapText="1"/>
    </xf>
    <xf numFmtId="0" fontId="8" fillId="11" borderId="0" xfId="0" applyFont="1" applyFill="1" applyAlignment="1">
      <alignment horizontal="center" vertical="center" wrapText="1"/>
    </xf>
    <xf numFmtId="0" fontId="7" fillId="24" borderId="65" xfId="0" applyFont="1" applyFill="1" applyBorder="1" applyAlignment="1">
      <alignment vertical="center" wrapText="1"/>
    </xf>
    <xf numFmtId="0" fontId="7" fillId="24" borderId="25" xfId="0" applyFont="1" applyFill="1" applyBorder="1" applyAlignment="1">
      <alignment vertical="center" wrapText="1"/>
    </xf>
    <xf numFmtId="0" fontId="7" fillId="24" borderId="64" xfId="0" applyFont="1" applyFill="1" applyBorder="1" applyAlignment="1">
      <alignment vertical="center" wrapText="1"/>
    </xf>
    <xf numFmtId="0" fontId="7" fillId="24" borderId="29" xfId="0" applyFont="1" applyFill="1" applyBorder="1" applyAlignment="1">
      <alignment vertical="center" wrapText="1"/>
    </xf>
    <xf numFmtId="0" fontId="8" fillId="24" borderId="15" xfId="0" applyFont="1" applyFill="1" applyBorder="1" applyAlignment="1">
      <alignment vertical="center" wrapText="1"/>
    </xf>
    <xf numFmtId="0" fontId="7" fillId="24" borderId="12" xfId="0" applyFont="1" applyFill="1" applyBorder="1" applyAlignment="1">
      <alignment vertical="center" wrapText="1"/>
    </xf>
    <xf numFmtId="0" fontId="8" fillId="24" borderId="14" xfId="0" applyFont="1" applyFill="1" applyBorder="1" applyAlignment="1">
      <alignment vertical="center" wrapText="1"/>
    </xf>
    <xf numFmtId="0" fontId="7" fillId="24" borderId="13" xfId="0" applyFont="1" applyFill="1" applyBorder="1" applyAlignment="1">
      <alignment vertical="center" wrapText="1"/>
    </xf>
    <xf numFmtId="0" fontId="16" fillId="0" borderId="120" xfId="0" applyFont="1" applyBorder="1" applyAlignment="1" applyProtection="1">
      <alignment vertical="center" wrapText="1"/>
      <protection locked="0"/>
    </xf>
    <xf numFmtId="0" fontId="16" fillId="0" borderId="41" xfId="0" applyFont="1" applyBorder="1" applyAlignment="1" applyProtection="1">
      <alignment vertical="center" wrapText="1"/>
      <protection locked="0"/>
    </xf>
    <xf numFmtId="0" fontId="16" fillId="0" borderId="50" xfId="0" applyFont="1" applyBorder="1" applyAlignment="1" applyProtection="1">
      <alignment vertical="center" wrapText="1"/>
      <protection locked="0"/>
    </xf>
    <xf numFmtId="0" fontId="16" fillId="0" borderId="110" xfId="0" applyFont="1" applyBorder="1" applyAlignment="1" applyProtection="1">
      <alignment vertical="center" wrapText="1"/>
      <protection locked="0"/>
    </xf>
    <xf numFmtId="0" fontId="16" fillId="0" borderId="115" xfId="0" applyFont="1" applyBorder="1" applyAlignment="1" applyProtection="1">
      <alignment vertical="center" wrapText="1"/>
      <protection locked="0"/>
    </xf>
    <xf numFmtId="0" fontId="16" fillId="0" borderId="49" xfId="0" applyFont="1" applyBorder="1" applyAlignment="1" applyProtection="1">
      <alignment vertical="center" wrapText="1"/>
      <protection locked="0"/>
    </xf>
    <xf numFmtId="0" fontId="16" fillId="0" borderId="122" xfId="0" applyFont="1" applyBorder="1" applyAlignment="1" applyProtection="1">
      <alignment vertical="center" wrapText="1"/>
      <protection locked="0"/>
    </xf>
    <xf numFmtId="0" fontId="16" fillId="0" borderId="116" xfId="0" applyFont="1" applyBorder="1" applyAlignment="1" applyProtection="1">
      <alignment vertical="center" wrapText="1"/>
      <protection locked="0"/>
    </xf>
    <xf numFmtId="0" fontId="16" fillId="0" borderId="52" xfId="0" applyFont="1" applyBorder="1" applyAlignment="1" applyProtection="1">
      <alignment vertical="center" wrapText="1"/>
      <protection locked="0"/>
    </xf>
    <xf numFmtId="0" fontId="7" fillId="24" borderId="24" xfId="0" applyFont="1" applyFill="1" applyBorder="1" applyAlignment="1">
      <alignment vertical="center" wrapText="1"/>
    </xf>
    <xf numFmtId="0" fontId="7" fillId="24" borderId="3" xfId="0" applyFont="1" applyFill="1" applyBorder="1" applyAlignment="1">
      <alignment vertical="center" wrapText="1"/>
    </xf>
    <xf numFmtId="0" fontId="16" fillId="0" borderId="143" xfId="0" applyFont="1" applyBorder="1" applyAlignment="1" applyProtection="1">
      <alignment vertical="center" wrapText="1"/>
      <protection locked="0"/>
    </xf>
    <xf numFmtId="0" fontId="16" fillId="0" borderId="111" xfId="0" applyFont="1" applyBorder="1" applyAlignment="1" applyProtection="1">
      <alignment vertical="center" wrapText="1"/>
      <protection locked="0"/>
    </xf>
    <xf numFmtId="0" fontId="7" fillId="0" borderId="79" xfId="0" applyFont="1" applyBorder="1" applyAlignment="1">
      <alignment vertical="center" wrapText="1"/>
    </xf>
    <xf numFmtId="0" fontId="7" fillId="0" borderId="71" xfId="0" applyFont="1" applyBorder="1" applyAlignment="1">
      <alignment vertical="center" wrapText="1"/>
    </xf>
    <xf numFmtId="0" fontId="7" fillId="0" borderId="89" xfId="0" applyFont="1" applyBorder="1" applyAlignment="1">
      <alignment vertical="center" wrapText="1"/>
    </xf>
    <xf numFmtId="0" fontId="20" fillId="11" borderId="26" xfId="0" applyFont="1" applyFill="1" applyBorder="1" applyAlignment="1">
      <alignment vertical="center"/>
    </xf>
    <xf numFmtId="0" fontId="20" fillId="11" borderId="0" xfId="0" applyFont="1" applyFill="1" applyAlignment="1">
      <alignment vertical="center"/>
    </xf>
    <xf numFmtId="0" fontId="39" fillId="11" borderId="68" xfId="0" applyFont="1" applyFill="1" applyBorder="1" applyAlignment="1">
      <alignment horizontal="center" vertical="center" wrapText="1"/>
    </xf>
    <xf numFmtId="0" fontId="7" fillId="9" borderId="30" xfId="0" applyFont="1" applyFill="1" applyBorder="1" applyAlignment="1">
      <alignment vertical="center" wrapText="1"/>
    </xf>
    <xf numFmtId="0" fontId="7" fillId="24" borderId="61" xfId="0" applyFont="1" applyFill="1" applyBorder="1" applyAlignment="1">
      <alignment vertical="center" wrapText="1"/>
    </xf>
    <xf numFmtId="0" fontId="8" fillId="24" borderId="64" xfId="0" applyFont="1" applyFill="1" applyBorder="1" applyAlignment="1">
      <alignment vertical="center" wrapText="1"/>
    </xf>
    <xf numFmtId="0" fontId="8" fillId="24" borderId="34" xfId="0" applyFont="1" applyFill="1" applyBorder="1" applyAlignment="1">
      <alignment vertical="center" wrapText="1"/>
    </xf>
    <xf numFmtId="49" fontId="16" fillId="0" borderId="145" xfId="0" applyNumberFormat="1" applyFont="1" applyBorder="1" applyAlignment="1" applyProtection="1">
      <alignment vertical="center" wrapText="1"/>
      <protection locked="0"/>
    </xf>
    <xf numFmtId="49" fontId="16" fillId="0" borderId="146" xfId="0" applyNumberFormat="1" applyFont="1" applyBorder="1" applyAlignment="1" applyProtection="1">
      <alignment vertical="center" wrapText="1"/>
      <protection locked="0"/>
    </xf>
    <xf numFmtId="49" fontId="16" fillId="0" borderId="68" xfId="0" applyNumberFormat="1" applyFont="1" applyBorder="1" applyAlignment="1" applyProtection="1">
      <alignment vertical="center" wrapText="1"/>
      <protection locked="0"/>
    </xf>
    <xf numFmtId="49" fontId="16" fillId="0" borderId="94" xfId="0" applyNumberFormat="1" applyFont="1" applyBorder="1" applyAlignment="1" applyProtection="1">
      <alignment vertical="center" wrapText="1"/>
      <protection locked="0"/>
    </xf>
    <xf numFmtId="49" fontId="16" fillId="0" borderId="121" xfId="0" applyNumberFormat="1" applyFont="1" applyBorder="1" applyAlignment="1" applyProtection="1">
      <alignment vertical="center" wrapText="1"/>
      <protection locked="0"/>
    </xf>
    <xf numFmtId="49" fontId="16" fillId="0" borderId="45" xfId="0" applyNumberFormat="1" applyFont="1" applyBorder="1" applyAlignment="1" applyProtection="1">
      <alignment vertical="center" wrapText="1"/>
      <protection locked="0"/>
    </xf>
    <xf numFmtId="49" fontId="16" fillId="0" borderId="143" xfId="0" applyNumberFormat="1" applyFont="1" applyBorder="1" applyAlignment="1" applyProtection="1">
      <alignment vertical="center" wrapText="1"/>
      <protection locked="0"/>
    </xf>
    <xf numFmtId="49" fontId="16" fillId="0" borderId="51" xfId="0" applyNumberFormat="1" applyFont="1" applyBorder="1" applyAlignment="1" applyProtection="1">
      <alignment vertical="center" wrapText="1"/>
      <protection locked="0"/>
    </xf>
    <xf numFmtId="49" fontId="16" fillId="0" borderId="122" xfId="0" applyNumberFormat="1" applyFont="1" applyBorder="1" applyAlignment="1" applyProtection="1">
      <alignment vertical="center" wrapText="1"/>
      <protection locked="0"/>
    </xf>
    <xf numFmtId="49" fontId="16" fillId="0" borderId="49" xfId="0" applyNumberFormat="1" applyFont="1" applyBorder="1" applyAlignment="1" applyProtection="1">
      <alignment vertical="center" wrapText="1"/>
      <protection locked="0"/>
    </xf>
    <xf numFmtId="49" fontId="16" fillId="0" borderId="116" xfId="0" applyNumberFormat="1" applyFont="1" applyBorder="1" applyAlignment="1" applyProtection="1">
      <alignment vertical="center" wrapText="1"/>
      <protection locked="0"/>
    </xf>
    <xf numFmtId="49" fontId="16" fillId="0" borderId="52" xfId="0" applyNumberFormat="1" applyFont="1" applyBorder="1" applyAlignment="1" applyProtection="1">
      <alignment vertical="center" wrapText="1"/>
      <protection locked="0"/>
    </xf>
    <xf numFmtId="0" fontId="7" fillId="0" borderId="152" xfId="0" applyFont="1" applyBorder="1" applyAlignment="1">
      <alignment vertical="center" wrapText="1"/>
    </xf>
    <xf numFmtId="49" fontId="16" fillId="0" borderId="153" xfId="0" applyNumberFormat="1" applyFont="1" applyBorder="1" applyAlignment="1">
      <alignment vertical="center" wrapText="1"/>
    </xf>
    <xf numFmtId="49" fontId="16" fillId="0" borderId="66" xfId="0" applyNumberFormat="1" applyFont="1" applyBorder="1" applyAlignment="1">
      <alignment vertical="center" wrapText="1"/>
    </xf>
    <xf numFmtId="49" fontId="16" fillId="0" borderId="95" xfId="0" applyNumberFormat="1" applyFont="1" applyBorder="1" applyAlignment="1">
      <alignment vertical="center" wrapText="1"/>
    </xf>
    <xf numFmtId="0" fontId="7" fillId="0" borderId="149" xfId="0" applyFont="1" applyBorder="1" applyAlignment="1">
      <alignment vertical="center" wrapText="1"/>
    </xf>
    <xf numFmtId="0" fontId="7" fillId="0" borderId="68" xfId="0" applyFont="1" applyBorder="1" applyAlignment="1">
      <alignment vertical="center" wrapText="1"/>
    </xf>
    <xf numFmtId="0" fontId="7" fillId="0" borderId="94" xfId="0" applyFont="1" applyBorder="1" applyAlignment="1">
      <alignment vertical="center" wrapText="1"/>
    </xf>
    <xf numFmtId="49" fontId="0" fillId="0" borderId="112" xfId="0" applyNumberFormat="1" applyBorder="1" applyAlignment="1" applyProtection="1">
      <alignment horizontal="left" vertical="top" wrapText="1"/>
      <protection locked="0"/>
    </xf>
    <xf numFmtId="49" fontId="0" fillId="0" borderId="113" xfId="0" applyNumberFormat="1" applyBorder="1" applyAlignment="1" applyProtection="1">
      <alignment horizontal="left" vertical="top" wrapText="1"/>
      <protection locked="0"/>
    </xf>
    <xf numFmtId="49" fontId="0" fillId="0" borderId="114" xfId="0" applyNumberFormat="1" applyBorder="1" applyAlignment="1" applyProtection="1">
      <alignment horizontal="left" vertical="top" wrapText="1"/>
      <protection locked="0"/>
    </xf>
    <xf numFmtId="0" fontId="42" fillId="0" borderId="112" xfId="0" applyFont="1" applyBorder="1" applyAlignment="1">
      <alignment horizontal="center" vertical="center" wrapText="1"/>
    </xf>
    <xf numFmtId="0" fontId="42" fillId="0" borderId="113" xfId="0" applyFont="1" applyBorder="1" applyAlignment="1">
      <alignment horizontal="center" vertical="center" wrapText="1"/>
    </xf>
    <xf numFmtId="0" fontId="42" fillId="0" borderId="155" xfId="0" applyFont="1" applyBorder="1" applyAlignment="1">
      <alignment horizontal="center" vertical="center" wrapText="1"/>
    </xf>
    <xf numFmtId="49" fontId="16" fillId="0" borderId="149" xfId="0" applyNumberFormat="1" applyFont="1" applyBorder="1" applyAlignment="1" applyProtection="1">
      <alignment vertical="center" wrapText="1"/>
      <protection locked="0"/>
    </xf>
    <xf numFmtId="49" fontId="16" fillId="0" borderId="142" xfId="0" applyNumberFormat="1" applyFont="1" applyBorder="1" applyAlignment="1" applyProtection="1">
      <alignment vertical="center" wrapText="1"/>
      <protection locked="0"/>
    </xf>
    <xf numFmtId="49" fontId="16" fillId="0" borderId="115" xfId="0" applyNumberFormat="1" applyFont="1" applyBorder="1" applyAlignment="1" applyProtection="1">
      <alignment vertical="center" wrapText="1"/>
      <protection locked="0"/>
    </xf>
    <xf numFmtId="0" fontId="7" fillId="0" borderId="150" xfId="0" applyFont="1" applyBorder="1" applyAlignment="1">
      <alignment vertical="center" wrapText="1"/>
    </xf>
    <xf numFmtId="49" fontId="16" fillId="0" borderId="151" xfId="0" applyNumberFormat="1" applyFont="1" applyBorder="1" applyAlignment="1">
      <alignment vertical="center" wrapText="1"/>
    </xf>
    <xf numFmtId="49" fontId="16" fillId="0" borderId="67" xfId="0" applyNumberFormat="1" applyFont="1" applyBorder="1" applyAlignment="1">
      <alignment vertical="center" wrapText="1"/>
    </xf>
    <xf numFmtId="49" fontId="16" fillId="0" borderId="87" xfId="0" applyNumberFormat="1" applyFont="1" applyBorder="1" applyAlignment="1">
      <alignment vertical="center" wrapText="1"/>
    </xf>
    <xf numFmtId="175" fontId="47" fillId="11" borderId="143" xfId="0" applyNumberFormat="1" applyFont="1" applyFill="1" applyBorder="1" applyAlignment="1">
      <alignment horizontal="left" vertical="center"/>
    </xf>
    <xf numFmtId="0" fontId="0" fillId="0" borderId="121" xfId="0" applyBorder="1" applyAlignment="1" applyProtection="1">
      <alignment vertical="center" wrapText="1"/>
      <protection locked="0"/>
    </xf>
    <xf numFmtId="0" fontId="0" fillId="0" borderId="51" xfId="0" applyBorder="1" applyAlignment="1" applyProtection="1">
      <alignment vertical="center" wrapText="1"/>
      <protection locked="0"/>
    </xf>
    <xf numFmtId="0" fontId="16" fillId="0" borderId="142" xfId="0" applyFont="1" applyBorder="1" applyAlignment="1">
      <alignment vertical="center" wrapText="1"/>
    </xf>
    <xf numFmtId="0" fontId="16" fillId="0" borderId="143" xfId="0" applyFont="1" applyBorder="1" applyAlignment="1">
      <alignment vertical="center" wrapText="1"/>
    </xf>
    <xf numFmtId="0" fontId="16" fillId="0" borderId="45" xfId="0" applyFont="1" applyBorder="1" applyAlignment="1">
      <alignment vertical="center" wrapText="1"/>
    </xf>
    <xf numFmtId="0" fontId="0" fillId="0" borderId="43" xfId="0" applyBorder="1" applyAlignment="1" applyProtection="1">
      <alignment vertical="center" wrapText="1"/>
      <protection locked="0"/>
    </xf>
    <xf numFmtId="0" fontId="0" fillId="0" borderId="36" xfId="0" applyBorder="1" applyAlignment="1" applyProtection="1">
      <alignment vertical="center" wrapText="1"/>
      <protection locked="0"/>
    </xf>
    <xf numFmtId="0" fontId="16" fillId="0" borderId="42" xfId="0" applyFont="1" applyBorder="1" applyAlignment="1">
      <alignment vertical="center" wrapText="1"/>
    </xf>
    <xf numFmtId="0" fontId="16" fillId="0" borderId="43" xfId="0" applyFont="1" applyBorder="1" applyAlignment="1">
      <alignment vertical="center" wrapText="1"/>
    </xf>
    <xf numFmtId="0" fontId="16" fillId="0" borderId="38" xfId="0" applyFont="1" applyBorder="1" applyAlignment="1">
      <alignment vertical="center" wrapText="1"/>
    </xf>
    <xf numFmtId="0" fontId="16" fillId="0" borderId="39" xfId="0" applyFont="1" applyBorder="1" applyAlignment="1">
      <alignment vertical="center" wrapText="1"/>
    </xf>
    <xf numFmtId="0" fontId="0" fillId="0" borderId="39" xfId="0" applyBorder="1" applyAlignment="1" applyProtection="1">
      <alignment vertical="center" wrapText="1"/>
      <protection locked="0"/>
    </xf>
    <xf numFmtId="0" fontId="0" fillId="0" borderId="35" xfId="0" applyBorder="1" applyAlignment="1" applyProtection="1">
      <alignment vertical="center" wrapText="1"/>
      <protection locked="0"/>
    </xf>
    <xf numFmtId="0" fontId="16" fillId="0" borderId="46" xfId="0" applyFont="1" applyBorder="1" applyAlignment="1">
      <alignment vertical="center" wrapText="1"/>
    </xf>
    <xf numFmtId="0" fontId="16" fillId="0" borderId="47" xfId="0" applyFont="1" applyBorder="1" applyAlignment="1">
      <alignment vertical="center" wrapText="1"/>
    </xf>
    <xf numFmtId="0" fontId="0" fillId="0" borderId="47" xfId="0" applyBorder="1" applyAlignment="1" applyProtection="1">
      <alignment vertical="center" wrapText="1"/>
      <protection locked="0"/>
    </xf>
    <xf numFmtId="0" fontId="0" fillId="0" borderId="37" xfId="0" applyBorder="1" applyAlignment="1" applyProtection="1">
      <alignment vertical="center" wrapText="1"/>
      <protection locked="0"/>
    </xf>
    <xf numFmtId="0" fontId="16" fillId="0" borderId="19" xfId="0" applyFont="1" applyBorder="1" applyAlignment="1">
      <alignment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0" fontId="16" fillId="0" borderId="13" xfId="0" applyFont="1" applyBorder="1" applyAlignment="1">
      <alignment vertical="center" wrapText="1"/>
    </xf>
    <xf numFmtId="0" fontId="16" fillId="0" borderId="12" xfId="0" applyFont="1" applyBorder="1" applyAlignment="1">
      <alignment vertical="center" wrapText="1"/>
    </xf>
    <xf numFmtId="0" fontId="36" fillId="6" borderId="3" xfId="0" applyFont="1" applyFill="1" applyBorder="1" applyAlignment="1">
      <alignment horizontal="center" vertical="center"/>
    </xf>
    <xf numFmtId="0" fontId="51" fillId="3" borderId="19" xfId="0" applyFont="1" applyFill="1" applyBorder="1" applyAlignment="1">
      <alignment horizontal="center" vertical="center"/>
    </xf>
    <xf numFmtId="0" fontId="51" fillId="3" borderId="20" xfId="0" applyFont="1" applyFill="1" applyBorder="1" applyAlignment="1">
      <alignment horizontal="center" vertical="center"/>
    </xf>
    <xf numFmtId="0" fontId="51" fillId="3" borderId="22" xfId="0" applyFont="1" applyFill="1" applyBorder="1" applyAlignment="1">
      <alignment horizontal="center" vertical="center"/>
    </xf>
    <xf numFmtId="0" fontId="16" fillId="9" borderId="24" xfId="0" applyFont="1" applyFill="1" applyBorder="1" applyAlignment="1">
      <alignment horizontal="center" vertical="center" wrapText="1"/>
    </xf>
    <xf numFmtId="0" fontId="16" fillId="9" borderId="0" xfId="0" applyFont="1" applyFill="1" applyAlignment="1">
      <alignment horizontal="center" vertical="center" wrapText="1"/>
    </xf>
    <xf numFmtId="0" fontId="16" fillId="9" borderId="3" xfId="0" applyFont="1" applyFill="1" applyBorder="1" applyAlignment="1">
      <alignment horizontal="center" vertical="center" wrapText="1"/>
    </xf>
    <xf numFmtId="0" fontId="23" fillId="6" borderId="3" xfId="1" applyFont="1" applyFill="1" applyBorder="1" applyAlignment="1">
      <alignment horizontal="center" vertical="center"/>
    </xf>
    <xf numFmtId="0" fontId="23" fillId="6" borderId="0" xfId="1" applyFont="1" applyFill="1" applyAlignment="1">
      <alignment horizontal="center" vertical="center"/>
    </xf>
    <xf numFmtId="0" fontId="16" fillId="6" borderId="6" xfId="0" applyFont="1" applyFill="1" applyBorder="1" applyAlignment="1">
      <alignment horizontal="center" vertical="center" wrapText="1"/>
    </xf>
    <xf numFmtId="0" fontId="16" fillId="6" borderId="133" xfId="0" applyFont="1" applyFill="1" applyBorder="1" applyAlignment="1">
      <alignment horizontal="center" vertical="center" wrapText="1"/>
    </xf>
    <xf numFmtId="0" fontId="16" fillId="6" borderId="139" xfId="0" applyFont="1" applyFill="1" applyBorder="1" applyAlignment="1">
      <alignment horizontal="center" vertical="center" wrapText="1"/>
    </xf>
    <xf numFmtId="0" fontId="16" fillId="6" borderId="141"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16" fillId="6" borderId="67" xfId="0" applyFont="1" applyFill="1" applyBorder="1" applyAlignment="1">
      <alignment horizontal="center" vertical="center" wrapText="1"/>
    </xf>
    <xf numFmtId="0" fontId="16" fillId="6" borderId="87" xfId="0" applyFont="1" applyFill="1" applyBorder="1" applyAlignment="1">
      <alignment horizontal="center" vertical="center" wrapText="1"/>
    </xf>
  </cellXfs>
  <cellStyles count="23">
    <cellStyle name="Comma 2" xfId="2" xr:uid="{00000000-0005-0000-0000-000000000000}"/>
    <cellStyle name="Comma 2 2" xfId="20" xr:uid="{00000000-0005-0000-0000-000001000000}"/>
    <cellStyle name="Currency 2" xfId="3" xr:uid="{00000000-0005-0000-0000-000002000000}"/>
    <cellStyle name="Currency 2 2" xfId="21" xr:uid="{00000000-0005-0000-0000-000003000000}"/>
    <cellStyle name="Followed Hyperlink" xfId="4" builtinId="9" customBuiltin="1"/>
    <cellStyle name="Hyperlink" xfId="5" builtinId="8"/>
    <cellStyle name="Normal" xfId="0" builtinId="0"/>
    <cellStyle name="Normal 2" xfId="6" xr:uid="{00000000-0005-0000-0000-000007000000}"/>
    <cellStyle name="Normal 2 2" xfId="10" xr:uid="{00000000-0005-0000-0000-000008000000}"/>
    <cellStyle name="Normal 2 3" xfId="19" xr:uid="{00000000-0005-0000-0000-000009000000}"/>
    <cellStyle name="Normal 3" xfId="1" xr:uid="{00000000-0005-0000-0000-00000A000000}"/>
    <cellStyle name="Normal 3 2" xfId="12" xr:uid="{00000000-0005-0000-0000-00000B000000}"/>
    <cellStyle name="Normal 4" xfId="13" xr:uid="{00000000-0005-0000-0000-00000C000000}"/>
    <cellStyle name="Normal 4 2" xfId="11" xr:uid="{00000000-0005-0000-0000-00000D000000}"/>
    <cellStyle name="Normal 4 2 2" xfId="14" xr:uid="{00000000-0005-0000-0000-00000E000000}"/>
    <cellStyle name="Normal 4 3" xfId="15" xr:uid="{00000000-0005-0000-0000-00000F000000}"/>
    <cellStyle name="Normal 5" xfId="16" xr:uid="{00000000-0005-0000-0000-000010000000}"/>
    <cellStyle name="Normal 5 2" xfId="17" xr:uid="{00000000-0005-0000-0000-000011000000}"/>
    <cellStyle name="Normal 6" xfId="18" xr:uid="{00000000-0005-0000-0000-000012000000}"/>
    <cellStyle name="Percent" xfId="9" builtinId="5"/>
    <cellStyle name="Percent 2" xfId="8" xr:uid="{00000000-0005-0000-0000-000014000000}"/>
    <cellStyle name="Percent 3" xfId="7" xr:uid="{00000000-0005-0000-0000-000015000000}"/>
    <cellStyle name="Percent 3 2" xfId="22" xr:uid="{00000000-0005-0000-0000-000016000000}"/>
  </cellStyles>
  <dxfs count="428">
    <dxf>
      <numFmt numFmtId="184" formatCode="\-"/>
    </dxf>
    <dxf>
      <numFmt numFmtId="184" formatCode="\-"/>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fill>
        <patternFill>
          <bgColor theme="9" tint="-0.24994659260841701"/>
        </patternFill>
      </fill>
    </dxf>
    <dxf>
      <font>
        <b/>
        <i val="0"/>
      </font>
      <fill>
        <patternFill>
          <bgColor theme="9" tint="-0.24994659260841701"/>
        </patternFill>
      </fill>
    </dxf>
    <dxf>
      <font>
        <b/>
        <i val="0"/>
      </font>
      <fill>
        <patternFill>
          <bgColor theme="9" tint="-0.24994659260841701"/>
        </patternFill>
      </fill>
    </dxf>
    <dxf>
      <font>
        <b/>
        <i val="0"/>
        <color auto="1"/>
      </font>
      <fill>
        <patternFill>
          <bgColor rgb="FF92D050"/>
        </patternFill>
      </fill>
    </dxf>
    <dxf>
      <font>
        <b/>
        <i val="0"/>
      </font>
      <fill>
        <patternFill>
          <bgColor theme="9" tint="-0.24994659260841701"/>
        </patternFill>
      </fill>
    </dxf>
    <dxf>
      <font>
        <b/>
        <i val="0"/>
        <color auto="1"/>
      </font>
      <fill>
        <patternFill>
          <bgColor rgb="FF92D050"/>
        </patternFill>
      </fill>
    </dxf>
    <dxf>
      <numFmt numFmtId="15" formatCode="0.00E+00"/>
    </dxf>
    <dxf>
      <numFmt numFmtId="185" formatCode="0.000"/>
    </dxf>
    <dxf>
      <numFmt numFmtId="165" formatCode="#,##0.0"/>
    </dxf>
    <dxf>
      <numFmt numFmtId="3" formatCode="#,##0"/>
    </dxf>
    <dxf>
      <numFmt numFmtId="184" formatCode="\-"/>
    </dxf>
    <dxf>
      <numFmt numFmtId="15" formatCode="0.00E+00"/>
    </dxf>
    <dxf>
      <numFmt numFmtId="185" formatCode="0.000"/>
    </dxf>
    <dxf>
      <numFmt numFmtId="165" formatCode="#,##0.0"/>
    </dxf>
    <dxf>
      <numFmt numFmtId="3" formatCode="#,##0"/>
    </dxf>
    <dxf>
      <numFmt numFmtId="184" formatCode="\-"/>
    </dxf>
    <dxf>
      <numFmt numFmtId="15" formatCode="0.00E+00"/>
    </dxf>
    <dxf>
      <numFmt numFmtId="185" formatCode="0.000"/>
    </dxf>
    <dxf>
      <numFmt numFmtId="165" formatCode="#,##0.0"/>
    </dxf>
    <dxf>
      <numFmt numFmtId="3" formatCode="#,##0"/>
    </dxf>
    <dxf>
      <numFmt numFmtId="184" formatCode="\-"/>
    </dxf>
    <dxf>
      <font>
        <color theme="1" tint="0.499984740745262"/>
      </font>
      <fill>
        <patternFill patternType="solid">
          <bgColor theme="1" tint="0.499984740745262"/>
        </patternFill>
      </fill>
    </dxf>
    <dxf>
      <fill>
        <patternFill>
          <bgColor rgb="FFFFFF00"/>
        </patternFill>
      </fill>
    </dxf>
    <dxf>
      <font>
        <color theme="1" tint="0.499984740745262"/>
      </font>
      <fill>
        <patternFill patternType="solid">
          <bgColor theme="1" tint="0.499984740745262"/>
        </patternFill>
      </fill>
    </dxf>
    <dxf>
      <fill>
        <patternFill>
          <bgColor rgb="FFFFFF00"/>
        </patternFill>
      </fill>
    </dxf>
    <dxf>
      <fill>
        <patternFill patternType="darkUp">
          <bgColor theme="0"/>
        </patternFill>
      </fill>
    </dxf>
    <dxf>
      <fill>
        <patternFill>
          <bgColor rgb="FFFFFF00"/>
        </patternFill>
      </fill>
    </dxf>
    <dxf>
      <fill>
        <patternFill>
          <bgColor rgb="FFFFFF00"/>
        </patternFill>
      </fill>
    </dxf>
    <dxf>
      <fill>
        <patternFill patternType="darkUp">
          <bgColor theme="0"/>
        </patternFill>
      </fill>
    </dxf>
    <dxf>
      <fill>
        <patternFill>
          <bgColor rgb="FFFFFF00"/>
        </patternFill>
      </fill>
    </dxf>
    <dxf>
      <numFmt numFmtId="184" formatCode="\-"/>
    </dxf>
    <dxf>
      <numFmt numFmtId="3" formatCode="#,##0"/>
    </dxf>
    <dxf>
      <numFmt numFmtId="186" formatCode="\A##\-##\-###\-###"/>
    </dxf>
    <dxf>
      <font>
        <color theme="0"/>
      </font>
    </dxf>
    <dxf>
      <font>
        <color theme="0"/>
      </font>
    </dxf>
    <dxf>
      <font>
        <color theme="0"/>
      </font>
    </dxf>
    <dxf>
      <numFmt numFmtId="3" formatCode="#,##0"/>
    </dxf>
    <dxf>
      <numFmt numFmtId="165" formatCode="#,##0.0"/>
    </dxf>
    <dxf>
      <numFmt numFmtId="4" formatCode="#,##0.00"/>
    </dxf>
    <dxf>
      <numFmt numFmtId="182" formatCode="#,##0.000"/>
    </dxf>
    <dxf>
      <font>
        <color theme="0"/>
      </font>
    </dxf>
    <dxf>
      <numFmt numFmtId="184" formatCode="\-"/>
    </dxf>
    <dxf>
      <numFmt numFmtId="3" formatCode="#,##0"/>
    </dxf>
    <dxf>
      <numFmt numFmtId="15" formatCode="0.00E+00"/>
    </dxf>
    <dxf>
      <numFmt numFmtId="186" formatCode="\A##\-##\-###\-###"/>
    </dxf>
    <dxf>
      <font>
        <color theme="0"/>
      </font>
    </dxf>
    <dxf>
      <font>
        <color theme="0"/>
      </font>
    </dxf>
    <dxf>
      <numFmt numFmtId="15" formatCode="0.00E+00"/>
    </dxf>
    <dxf>
      <numFmt numFmtId="3" formatCode="#,##0"/>
    </dxf>
    <dxf>
      <numFmt numFmtId="15" formatCode="0.00E+00"/>
    </dxf>
    <dxf>
      <numFmt numFmtId="184" formatCode="\-"/>
    </dxf>
    <dxf>
      <fill>
        <patternFill>
          <bgColor theme="0" tint="-0.34998626667073579"/>
        </patternFill>
      </fill>
    </dxf>
    <dxf>
      <fill>
        <patternFill>
          <bgColor rgb="FFFFC000"/>
        </patternFill>
      </fill>
    </dxf>
    <dxf>
      <fill>
        <patternFill>
          <bgColor rgb="FFFFFF00"/>
        </patternFill>
      </fill>
    </dxf>
    <dxf>
      <numFmt numFmtId="187" formatCode="0.0E+00"/>
    </dxf>
    <dxf>
      <numFmt numFmtId="3" formatCode="#,##0"/>
    </dxf>
    <dxf>
      <numFmt numFmtId="15" formatCode="0.00E+00"/>
    </dxf>
    <dxf>
      <numFmt numFmtId="184" formatCode="\-"/>
    </dxf>
    <dxf>
      <fill>
        <patternFill>
          <bgColor rgb="FFFFC000"/>
        </patternFill>
      </fill>
    </dxf>
    <dxf>
      <fill>
        <patternFill>
          <bgColor rgb="FFFFFF00"/>
        </patternFill>
      </fill>
    </dxf>
    <dxf>
      <fill>
        <patternFill>
          <bgColor theme="0" tint="-0.34998626667073579"/>
        </patternFill>
      </fill>
    </dxf>
    <dxf>
      <numFmt numFmtId="187" formatCode="0.0E+00"/>
    </dxf>
    <dxf>
      <numFmt numFmtId="3" formatCode="#,##0"/>
    </dxf>
    <dxf>
      <numFmt numFmtId="15" formatCode="0.00E+00"/>
    </dxf>
    <dxf>
      <numFmt numFmtId="184" formatCode="\-"/>
    </dxf>
    <dxf>
      <fill>
        <patternFill>
          <bgColor rgb="FFFFC000"/>
        </patternFill>
      </fill>
    </dxf>
    <dxf>
      <fill>
        <patternFill>
          <bgColor rgb="FFFFFF00"/>
        </patternFill>
      </fill>
    </dxf>
    <dxf>
      <fill>
        <patternFill>
          <bgColor theme="0" tint="-0.34998626667073579"/>
        </patternFill>
      </fill>
    </dxf>
    <dxf>
      <numFmt numFmtId="15" formatCode="0.00E+00"/>
    </dxf>
    <dxf>
      <numFmt numFmtId="3" formatCode="#,##0"/>
    </dxf>
    <dxf>
      <numFmt numFmtId="15" formatCode="0.00E+00"/>
    </dxf>
    <dxf>
      <numFmt numFmtId="184" formatCode="\-"/>
    </dxf>
    <dxf>
      <fill>
        <patternFill>
          <bgColor rgb="FFFFFF00"/>
        </patternFill>
      </fill>
    </dxf>
    <dxf>
      <fill>
        <patternFill>
          <bgColor rgb="FFFFFF00"/>
        </patternFill>
      </fill>
    </dxf>
    <dxf>
      <fill>
        <patternFill>
          <bgColor rgb="FFFFFF00"/>
        </patternFill>
      </fill>
    </dxf>
    <dxf>
      <numFmt numFmtId="186" formatCode="\A##\-##\-###\-###"/>
    </dxf>
    <dxf>
      <fill>
        <patternFill patternType="darkUp">
          <bgColor theme="0"/>
        </patternFill>
      </fill>
    </dxf>
    <dxf>
      <fill>
        <patternFill patternType="darkUp">
          <bgColor theme="0"/>
        </patternFill>
      </fill>
    </dxf>
    <dxf>
      <fill>
        <patternFill>
          <bgColor rgb="FFFFFF00"/>
        </patternFill>
      </fill>
    </dxf>
    <dxf>
      <fill>
        <patternFill>
          <bgColor rgb="FFFFC000"/>
        </patternFill>
      </fill>
    </dxf>
    <dxf>
      <fill>
        <patternFill patternType="darkUp">
          <bgColor theme="0"/>
        </patternFill>
      </fill>
    </dxf>
    <dxf>
      <fill>
        <patternFill>
          <bgColor rgb="FFFFFF00"/>
        </patternFill>
      </fill>
    </dxf>
    <dxf>
      <numFmt numFmtId="3" formatCode="#,##0"/>
    </dxf>
    <dxf>
      <numFmt numFmtId="186" formatCode="\A##\-##\-###\-###"/>
    </dxf>
    <dxf>
      <font>
        <strike val="0"/>
        <color theme="0"/>
      </font>
      <fill>
        <patternFill patternType="solid">
          <fgColor theme="0"/>
          <bgColor theme="0"/>
        </patternFill>
      </fill>
    </dxf>
    <dxf>
      <fill>
        <patternFill>
          <bgColor rgb="FFFFC000"/>
        </patternFill>
      </fill>
    </dxf>
    <dxf>
      <fill>
        <patternFill>
          <bgColor rgb="FFFFC000"/>
        </patternFill>
      </fill>
    </dxf>
    <dxf>
      <font>
        <b/>
        <i val="0"/>
      </font>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ont>
        <color theme="0"/>
      </font>
    </dxf>
    <dxf>
      <fill>
        <patternFill>
          <bgColor rgb="FFFFFF00"/>
        </patternFill>
      </fill>
    </dxf>
    <dxf>
      <font>
        <b/>
        <i val="0"/>
      </font>
      <fill>
        <patternFill>
          <bgColor theme="9" tint="-0.24994659260841701"/>
        </patternFill>
      </fill>
    </dxf>
    <dxf>
      <font>
        <b/>
        <i val="0"/>
      </font>
      <fill>
        <patternFill>
          <bgColor theme="9" tint="-0.24994659260841701"/>
        </patternFill>
      </fill>
    </dxf>
    <dxf>
      <font>
        <b/>
        <i val="0"/>
        <color auto="1"/>
      </font>
      <fill>
        <patternFill>
          <bgColor rgb="FF92D050"/>
        </patternFill>
      </fill>
    </dxf>
    <dxf>
      <font>
        <b/>
        <i val="0"/>
        <color auto="1"/>
      </font>
      <fill>
        <patternFill>
          <bgColor rgb="FF92D050"/>
        </patternFill>
      </fill>
    </dxf>
    <dxf>
      <numFmt numFmtId="15" formatCode="0.00E+00"/>
    </dxf>
    <dxf>
      <numFmt numFmtId="185" formatCode="0.000"/>
    </dxf>
    <dxf>
      <numFmt numFmtId="165" formatCode="#,##0.0"/>
    </dxf>
    <dxf>
      <numFmt numFmtId="3" formatCode="#,##0"/>
    </dxf>
    <dxf>
      <numFmt numFmtId="184" formatCode="\-"/>
    </dxf>
    <dxf>
      <numFmt numFmtId="15" formatCode="0.00E+00"/>
    </dxf>
    <dxf>
      <numFmt numFmtId="185" formatCode="0.000"/>
    </dxf>
    <dxf>
      <numFmt numFmtId="165" formatCode="#,##0.0"/>
    </dxf>
    <dxf>
      <numFmt numFmtId="3" formatCode="#,##0"/>
    </dxf>
    <dxf>
      <numFmt numFmtId="184" formatCode="\-"/>
    </dxf>
    <dxf>
      <numFmt numFmtId="15" formatCode="0.00E+00"/>
    </dxf>
    <dxf>
      <numFmt numFmtId="185" formatCode="0.000"/>
    </dxf>
    <dxf>
      <numFmt numFmtId="165" formatCode="#,##0.0"/>
    </dxf>
    <dxf>
      <numFmt numFmtId="3" formatCode="#,##0"/>
    </dxf>
    <dxf>
      <numFmt numFmtId="184" formatCode="\-"/>
    </dxf>
    <dxf>
      <font>
        <color theme="1" tint="0.499984740745262"/>
      </font>
      <fill>
        <patternFill>
          <bgColor theme="1" tint="0.499984740745262"/>
        </patternFill>
      </fill>
    </dxf>
    <dxf>
      <fill>
        <patternFill>
          <bgColor rgb="FFFFC000"/>
        </patternFill>
      </fill>
    </dxf>
    <dxf>
      <font>
        <color theme="1" tint="0.499984740745262"/>
      </font>
      <fill>
        <patternFill>
          <bgColor theme="1" tint="0.499984740745262"/>
        </patternFill>
      </fill>
    </dxf>
    <dxf>
      <fill>
        <patternFill>
          <bgColor rgb="FFFFFF00"/>
        </patternFill>
      </fill>
    </dxf>
    <dxf>
      <fill>
        <patternFill>
          <bgColor rgb="FFFFC000"/>
        </patternFill>
      </fill>
    </dxf>
    <dxf>
      <fill>
        <patternFill>
          <bgColor rgb="FFFFFF00"/>
        </patternFill>
      </fill>
    </dxf>
    <dxf>
      <fill>
        <patternFill>
          <bgColor theme="1"/>
        </patternFill>
      </fill>
    </dxf>
    <dxf>
      <fill>
        <patternFill>
          <bgColor theme="1"/>
        </patternFill>
      </fill>
    </dxf>
    <dxf>
      <fill>
        <patternFill>
          <bgColor rgb="FFFFC000"/>
        </patternFill>
      </fill>
    </dxf>
    <dxf>
      <fill>
        <patternFill>
          <bgColor rgb="FFFFFF00"/>
        </patternFill>
      </fill>
    </dxf>
    <dxf>
      <numFmt numFmtId="184" formatCode="\-"/>
    </dxf>
    <dxf>
      <font>
        <color theme="0" tint="-0.1499679555650502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dxf>
    <dxf>
      <fill>
        <patternFill>
          <bgColor rgb="FFFFFF00"/>
        </patternFill>
      </fill>
    </dxf>
    <dxf>
      <fill>
        <patternFill>
          <bgColor rgb="FFFFFF00"/>
        </patternFill>
      </fill>
    </dxf>
    <dxf>
      <fill>
        <patternFill>
          <bgColor theme="0" tint="-0.14996795556505021"/>
        </patternFill>
      </fill>
      <border>
        <right/>
        <top/>
        <bottom/>
        <vertical/>
        <horizontal/>
      </border>
    </dxf>
    <dxf>
      <font>
        <color theme="0" tint="-0.14996795556505021"/>
      </font>
    </dxf>
    <dxf>
      <fill>
        <patternFill>
          <bgColor theme="0" tint="-0.14996795556505021"/>
        </patternFill>
      </fill>
      <border>
        <right/>
        <top/>
        <bottom/>
        <vertical/>
        <horizontal/>
      </border>
    </dxf>
    <dxf>
      <fill>
        <patternFill>
          <bgColor rgb="FFFFFF00"/>
        </patternFill>
      </fill>
    </dxf>
    <dxf>
      <font>
        <color theme="0" tint="-0.14996795556505021"/>
      </font>
    </dxf>
    <dxf>
      <fill>
        <patternFill>
          <bgColor theme="0" tint="-0.14996795556505021"/>
        </patternFill>
      </fill>
      <border>
        <right/>
        <top/>
        <bottom/>
        <vertical/>
        <horizontal/>
      </border>
    </dxf>
    <dxf>
      <fill>
        <patternFill>
          <bgColor rgb="FFFFFF00"/>
        </patternFill>
      </fill>
    </dxf>
    <dxf>
      <font>
        <color theme="0" tint="-0.14996795556505021"/>
      </font>
    </dxf>
    <dxf>
      <fill>
        <patternFill>
          <bgColor theme="0" tint="-0.14996795556505021"/>
        </patternFill>
      </fill>
      <border>
        <right/>
        <top/>
        <bottom/>
        <vertical/>
        <horizontal/>
      </border>
    </dxf>
    <dxf>
      <fill>
        <patternFill>
          <bgColor rgb="FFFFFF00"/>
        </patternFill>
      </fill>
    </dxf>
    <dxf>
      <font>
        <color theme="0" tint="-0.14996795556505021"/>
      </font>
    </dxf>
    <dxf>
      <fill>
        <patternFill>
          <bgColor rgb="FFFFFF00"/>
        </patternFill>
      </fill>
    </dxf>
    <dxf>
      <fill>
        <patternFill>
          <bgColor rgb="FFFFFF00"/>
        </patternFill>
      </fill>
    </dxf>
    <dxf>
      <fill>
        <patternFill>
          <bgColor rgb="FFFFFF00"/>
        </patternFill>
      </fill>
    </dxf>
    <dxf>
      <numFmt numFmtId="3" formatCode="#,##0"/>
    </dxf>
    <dxf>
      <numFmt numFmtId="165" formatCode="#,##0.0"/>
    </dxf>
    <dxf>
      <numFmt numFmtId="4" formatCode="#,##0.00"/>
    </dxf>
    <dxf>
      <numFmt numFmtId="182" formatCode="#,##0.000"/>
    </dxf>
    <dxf>
      <numFmt numFmtId="176" formatCode="0.0000"/>
    </dxf>
    <dxf>
      <numFmt numFmtId="3" formatCode="#,##0"/>
    </dxf>
    <dxf>
      <numFmt numFmtId="184" formatCode="\-"/>
    </dxf>
    <dxf>
      <border>
        <right/>
        <vertical/>
        <horizontal/>
      </border>
    </dxf>
    <dxf>
      <border>
        <right/>
      </border>
    </dxf>
    <dxf>
      <font>
        <color theme="0" tint="-0.14996795556505021"/>
      </font>
    </dxf>
    <dxf>
      <font>
        <color theme="0" tint="-0.14996795556505021"/>
      </font>
    </dxf>
    <dxf>
      <border>
        <right/>
        <vertical/>
        <horizontal/>
      </border>
    </dxf>
    <dxf>
      <border>
        <right/>
        <vertical/>
        <horizontal/>
      </border>
    </dxf>
    <dxf>
      <border>
        <right/>
        <vertical/>
        <horizontal/>
      </border>
    </dxf>
    <dxf>
      <font>
        <color theme="0"/>
      </font>
    </dxf>
    <dxf>
      <font>
        <color theme="0"/>
      </font>
    </dxf>
    <dxf>
      <numFmt numFmtId="15" formatCode="0.00E+00"/>
    </dxf>
    <dxf>
      <numFmt numFmtId="2" formatCode="0.00"/>
    </dxf>
    <dxf>
      <numFmt numFmtId="165" formatCode="#,##0.0"/>
    </dxf>
    <dxf>
      <numFmt numFmtId="3" formatCode="#,##0"/>
    </dxf>
    <dxf>
      <numFmt numFmtId="184" formatCode="\-"/>
    </dxf>
    <dxf>
      <numFmt numFmtId="15" formatCode="0.00E+00"/>
    </dxf>
    <dxf>
      <numFmt numFmtId="184" formatCode="\-"/>
    </dxf>
    <dxf>
      <numFmt numFmtId="3" formatCode="#,##0"/>
    </dxf>
    <dxf>
      <numFmt numFmtId="184" formatCode="\-"/>
    </dxf>
    <dxf>
      <font>
        <color theme="0" tint="-0.14996795556505021"/>
      </font>
    </dxf>
    <dxf>
      <font>
        <color theme="0" tint="-0.14996795556505021"/>
      </font>
      <fill>
        <patternFill>
          <bgColor theme="0" tint="-0.14996795556505021"/>
        </patternFill>
      </fill>
      <border>
        <left/>
        <right/>
        <top/>
        <bottom/>
        <vertical/>
        <horizontal/>
      </border>
    </dxf>
    <dxf>
      <fill>
        <patternFill>
          <bgColor theme="0" tint="-0.14996795556505021"/>
        </patternFill>
      </fill>
      <border>
        <right/>
        <top/>
        <bottom/>
        <vertical/>
        <horizontal/>
      </border>
    </dxf>
    <dxf>
      <fill>
        <patternFill>
          <bgColor rgb="FFFFFF00"/>
        </patternFill>
      </fill>
    </dxf>
    <dxf>
      <font>
        <color theme="0" tint="-0.14996795556505021"/>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14996795556505021"/>
      </font>
      <fill>
        <patternFill>
          <bgColor theme="0" tint="-0.14996795556505021"/>
        </patternFill>
      </fill>
      <border>
        <right/>
        <top/>
        <bottom/>
        <vertical/>
        <horizontal/>
      </border>
    </dxf>
    <dxf>
      <font>
        <color theme="0" tint="-0.14996795556505021"/>
      </font>
    </dxf>
    <dxf>
      <fill>
        <patternFill>
          <bgColor theme="0" tint="-0.14996795556505021"/>
        </patternFill>
      </fill>
      <border>
        <right/>
        <top/>
        <bottom/>
        <vertical/>
        <horizontal/>
      </border>
    </dxf>
    <dxf>
      <fill>
        <patternFill>
          <bgColor rgb="FFFFFF00"/>
        </patternFill>
      </fill>
    </dxf>
    <dxf>
      <font>
        <color theme="0" tint="-0.14996795556505021"/>
      </font>
    </dxf>
    <dxf>
      <fill>
        <patternFill>
          <bgColor theme="0" tint="-0.14996795556505021"/>
        </patternFill>
      </fill>
      <border>
        <right/>
        <top/>
        <bottom/>
        <vertical/>
        <horizontal/>
      </border>
    </dxf>
    <dxf>
      <fill>
        <patternFill>
          <bgColor rgb="FFFFFF00"/>
        </patternFill>
      </fill>
    </dxf>
    <dxf>
      <font>
        <color theme="0" tint="-0.14996795556505021"/>
      </font>
    </dxf>
    <dxf>
      <fill>
        <patternFill>
          <bgColor theme="0" tint="-0.14996795556505021"/>
        </patternFill>
      </fill>
      <border>
        <right/>
        <top/>
        <bottom/>
        <vertical/>
        <horizontal/>
      </border>
    </dxf>
    <dxf>
      <fill>
        <patternFill>
          <bgColor rgb="FFFFFF00"/>
        </patternFill>
      </fill>
    </dxf>
    <dxf>
      <font>
        <color theme="0" tint="-0.14996795556505021"/>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border>
        <left/>
        <right/>
        <top/>
        <bottom/>
        <vertical/>
        <horizontal/>
      </border>
    </dxf>
    <dxf>
      <font>
        <color theme="0" tint="-0.14996795556505021"/>
      </font>
    </dxf>
    <dxf>
      <numFmt numFmtId="3" formatCode="#,##0"/>
    </dxf>
    <dxf>
      <numFmt numFmtId="165" formatCode="#,##0.0"/>
    </dxf>
    <dxf>
      <numFmt numFmtId="4" formatCode="#,##0.00"/>
    </dxf>
    <dxf>
      <numFmt numFmtId="182" formatCode="#,##0.000"/>
    </dxf>
    <dxf>
      <numFmt numFmtId="15" formatCode="0.00E+00"/>
    </dxf>
    <dxf>
      <numFmt numFmtId="15" formatCode="0.00E+00"/>
    </dxf>
    <dxf>
      <numFmt numFmtId="184" formatCode="\-"/>
    </dxf>
    <dxf>
      <numFmt numFmtId="3" formatCode="#,##0"/>
    </dxf>
    <dxf>
      <numFmt numFmtId="187" formatCode="0.0E+00"/>
    </dxf>
    <dxf>
      <numFmt numFmtId="184" formatCode="\-"/>
    </dxf>
    <dxf>
      <numFmt numFmtId="3" formatCode="#,##0"/>
    </dxf>
    <dxf>
      <numFmt numFmtId="15" formatCode="0.00E+00"/>
    </dxf>
    <dxf>
      <numFmt numFmtId="176" formatCode="0.0000"/>
    </dxf>
    <dxf>
      <numFmt numFmtId="3" formatCode="#,##0"/>
    </dxf>
    <dxf>
      <numFmt numFmtId="3" formatCode="#,##0"/>
    </dxf>
    <dxf>
      <numFmt numFmtId="15" formatCode="0.00E+00"/>
    </dxf>
    <dxf>
      <font>
        <color theme="0"/>
      </font>
    </dxf>
    <dxf>
      <font>
        <color theme="0"/>
      </font>
    </dxf>
    <dxf>
      <font>
        <color theme="0"/>
      </font>
    </dxf>
    <dxf>
      <border>
        <right/>
        <vertical/>
        <horizontal/>
      </border>
    </dxf>
    <dxf>
      <numFmt numFmtId="15" formatCode="0.00E+00"/>
    </dxf>
    <dxf>
      <font>
        <color theme="0" tint="-0.14996795556505021"/>
      </font>
    </dxf>
    <dxf>
      <border>
        <right/>
        <vertical/>
        <horizontal/>
      </border>
    </dxf>
    <dxf>
      <border>
        <right/>
        <vertical/>
        <horizontal/>
      </border>
    </dxf>
    <dxf>
      <border>
        <right/>
        <vertical/>
        <horizontal/>
      </border>
    </dxf>
    <dxf>
      <border>
        <right/>
        <vertical/>
        <horizontal/>
      </border>
    </dxf>
    <dxf>
      <numFmt numFmtId="186" formatCode="\A##\-##\-###\-###"/>
    </dxf>
    <dxf>
      <fill>
        <patternFill>
          <bgColor rgb="FFFFFF00"/>
        </patternFill>
      </fill>
    </dxf>
    <dxf>
      <font>
        <color theme="0"/>
      </font>
    </dxf>
    <dxf>
      <numFmt numFmtId="184" formatCode="\-"/>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ont>
        <color theme="0"/>
      </font>
      <fill>
        <patternFill>
          <bgColor rgb="FFC00000"/>
        </patternFill>
      </fill>
    </dxf>
    <dxf>
      <fill>
        <patternFill>
          <bgColor rgb="FFFFFF00"/>
        </patternFill>
      </fill>
    </dxf>
    <dxf>
      <fill>
        <patternFill>
          <bgColor rgb="FFFFFF00"/>
        </patternFill>
      </fill>
    </dxf>
    <dxf>
      <fill>
        <patternFill>
          <bgColor rgb="FFFFFF00"/>
        </patternFill>
      </fill>
    </dxf>
    <dxf>
      <fill>
        <patternFill patternType="darkUp">
          <bgColor theme="0"/>
        </patternFill>
      </fill>
    </dxf>
    <dxf>
      <fill>
        <patternFill>
          <bgColor rgb="FFFFC000"/>
        </patternFill>
      </fill>
    </dxf>
    <dxf>
      <fill>
        <patternFill>
          <bgColor rgb="FFFFC000"/>
        </patternFill>
      </fill>
    </dxf>
    <dxf>
      <fill>
        <patternFill>
          <bgColor rgb="FFFFC000"/>
        </patternFill>
      </fill>
    </dxf>
    <dxf>
      <font>
        <color theme="0"/>
      </font>
      <fill>
        <patternFill>
          <bgColor rgb="FFC0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14996795556505021"/>
      </font>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ont>
        <color theme="0" tint="-0.14996795556505021"/>
      </font>
      <fill>
        <patternFill>
          <bgColor theme="0" tint="-0.14996795556505021"/>
        </patternFill>
      </fill>
    </dxf>
    <dxf>
      <fill>
        <patternFill>
          <bgColor rgb="FFFFFF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numFmt numFmtId="186" formatCode="\A##\-##\-###\-###"/>
    </dxf>
    <dxf>
      <numFmt numFmtId="186" formatCode="\A##\-##\-###\-###"/>
    </dxf>
    <dxf>
      <numFmt numFmtId="186" formatCode="\A##\-##\-###\-###"/>
    </dxf>
    <dxf>
      <fill>
        <patternFill>
          <bgColor rgb="FFFFFF00"/>
        </patternFill>
      </fill>
    </dxf>
    <dxf>
      <font>
        <color theme="0"/>
      </font>
      <fill>
        <patternFill>
          <bgColor rgb="FFFF0000"/>
        </patternFill>
      </fill>
    </dxf>
    <dxf>
      <font>
        <color theme="0"/>
      </font>
      <fill>
        <patternFill>
          <bgColor rgb="FFFF0000"/>
        </patternFill>
      </fill>
    </dxf>
    <dxf>
      <fill>
        <patternFill>
          <bgColor rgb="FFFFFF00"/>
        </patternFill>
      </fill>
    </dxf>
    <dxf>
      <fill>
        <patternFill>
          <bgColor rgb="FFFFFF00"/>
        </patternFill>
      </fill>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darkUp"/>
      </fill>
    </dxf>
    <dxf>
      <fill>
        <patternFill patternType="darkUp"/>
      </fill>
    </dxf>
    <dxf>
      <fill>
        <patternFill>
          <bgColor theme="0"/>
        </patternFill>
      </fill>
      <border>
        <left style="thin">
          <color auto="1"/>
        </left>
        <right style="thin">
          <color auto="1"/>
        </right>
        <top style="thin">
          <color auto="1"/>
        </top>
        <bottom style="thin">
          <color auto="1"/>
        </bottom>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darkUp"/>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ont>
        <color auto="1"/>
      </font>
      <fill>
        <patternFill patternType="darkUp"/>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darkUp"/>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S$13"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fmlaLink="$Q$79" lockText="1"/>
</file>

<file path=xl/ctrlProps/ctrlProp101.xml><?xml version="1.0" encoding="utf-8"?>
<formControlPr xmlns="http://schemas.microsoft.com/office/spreadsheetml/2009/9/main" objectType="CheckBox" fmlaLink="$P$85" lockText="1"/>
</file>

<file path=xl/ctrlProps/ctrlProp102.xml><?xml version="1.0" encoding="utf-8"?>
<formControlPr xmlns="http://schemas.microsoft.com/office/spreadsheetml/2009/9/main" objectType="CheckBox" fmlaLink="$Q$85" lockText="1"/>
</file>

<file path=xl/ctrlProps/ctrlProp103.xml><?xml version="1.0" encoding="utf-8"?>
<formControlPr xmlns="http://schemas.microsoft.com/office/spreadsheetml/2009/9/main" objectType="CheckBox" fmlaLink="$P$87" lockText="1"/>
</file>

<file path=xl/ctrlProps/ctrlProp104.xml><?xml version="1.0" encoding="utf-8"?>
<formControlPr xmlns="http://schemas.microsoft.com/office/spreadsheetml/2009/9/main" objectType="CheckBox" fmlaLink="$Q$87" lockText="1"/>
</file>

<file path=xl/ctrlProps/ctrlProp105.xml><?xml version="1.0" encoding="utf-8"?>
<formControlPr xmlns="http://schemas.microsoft.com/office/spreadsheetml/2009/9/main" objectType="CheckBox" fmlaLink="$P$91" lockText="1"/>
</file>

<file path=xl/ctrlProps/ctrlProp106.xml><?xml version="1.0" encoding="utf-8"?>
<formControlPr xmlns="http://schemas.microsoft.com/office/spreadsheetml/2009/9/main" objectType="CheckBox" fmlaLink="$Q$91" lockText="1"/>
</file>

<file path=xl/ctrlProps/ctrlProp107.xml><?xml version="1.0" encoding="utf-8"?>
<formControlPr xmlns="http://schemas.microsoft.com/office/spreadsheetml/2009/9/main" objectType="CheckBox" fmlaLink="$P$90" lockText="1"/>
</file>

<file path=xl/ctrlProps/ctrlProp108.xml><?xml version="1.0" encoding="utf-8"?>
<formControlPr xmlns="http://schemas.microsoft.com/office/spreadsheetml/2009/9/main" objectType="CheckBox" fmlaLink="$Q$90" lockText="1"/>
</file>

<file path=xl/ctrlProps/ctrlProp109.xml><?xml version="1.0" encoding="utf-8"?>
<formControlPr xmlns="http://schemas.microsoft.com/office/spreadsheetml/2009/9/main" objectType="CheckBox" fmlaLink="$I$6"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fmlaLink="$J$6" lockText="1"/>
</file>

<file path=xl/ctrlProps/ctrlProp111.xml><?xml version="1.0" encoding="utf-8"?>
<formControlPr xmlns="http://schemas.microsoft.com/office/spreadsheetml/2009/9/main" objectType="CheckBox" fmlaLink="$P$37" lockText="1"/>
</file>

<file path=xl/ctrlProps/ctrlProp112.xml><?xml version="1.0" encoding="utf-8"?>
<formControlPr xmlns="http://schemas.microsoft.com/office/spreadsheetml/2009/9/main" objectType="CheckBox" fmlaLink="$Q$37" lockText="1"/>
</file>

<file path=xl/ctrlProps/ctrlProp113.xml><?xml version="1.0" encoding="utf-8"?>
<formControlPr xmlns="http://schemas.microsoft.com/office/spreadsheetml/2009/9/main" objectType="CheckBox" fmlaLink="$P$38" lockText="1"/>
</file>

<file path=xl/ctrlProps/ctrlProp114.xml><?xml version="1.0" encoding="utf-8"?>
<formControlPr xmlns="http://schemas.microsoft.com/office/spreadsheetml/2009/9/main" objectType="CheckBox" fmlaLink="$Q$38" lockText="1"/>
</file>

<file path=xl/ctrlProps/ctrlProp115.xml><?xml version="1.0" encoding="utf-8"?>
<formControlPr xmlns="http://schemas.microsoft.com/office/spreadsheetml/2009/9/main" objectType="CheckBox" fmlaLink="$P$39" lockText="1"/>
</file>

<file path=xl/ctrlProps/ctrlProp116.xml><?xml version="1.0" encoding="utf-8"?>
<formControlPr xmlns="http://schemas.microsoft.com/office/spreadsheetml/2009/9/main" objectType="CheckBox" fmlaLink="$Q$39" lockText="1"/>
</file>

<file path=xl/ctrlProps/ctrlProp117.xml><?xml version="1.0" encoding="utf-8"?>
<formControlPr xmlns="http://schemas.microsoft.com/office/spreadsheetml/2009/9/main" objectType="CheckBox" fmlaLink="$P$50" lockText="1"/>
</file>

<file path=xl/ctrlProps/ctrlProp118.xml><?xml version="1.0" encoding="utf-8"?>
<formControlPr xmlns="http://schemas.microsoft.com/office/spreadsheetml/2009/9/main" objectType="CheckBox" fmlaLink="$Q$50" lockText="1"/>
</file>

<file path=xl/ctrlProps/ctrlProp119.xml><?xml version="1.0" encoding="utf-8"?>
<formControlPr xmlns="http://schemas.microsoft.com/office/spreadsheetml/2009/9/main" objectType="CheckBox" fmlaLink="$P$51"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fmlaLink="$Q$51" lockText="1"/>
</file>

<file path=xl/ctrlProps/ctrlProp121.xml><?xml version="1.0" encoding="utf-8"?>
<formControlPr xmlns="http://schemas.microsoft.com/office/spreadsheetml/2009/9/main" objectType="CheckBox" fmlaLink="$P$52" lockText="1"/>
</file>

<file path=xl/ctrlProps/ctrlProp122.xml><?xml version="1.0" encoding="utf-8"?>
<formControlPr xmlns="http://schemas.microsoft.com/office/spreadsheetml/2009/9/main" objectType="CheckBox" fmlaLink="$Q$52" lockText="1"/>
</file>

<file path=xl/ctrlProps/ctrlProp123.xml><?xml version="1.0" encoding="utf-8"?>
<formControlPr xmlns="http://schemas.microsoft.com/office/spreadsheetml/2009/9/main" objectType="CheckBox" fmlaLink="$P$63" lockText="1"/>
</file>

<file path=xl/ctrlProps/ctrlProp124.xml><?xml version="1.0" encoding="utf-8"?>
<formControlPr xmlns="http://schemas.microsoft.com/office/spreadsheetml/2009/9/main" objectType="CheckBox" fmlaLink="$Q$63" lockText="1"/>
</file>

<file path=xl/ctrlProps/ctrlProp125.xml><?xml version="1.0" encoding="utf-8"?>
<formControlPr xmlns="http://schemas.microsoft.com/office/spreadsheetml/2009/9/main" objectType="CheckBox" fmlaLink="$P$64" lockText="1"/>
</file>

<file path=xl/ctrlProps/ctrlProp126.xml><?xml version="1.0" encoding="utf-8"?>
<formControlPr xmlns="http://schemas.microsoft.com/office/spreadsheetml/2009/9/main" objectType="CheckBox" fmlaLink="$Q$64" lockText="1"/>
</file>

<file path=xl/ctrlProps/ctrlProp127.xml><?xml version="1.0" encoding="utf-8"?>
<formControlPr xmlns="http://schemas.microsoft.com/office/spreadsheetml/2009/9/main" objectType="CheckBox" fmlaLink="$P$65" lockText="1"/>
</file>

<file path=xl/ctrlProps/ctrlProp128.xml><?xml version="1.0" encoding="utf-8"?>
<formControlPr xmlns="http://schemas.microsoft.com/office/spreadsheetml/2009/9/main" objectType="CheckBox" fmlaLink="$Q$65" lockText="1"/>
</file>

<file path=xl/ctrlProps/ctrlProp129.xml><?xml version="1.0" encoding="utf-8"?>
<formControlPr xmlns="http://schemas.microsoft.com/office/spreadsheetml/2009/9/main" objectType="CheckBox" fmlaLink="$P$96"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fmlaLink="$Q$96" lockText="1"/>
</file>

<file path=xl/ctrlProps/ctrlProp131.xml><?xml version="1.0" encoding="utf-8"?>
<formControlPr xmlns="http://schemas.microsoft.com/office/spreadsheetml/2009/9/main" objectType="CheckBox" fmlaLink="$P$98" lockText="1"/>
</file>

<file path=xl/ctrlProps/ctrlProp132.xml><?xml version="1.0" encoding="utf-8"?>
<formControlPr xmlns="http://schemas.microsoft.com/office/spreadsheetml/2009/9/main" objectType="CheckBox" fmlaLink="$Q$98" lockText="1"/>
</file>

<file path=xl/ctrlProps/ctrlProp133.xml><?xml version="1.0" encoding="utf-8"?>
<formControlPr xmlns="http://schemas.microsoft.com/office/spreadsheetml/2009/9/main" objectType="CheckBox" fmlaLink="$P$101" lockText="1"/>
</file>

<file path=xl/ctrlProps/ctrlProp134.xml><?xml version="1.0" encoding="utf-8"?>
<formControlPr xmlns="http://schemas.microsoft.com/office/spreadsheetml/2009/9/main" objectType="CheckBox" fmlaLink="$Q$101" lockText="1"/>
</file>

<file path=xl/ctrlProps/ctrlProp135.xml><?xml version="1.0" encoding="utf-8"?>
<formControlPr xmlns="http://schemas.microsoft.com/office/spreadsheetml/2009/9/main" objectType="CheckBox" fmlaLink="$P$102" lockText="1"/>
</file>

<file path=xl/ctrlProps/ctrlProp136.xml><?xml version="1.0" encoding="utf-8"?>
<formControlPr xmlns="http://schemas.microsoft.com/office/spreadsheetml/2009/9/main" objectType="CheckBox" fmlaLink="$Q$102" lockText="1"/>
</file>

<file path=xl/ctrlProps/ctrlProp137.xml><?xml version="1.0" encoding="utf-8"?>
<formControlPr xmlns="http://schemas.microsoft.com/office/spreadsheetml/2009/9/main" objectType="CheckBox" fmlaLink="$I$4" lockText="1"/>
</file>

<file path=xl/ctrlProps/ctrlProp138.xml><?xml version="1.0" encoding="utf-8"?>
<formControlPr xmlns="http://schemas.microsoft.com/office/spreadsheetml/2009/9/main" objectType="CheckBox" fmlaLink="$J$4" lockText="1"/>
</file>

<file path=xl/ctrlProps/ctrlProp139.xml><?xml version="1.0" encoding="utf-8"?>
<formControlPr xmlns="http://schemas.microsoft.com/office/spreadsheetml/2009/9/main" objectType="CheckBox" fmlaLink="$M$11"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fmlaLink="$N$11" lockText="1"/>
</file>

<file path=xl/ctrlProps/ctrlProp141.xml><?xml version="1.0" encoding="utf-8"?>
<formControlPr xmlns="http://schemas.microsoft.com/office/spreadsheetml/2009/9/main" objectType="CheckBox" fmlaLink="$M$27" lockText="1"/>
</file>

<file path=xl/ctrlProps/ctrlProp142.xml><?xml version="1.0" encoding="utf-8"?>
<formControlPr xmlns="http://schemas.microsoft.com/office/spreadsheetml/2009/9/main" objectType="CheckBox" fmlaLink="$N$27" lockText="1"/>
</file>

<file path=xl/ctrlProps/ctrlProp143.xml><?xml version="1.0" encoding="utf-8"?>
<formControlPr xmlns="http://schemas.microsoft.com/office/spreadsheetml/2009/9/main" objectType="CheckBox" fmlaLink="$M$5" lockText="1"/>
</file>

<file path=xl/ctrlProps/ctrlProp144.xml><?xml version="1.0" encoding="utf-8"?>
<formControlPr xmlns="http://schemas.microsoft.com/office/spreadsheetml/2009/9/main" objectType="CheckBox" fmlaLink="$N$5" lockText="1"/>
</file>

<file path=xl/ctrlProps/ctrlProp145.xml><?xml version="1.0" encoding="utf-8"?>
<formControlPr xmlns="http://schemas.microsoft.com/office/spreadsheetml/2009/9/main" objectType="CheckBox" fmlaLink="$M$6" lockText="1"/>
</file>

<file path=xl/ctrlProps/ctrlProp146.xml><?xml version="1.0" encoding="utf-8"?>
<formControlPr xmlns="http://schemas.microsoft.com/office/spreadsheetml/2009/9/main" objectType="CheckBox" fmlaLink="$N$6" lockText="1"/>
</file>

<file path=xl/ctrlProps/ctrlProp147.xml><?xml version="1.0" encoding="utf-8"?>
<formControlPr xmlns="http://schemas.microsoft.com/office/spreadsheetml/2009/9/main" objectType="CheckBox" fmlaLink="$M$16" lockText="1"/>
</file>

<file path=xl/ctrlProps/ctrlProp148.xml><?xml version="1.0" encoding="utf-8"?>
<formControlPr xmlns="http://schemas.microsoft.com/office/spreadsheetml/2009/9/main" objectType="CheckBox" fmlaLink="$N$16" lockText="1"/>
</file>

<file path=xl/ctrlProps/ctrlProp149.xml><?xml version="1.0" encoding="utf-8"?>
<formControlPr xmlns="http://schemas.microsoft.com/office/spreadsheetml/2009/9/main" objectType="CheckBox" fmlaLink="$M$21"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fmlaLink="$N$21" lockText="1"/>
</file>

<file path=xl/ctrlProps/ctrlProp151.xml><?xml version="1.0" encoding="utf-8"?>
<formControlPr xmlns="http://schemas.microsoft.com/office/spreadsheetml/2009/9/main" objectType="CheckBox" fmlaLink="$Q$22" lockText="1"/>
</file>

<file path=xl/ctrlProps/ctrlProp152.xml><?xml version="1.0" encoding="utf-8"?>
<formControlPr xmlns="http://schemas.microsoft.com/office/spreadsheetml/2009/9/main" objectType="CheckBox" fmlaLink="$R$22" lockText="1"/>
</file>

<file path=xl/ctrlProps/ctrlProp153.xml><?xml version="1.0" encoding="utf-8"?>
<formControlPr xmlns="http://schemas.microsoft.com/office/spreadsheetml/2009/9/main" objectType="CheckBox" fmlaLink="$Q$27" lockText="1"/>
</file>

<file path=xl/ctrlProps/ctrlProp154.xml><?xml version="1.0" encoding="utf-8"?>
<formControlPr xmlns="http://schemas.microsoft.com/office/spreadsheetml/2009/9/main" objectType="CheckBox" fmlaLink="$R$27" lockText="1"/>
</file>

<file path=xl/ctrlProps/ctrlProp155.xml><?xml version="1.0" encoding="utf-8"?>
<formControlPr xmlns="http://schemas.microsoft.com/office/spreadsheetml/2009/9/main" objectType="CheckBox" fmlaLink="$N$25" lockText="1"/>
</file>

<file path=xl/ctrlProps/ctrlProp156.xml><?xml version="1.0" encoding="utf-8"?>
<formControlPr xmlns="http://schemas.microsoft.com/office/spreadsheetml/2009/9/main" objectType="CheckBox" fmlaLink="$O$25" lockText="1"/>
</file>

<file path=xl/ctrlProps/ctrlProp157.xml><?xml version="1.0" encoding="utf-8"?>
<formControlPr xmlns="http://schemas.microsoft.com/office/spreadsheetml/2009/9/main" objectType="CheckBox" fmlaLink="$N$26" lockText="1"/>
</file>

<file path=xl/ctrlProps/ctrlProp158.xml><?xml version="1.0" encoding="utf-8"?>
<formControlPr xmlns="http://schemas.microsoft.com/office/spreadsheetml/2009/9/main" objectType="CheckBox" fmlaLink="$O$26" lockText="1"/>
</file>

<file path=xl/ctrlProps/ctrlProp159.xml><?xml version="1.0" encoding="utf-8"?>
<formControlPr xmlns="http://schemas.microsoft.com/office/spreadsheetml/2009/9/main" objectType="CheckBox" fmlaLink="$N$27" lockText="1"/>
</file>

<file path=xl/ctrlProps/ctrlProp16.xml><?xml version="1.0" encoding="utf-8"?>
<formControlPr xmlns="http://schemas.microsoft.com/office/spreadsheetml/2009/9/main" objectType="CheckBox" checked="Checked" lockText="1"/>
</file>

<file path=xl/ctrlProps/ctrlProp160.xml><?xml version="1.0" encoding="utf-8"?>
<formControlPr xmlns="http://schemas.microsoft.com/office/spreadsheetml/2009/9/main" objectType="CheckBox" fmlaLink="$O$27" lockText="1"/>
</file>

<file path=xl/ctrlProps/ctrlProp161.xml><?xml version="1.0" encoding="utf-8"?>
<formControlPr xmlns="http://schemas.microsoft.com/office/spreadsheetml/2009/9/main" objectType="CheckBox" fmlaLink="$N$28" lockText="1"/>
</file>

<file path=xl/ctrlProps/ctrlProp162.xml><?xml version="1.0" encoding="utf-8"?>
<formControlPr xmlns="http://schemas.microsoft.com/office/spreadsheetml/2009/9/main" objectType="CheckBox" fmlaLink="$O$28" lockText="1"/>
</file>

<file path=xl/ctrlProps/ctrlProp163.xml><?xml version="1.0" encoding="utf-8"?>
<formControlPr xmlns="http://schemas.microsoft.com/office/spreadsheetml/2009/9/main" objectType="CheckBox" fmlaLink="$N$29" lockText="1"/>
</file>

<file path=xl/ctrlProps/ctrlProp164.xml><?xml version="1.0" encoding="utf-8"?>
<formControlPr xmlns="http://schemas.microsoft.com/office/spreadsheetml/2009/9/main" objectType="CheckBox" fmlaLink="$O$29" lockText="1"/>
</file>

<file path=xl/ctrlProps/ctrlProp165.xml><?xml version="1.0" encoding="utf-8"?>
<formControlPr xmlns="http://schemas.microsoft.com/office/spreadsheetml/2009/9/main" objectType="CheckBox" fmlaLink="$N$30" lockText="1"/>
</file>

<file path=xl/ctrlProps/ctrlProp166.xml><?xml version="1.0" encoding="utf-8"?>
<formControlPr xmlns="http://schemas.microsoft.com/office/spreadsheetml/2009/9/main" objectType="CheckBox" fmlaLink="$O$30" lockText="1"/>
</file>

<file path=xl/ctrlProps/ctrlProp167.xml><?xml version="1.0" encoding="utf-8"?>
<formControlPr xmlns="http://schemas.microsoft.com/office/spreadsheetml/2009/9/main" objectType="CheckBox" fmlaLink="#REF!" lockText="1"/>
</file>

<file path=xl/ctrlProps/ctrlProp168.xml><?xml version="1.0" encoding="utf-8"?>
<formControlPr xmlns="http://schemas.microsoft.com/office/spreadsheetml/2009/9/main" objectType="CheckBox" fmlaLink="#REF!" lockText="1"/>
</file>

<file path=xl/ctrlProps/ctrlProp169.xml><?xml version="1.0" encoding="utf-8"?>
<formControlPr xmlns="http://schemas.microsoft.com/office/spreadsheetml/2009/9/main" objectType="CheckBox" fmlaLink="$N$31" lockText="1"/>
</file>

<file path=xl/ctrlProps/ctrlProp17.xml><?xml version="1.0" encoding="utf-8"?>
<formControlPr xmlns="http://schemas.microsoft.com/office/spreadsheetml/2009/9/main" objectType="CheckBox" fmlaLink="$Q$24" lockText="1"/>
</file>

<file path=xl/ctrlProps/ctrlProp170.xml><?xml version="1.0" encoding="utf-8"?>
<formControlPr xmlns="http://schemas.microsoft.com/office/spreadsheetml/2009/9/main" objectType="CheckBox" fmlaLink="$O$31" lockText="1"/>
</file>

<file path=xl/ctrlProps/ctrlProp171.xml><?xml version="1.0" encoding="utf-8"?>
<formControlPr xmlns="http://schemas.microsoft.com/office/spreadsheetml/2009/9/main" objectType="CheckBox" fmlaLink="$N$32" lockText="1"/>
</file>

<file path=xl/ctrlProps/ctrlProp172.xml><?xml version="1.0" encoding="utf-8"?>
<formControlPr xmlns="http://schemas.microsoft.com/office/spreadsheetml/2009/9/main" objectType="CheckBox" fmlaLink="$O$32" lockText="1"/>
</file>

<file path=xl/ctrlProps/ctrlProp173.xml><?xml version="1.0" encoding="utf-8"?>
<formControlPr xmlns="http://schemas.microsoft.com/office/spreadsheetml/2009/9/main" objectType="CheckBox" fmlaLink="$N$33" lockText="1"/>
</file>

<file path=xl/ctrlProps/ctrlProp174.xml><?xml version="1.0" encoding="utf-8"?>
<formControlPr xmlns="http://schemas.microsoft.com/office/spreadsheetml/2009/9/main" objectType="CheckBox" fmlaLink="$O$33" lockText="1"/>
</file>

<file path=xl/ctrlProps/ctrlProp175.xml><?xml version="1.0" encoding="utf-8"?>
<formControlPr xmlns="http://schemas.microsoft.com/office/spreadsheetml/2009/9/main" objectType="CheckBox" fmlaLink="$N$34" lockText="1"/>
</file>

<file path=xl/ctrlProps/ctrlProp176.xml><?xml version="1.0" encoding="utf-8"?>
<formControlPr xmlns="http://schemas.microsoft.com/office/spreadsheetml/2009/9/main" objectType="CheckBox" fmlaLink="$O$34" lockText="1"/>
</file>

<file path=xl/ctrlProps/ctrlProp177.xml><?xml version="1.0" encoding="utf-8"?>
<formControlPr xmlns="http://schemas.microsoft.com/office/spreadsheetml/2009/9/main" objectType="CheckBox" fmlaLink="$N$35" lockText="1"/>
</file>

<file path=xl/ctrlProps/ctrlProp178.xml><?xml version="1.0" encoding="utf-8"?>
<formControlPr xmlns="http://schemas.microsoft.com/office/spreadsheetml/2009/9/main" objectType="CheckBox" fmlaLink="$O$35" lockText="1"/>
</file>

<file path=xl/ctrlProps/ctrlProp179.xml><?xml version="1.0" encoding="utf-8"?>
<formControlPr xmlns="http://schemas.microsoft.com/office/spreadsheetml/2009/9/main" objectType="CheckBox" fmlaLink="$N$36" lockText="1"/>
</file>

<file path=xl/ctrlProps/ctrlProp18.xml><?xml version="1.0" encoding="utf-8"?>
<formControlPr xmlns="http://schemas.microsoft.com/office/spreadsheetml/2009/9/main" objectType="CheckBox" fmlaLink="$R$24" lockText="1"/>
</file>

<file path=xl/ctrlProps/ctrlProp180.xml><?xml version="1.0" encoding="utf-8"?>
<formControlPr xmlns="http://schemas.microsoft.com/office/spreadsheetml/2009/9/main" objectType="CheckBox" fmlaLink="$O$36" lockText="1"/>
</file>

<file path=xl/ctrlProps/ctrlProp181.xml><?xml version="1.0" encoding="utf-8"?>
<formControlPr xmlns="http://schemas.microsoft.com/office/spreadsheetml/2009/9/main" objectType="CheckBox" fmlaLink="$N$37" lockText="1"/>
</file>

<file path=xl/ctrlProps/ctrlProp182.xml><?xml version="1.0" encoding="utf-8"?>
<formControlPr xmlns="http://schemas.microsoft.com/office/spreadsheetml/2009/9/main" objectType="CheckBox" fmlaLink="$O$37" lockText="1"/>
</file>

<file path=xl/ctrlProps/ctrlProp183.xml><?xml version="1.0" encoding="utf-8"?>
<formControlPr xmlns="http://schemas.microsoft.com/office/spreadsheetml/2009/9/main" objectType="CheckBox" fmlaLink="$N$38" lockText="1"/>
</file>

<file path=xl/ctrlProps/ctrlProp184.xml><?xml version="1.0" encoding="utf-8"?>
<formControlPr xmlns="http://schemas.microsoft.com/office/spreadsheetml/2009/9/main" objectType="CheckBox" fmlaLink="$O$38" lockText="1"/>
</file>

<file path=xl/ctrlProps/ctrlProp185.xml><?xml version="1.0" encoding="utf-8"?>
<formControlPr xmlns="http://schemas.microsoft.com/office/spreadsheetml/2009/9/main" objectType="CheckBox" fmlaLink="$N$39" lockText="1"/>
</file>

<file path=xl/ctrlProps/ctrlProp186.xml><?xml version="1.0" encoding="utf-8"?>
<formControlPr xmlns="http://schemas.microsoft.com/office/spreadsheetml/2009/9/main" objectType="CheckBox" fmlaLink="$O$39" lockText="1"/>
</file>

<file path=xl/ctrlProps/ctrlProp187.xml><?xml version="1.0" encoding="utf-8"?>
<formControlPr xmlns="http://schemas.microsoft.com/office/spreadsheetml/2009/9/main" objectType="CheckBox" fmlaLink="$M$12" lockText="1"/>
</file>

<file path=xl/ctrlProps/ctrlProp188.xml><?xml version="1.0" encoding="utf-8"?>
<formControlPr xmlns="http://schemas.microsoft.com/office/spreadsheetml/2009/9/main" objectType="CheckBox" fmlaLink="$N$12" lockText="1"/>
</file>

<file path=xl/ctrlProps/ctrlProp189.xml><?xml version="1.0" encoding="utf-8"?>
<formControlPr xmlns="http://schemas.microsoft.com/office/spreadsheetml/2009/9/main" objectType="CheckBox" fmlaLink="$N$14" lockText="1"/>
</file>

<file path=xl/ctrlProps/ctrlProp19.xml><?xml version="1.0" encoding="utf-8"?>
<formControlPr xmlns="http://schemas.microsoft.com/office/spreadsheetml/2009/9/main" objectType="CheckBox" fmlaLink="$S$24" lockText="1"/>
</file>

<file path=xl/ctrlProps/ctrlProp190.xml><?xml version="1.0" encoding="utf-8"?>
<formControlPr xmlns="http://schemas.microsoft.com/office/spreadsheetml/2009/9/main" objectType="CheckBox" fmlaLink="$O$14" lockText="1"/>
</file>

<file path=xl/ctrlProps/ctrlProp191.xml><?xml version="1.0" encoding="utf-8"?>
<formControlPr xmlns="http://schemas.microsoft.com/office/spreadsheetml/2009/9/main" objectType="CheckBox" fmlaLink="$N$9" lockText="1"/>
</file>

<file path=xl/ctrlProps/ctrlProp192.xml><?xml version="1.0" encoding="utf-8"?>
<formControlPr xmlns="http://schemas.microsoft.com/office/spreadsheetml/2009/9/main" objectType="CheckBox" fmlaLink="$O$9" lockText="1"/>
</file>

<file path=xl/ctrlProps/ctrlProp193.xml><?xml version="1.0" encoding="utf-8"?>
<formControlPr xmlns="http://schemas.microsoft.com/office/spreadsheetml/2009/9/main" objectType="CheckBox" fmlaLink="$S$9" lockText="1"/>
</file>

<file path=xl/ctrlProps/ctrlProp194.xml><?xml version="1.0" encoding="utf-8"?>
<formControlPr xmlns="http://schemas.microsoft.com/office/spreadsheetml/2009/9/main" objectType="CheckBox" fmlaLink="$T$9" lockText="1"/>
</file>

<file path=xl/ctrlProps/ctrlProp195.xml><?xml version="1.0" encoding="utf-8"?>
<formControlPr xmlns="http://schemas.microsoft.com/office/spreadsheetml/2009/9/main" objectType="CheckBox" fmlaLink="$N$11" lockText="1"/>
</file>

<file path=xl/ctrlProps/ctrlProp196.xml><?xml version="1.0" encoding="utf-8"?>
<formControlPr xmlns="http://schemas.microsoft.com/office/spreadsheetml/2009/9/main" objectType="CheckBox" fmlaLink="$O$11" lockText="1"/>
</file>

<file path=xl/ctrlProps/ctrlProp197.xml><?xml version="1.0" encoding="utf-8"?>
<formControlPr xmlns="http://schemas.microsoft.com/office/spreadsheetml/2009/9/main" objectType="CheckBox" fmlaLink="$N$15" lockText="1"/>
</file>

<file path=xl/ctrlProps/ctrlProp198.xml><?xml version="1.0" encoding="utf-8"?>
<formControlPr xmlns="http://schemas.microsoft.com/office/spreadsheetml/2009/9/main" objectType="CheckBox" fmlaLink="$O$15" lockText="1"/>
</file>

<file path=xl/ctrlProps/ctrlProp199.xml><?xml version="1.0" encoding="utf-8"?>
<formControlPr xmlns="http://schemas.microsoft.com/office/spreadsheetml/2009/9/main" objectType="CheckBox" fmlaLink="$N$16" lockText="1"/>
</file>

<file path=xl/ctrlProps/ctrlProp2.xml><?xml version="1.0" encoding="utf-8"?>
<formControlPr xmlns="http://schemas.microsoft.com/office/spreadsheetml/2009/9/main" objectType="CheckBox" checked="Checked" fmlaLink="$T$13" lockText="1"/>
</file>

<file path=xl/ctrlProps/ctrlProp20.xml><?xml version="1.0" encoding="utf-8"?>
<formControlPr xmlns="http://schemas.microsoft.com/office/spreadsheetml/2009/9/main" objectType="CheckBox" fmlaLink="$N$14" lockText="1"/>
</file>

<file path=xl/ctrlProps/ctrlProp200.xml><?xml version="1.0" encoding="utf-8"?>
<formControlPr xmlns="http://schemas.microsoft.com/office/spreadsheetml/2009/9/main" objectType="CheckBox" fmlaLink="$O$16" lockText="1"/>
</file>

<file path=xl/ctrlProps/ctrlProp201.xml><?xml version="1.0" encoding="utf-8"?>
<formControlPr xmlns="http://schemas.microsoft.com/office/spreadsheetml/2009/9/main" objectType="CheckBox" fmlaLink="$N$17" lockText="1"/>
</file>

<file path=xl/ctrlProps/ctrlProp202.xml><?xml version="1.0" encoding="utf-8"?>
<formControlPr xmlns="http://schemas.microsoft.com/office/spreadsheetml/2009/9/main" objectType="CheckBox" fmlaLink="$O$17" lockText="1"/>
</file>

<file path=xl/ctrlProps/ctrlProp203.xml><?xml version="1.0" encoding="utf-8"?>
<formControlPr xmlns="http://schemas.microsoft.com/office/spreadsheetml/2009/9/main" objectType="CheckBox" fmlaLink="$N$18" lockText="1"/>
</file>

<file path=xl/ctrlProps/ctrlProp204.xml><?xml version="1.0" encoding="utf-8"?>
<formControlPr xmlns="http://schemas.microsoft.com/office/spreadsheetml/2009/9/main" objectType="CheckBox" fmlaLink="$O$18" lockText="1"/>
</file>

<file path=xl/ctrlProps/ctrlProp205.xml><?xml version="1.0" encoding="utf-8"?>
<formControlPr xmlns="http://schemas.microsoft.com/office/spreadsheetml/2009/9/main" objectType="CheckBox" fmlaLink="$N$19" lockText="1"/>
</file>

<file path=xl/ctrlProps/ctrlProp206.xml><?xml version="1.0" encoding="utf-8"?>
<formControlPr xmlns="http://schemas.microsoft.com/office/spreadsheetml/2009/9/main" objectType="CheckBox" fmlaLink="$O$19" lockText="1"/>
</file>

<file path=xl/ctrlProps/ctrlProp207.xml><?xml version="1.0" encoding="utf-8"?>
<formControlPr xmlns="http://schemas.microsoft.com/office/spreadsheetml/2009/9/main" objectType="CheckBox" fmlaLink="$N$20" lockText="1"/>
</file>

<file path=xl/ctrlProps/ctrlProp208.xml><?xml version="1.0" encoding="utf-8"?>
<formControlPr xmlns="http://schemas.microsoft.com/office/spreadsheetml/2009/9/main" objectType="CheckBox" fmlaLink="$O$20" lockText="1"/>
</file>

<file path=xl/ctrlProps/ctrlProp209.xml><?xml version="1.0" encoding="utf-8"?>
<formControlPr xmlns="http://schemas.microsoft.com/office/spreadsheetml/2009/9/main" objectType="CheckBox" fmlaLink="$N$21" lockText="1"/>
</file>

<file path=xl/ctrlProps/ctrlProp21.xml><?xml version="1.0" encoding="utf-8"?>
<formControlPr xmlns="http://schemas.microsoft.com/office/spreadsheetml/2009/9/main" objectType="CheckBox" fmlaLink="$O$14" lockText="1"/>
</file>

<file path=xl/ctrlProps/ctrlProp210.xml><?xml version="1.0" encoding="utf-8"?>
<formControlPr xmlns="http://schemas.microsoft.com/office/spreadsheetml/2009/9/main" objectType="CheckBox" fmlaLink="$O$21" lockText="1"/>
</file>

<file path=xl/ctrlProps/ctrlProp211.xml><?xml version="1.0" encoding="utf-8"?>
<formControlPr xmlns="http://schemas.microsoft.com/office/spreadsheetml/2009/9/main" objectType="CheckBox" fmlaLink="$N$23" lockText="1"/>
</file>

<file path=xl/ctrlProps/ctrlProp212.xml><?xml version="1.0" encoding="utf-8"?>
<formControlPr xmlns="http://schemas.microsoft.com/office/spreadsheetml/2009/9/main" objectType="CheckBox" fmlaLink="$O$23" lockText="1"/>
</file>

<file path=xl/ctrlProps/ctrlProp213.xml><?xml version="1.0" encoding="utf-8"?>
<formControlPr xmlns="http://schemas.microsoft.com/office/spreadsheetml/2009/9/main" objectType="CheckBox" fmlaLink="$N$24" lockText="1"/>
</file>

<file path=xl/ctrlProps/ctrlProp214.xml><?xml version="1.0" encoding="utf-8"?>
<formControlPr xmlns="http://schemas.microsoft.com/office/spreadsheetml/2009/9/main" objectType="CheckBox" fmlaLink="$O$24" lockText="1"/>
</file>

<file path=xl/ctrlProps/ctrlProp215.xml><?xml version="1.0" encoding="utf-8"?>
<formControlPr xmlns="http://schemas.microsoft.com/office/spreadsheetml/2009/9/main" objectType="CheckBox" fmlaLink="$N$25" lockText="1"/>
</file>

<file path=xl/ctrlProps/ctrlProp216.xml><?xml version="1.0" encoding="utf-8"?>
<formControlPr xmlns="http://schemas.microsoft.com/office/spreadsheetml/2009/9/main" objectType="CheckBox" fmlaLink="$O$25" lockText="1"/>
</file>

<file path=xl/ctrlProps/ctrlProp217.xml><?xml version="1.0" encoding="utf-8"?>
<formControlPr xmlns="http://schemas.microsoft.com/office/spreadsheetml/2009/9/main" objectType="CheckBox" fmlaLink="$N$26" lockText="1"/>
</file>

<file path=xl/ctrlProps/ctrlProp218.xml><?xml version="1.0" encoding="utf-8"?>
<formControlPr xmlns="http://schemas.microsoft.com/office/spreadsheetml/2009/9/main" objectType="CheckBox" fmlaLink="$O$26" lockText="1"/>
</file>

<file path=xl/ctrlProps/ctrlProp219.xml><?xml version="1.0" encoding="utf-8"?>
<formControlPr xmlns="http://schemas.microsoft.com/office/spreadsheetml/2009/9/main" objectType="CheckBox" fmlaLink="$N$27" lockText="1"/>
</file>

<file path=xl/ctrlProps/ctrlProp22.xml><?xml version="1.0" encoding="utf-8"?>
<formControlPr xmlns="http://schemas.microsoft.com/office/spreadsheetml/2009/9/main" objectType="CheckBox" fmlaLink="$N$36" lockText="1"/>
</file>

<file path=xl/ctrlProps/ctrlProp220.xml><?xml version="1.0" encoding="utf-8"?>
<formControlPr xmlns="http://schemas.microsoft.com/office/spreadsheetml/2009/9/main" objectType="CheckBox" fmlaLink="$O$27" lockText="1"/>
</file>

<file path=xl/ctrlProps/ctrlProp221.xml><?xml version="1.0" encoding="utf-8"?>
<formControlPr xmlns="http://schemas.microsoft.com/office/spreadsheetml/2009/9/main" objectType="CheckBox" fmlaLink="$N$29" lockText="1"/>
</file>

<file path=xl/ctrlProps/ctrlProp222.xml><?xml version="1.0" encoding="utf-8"?>
<formControlPr xmlns="http://schemas.microsoft.com/office/spreadsheetml/2009/9/main" objectType="CheckBox" fmlaLink="$O$29" lockText="1"/>
</file>

<file path=xl/ctrlProps/ctrlProp223.xml><?xml version="1.0" encoding="utf-8"?>
<formControlPr xmlns="http://schemas.microsoft.com/office/spreadsheetml/2009/9/main" objectType="CheckBox" fmlaLink="$N$31" lockText="1"/>
</file>

<file path=xl/ctrlProps/ctrlProp224.xml><?xml version="1.0" encoding="utf-8"?>
<formControlPr xmlns="http://schemas.microsoft.com/office/spreadsheetml/2009/9/main" objectType="CheckBox" fmlaLink="$O$31" lockText="1"/>
</file>

<file path=xl/ctrlProps/ctrlProp225.xml><?xml version="1.0" encoding="utf-8"?>
<formControlPr xmlns="http://schemas.microsoft.com/office/spreadsheetml/2009/9/main" objectType="CheckBox" fmlaLink="$N$32" lockText="1"/>
</file>

<file path=xl/ctrlProps/ctrlProp226.xml><?xml version="1.0" encoding="utf-8"?>
<formControlPr xmlns="http://schemas.microsoft.com/office/spreadsheetml/2009/9/main" objectType="CheckBox" fmlaLink="$O$32" lockText="1"/>
</file>

<file path=xl/ctrlProps/ctrlProp227.xml><?xml version="1.0" encoding="utf-8"?>
<formControlPr xmlns="http://schemas.microsoft.com/office/spreadsheetml/2009/9/main" objectType="CheckBox" fmlaLink="$N$33" lockText="1"/>
</file>

<file path=xl/ctrlProps/ctrlProp228.xml><?xml version="1.0" encoding="utf-8"?>
<formControlPr xmlns="http://schemas.microsoft.com/office/spreadsheetml/2009/9/main" objectType="CheckBox" fmlaLink="$O$33" lockText="1"/>
</file>

<file path=xl/ctrlProps/ctrlProp229.xml><?xml version="1.0" encoding="utf-8"?>
<formControlPr xmlns="http://schemas.microsoft.com/office/spreadsheetml/2009/9/main" objectType="CheckBox" fmlaLink="$N$34" lockText="1"/>
</file>

<file path=xl/ctrlProps/ctrlProp23.xml><?xml version="1.0" encoding="utf-8"?>
<formControlPr xmlns="http://schemas.microsoft.com/office/spreadsheetml/2009/9/main" objectType="CheckBox" fmlaLink="$O$36" lockText="1"/>
</file>

<file path=xl/ctrlProps/ctrlProp230.xml><?xml version="1.0" encoding="utf-8"?>
<formControlPr xmlns="http://schemas.microsoft.com/office/spreadsheetml/2009/9/main" objectType="CheckBox" fmlaLink="$O$34" lockText="1"/>
</file>

<file path=xl/ctrlProps/ctrlProp231.xml><?xml version="1.0" encoding="utf-8"?>
<formControlPr xmlns="http://schemas.microsoft.com/office/spreadsheetml/2009/9/main" objectType="CheckBox" fmlaLink="$N$35" lockText="1"/>
</file>

<file path=xl/ctrlProps/ctrlProp232.xml><?xml version="1.0" encoding="utf-8"?>
<formControlPr xmlns="http://schemas.microsoft.com/office/spreadsheetml/2009/9/main" objectType="CheckBox" fmlaLink="$O$35" lockText="1"/>
</file>

<file path=xl/ctrlProps/ctrlProp233.xml><?xml version="1.0" encoding="utf-8"?>
<formControlPr xmlns="http://schemas.microsoft.com/office/spreadsheetml/2009/9/main" objectType="CheckBox" fmlaLink="$N$36" lockText="1"/>
</file>

<file path=xl/ctrlProps/ctrlProp234.xml><?xml version="1.0" encoding="utf-8"?>
<formControlPr xmlns="http://schemas.microsoft.com/office/spreadsheetml/2009/9/main" objectType="CheckBox" fmlaLink="$O$36" lockText="1"/>
</file>

<file path=xl/ctrlProps/ctrlProp235.xml><?xml version="1.0" encoding="utf-8"?>
<formControlPr xmlns="http://schemas.microsoft.com/office/spreadsheetml/2009/9/main" objectType="CheckBox" fmlaLink="$N$28" lockText="1"/>
</file>

<file path=xl/ctrlProps/ctrlProp236.xml><?xml version="1.0" encoding="utf-8"?>
<formControlPr xmlns="http://schemas.microsoft.com/office/spreadsheetml/2009/9/main" objectType="CheckBox" fmlaLink="$O$28" lockText="1"/>
</file>

<file path=xl/ctrlProps/ctrlProp237.xml><?xml version="1.0" encoding="utf-8"?>
<formControlPr xmlns="http://schemas.microsoft.com/office/spreadsheetml/2009/9/main" objectType="CheckBox" fmlaLink="$N$30" lockText="1"/>
</file>

<file path=xl/ctrlProps/ctrlProp238.xml><?xml version="1.0" encoding="utf-8"?>
<formControlPr xmlns="http://schemas.microsoft.com/office/spreadsheetml/2009/9/main" objectType="CheckBox" fmlaLink="$O$30" lockText="1"/>
</file>

<file path=xl/ctrlProps/ctrlProp239.xml><?xml version="1.0" encoding="utf-8"?>
<formControlPr xmlns="http://schemas.microsoft.com/office/spreadsheetml/2009/9/main" objectType="CheckBox" fmlaLink="$N$22" lockText="1"/>
</file>

<file path=xl/ctrlProps/ctrlProp24.xml><?xml version="1.0" encoding="utf-8"?>
<formControlPr xmlns="http://schemas.microsoft.com/office/spreadsheetml/2009/9/main" objectType="CheckBox" fmlaLink="N8" lockText="1"/>
</file>

<file path=xl/ctrlProps/ctrlProp240.xml><?xml version="1.0" encoding="utf-8"?>
<formControlPr xmlns="http://schemas.microsoft.com/office/spreadsheetml/2009/9/main" objectType="CheckBox" fmlaLink="$O$22" lockText="1"/>
</file>

<file path=xl/ctrlProps/ctrlProp25.xml><?xml version="1.0" encoding="utf-8"?>
<formControlPr xmlns="http://schemas.microsoft.com/office/spreadsheetml/2009/9/main" objectType="CheckBox" fmlaLink="P8" lockText="1"/>
</file>

<file path=xl/ctrlProps/ctrlProp26.xml><?xml version="1.0" encoding="utf-8"?>
<formControlPr xmlns="http://schemas.microsoft.com/office/spreadsheetml/2009/9/main" objectType="CheckBox" fmlaLink="O8" lockText="1"/>
</file>

<file path=xl/ctrlProps/ctrlProp27.xml><?xml version="1.0" encoding="utf-8"?>
<formControlPr xmlns="http://schemas.microsoft.com/office/spreadsheetml/2009/9/main" objectType="CheckBox" fmlaLink="Q8" lockText="1"/>
</file>

<file path=xl/ctrlProps/ctrlProp28.xml><?xml version="1.0" encoding="utf-8"?>
<formControlPr xmlns="http://schemas.microsoft.com/office/spreadsheetml/2009/9/main" objectType="CheckBox" fmlaLink="$N$43" lockText="1"/>
</file>

<file path=xl/ctrlProps/ctrlProp29.xml><?xml version="1.0" encoding="utf-8"?>
<formControlPr xmlns="http://schemas.microsoft.com/office/spreadsheetml/2009/9/main" objectType="CheckBox" fmlaLink="$O$43"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fmlaLink="$N$44" lockText="1"/>
</file>

<file path=xl/ctrlProps/ctrlProp31.xml><?xml version="1.0" encoding="utf-8"?>
<formControlPr xmlns="http://schemas.microsoft.com/office/spreadsheetml/2009/9/main" objectType="CheckBox" fmlaLink="$O$44" lockText="1"/>
</file>

<file path=xl/ctrlProps/ctrlProp32.xml><?xml version="1.0" encoding="utf-8"?>
<formControlPr xmlns="http://schemas.microsoft.com/office/spreadsheetml/2009/9/main" objectType="CheckBox" fmlaLink="$P$44" lockText="1"/>
</file>

<file path=xl/ctrlProps/ctrlProp33.xml><?xml version="1.0" encoding="utf-8"?>
<formControlPr xmlns="http://schemas.microsoft.com/office/spreadsheetml/2009/9/main" objectType="CheckBox" fmlaLink="$N$47" lockText="1"/>
</file>

<file path=xl/ctrlProps/ctrlProp34.xml><?xml version="1.0" encoding="utf-8"?>
<formControlPr xmlns="http://schemas.microsoft.com/office/spreadsheetml/2009/9/main" objectType="CheckBox" fmlaLink="$O$47" lockText="1"/>
</file>

<file path=xl/ctrlProps/ctrlProp35.xml><?xml version="1.0" encoding="utf-8"?>
<formControlPr xmlns="http://schemas.microsoft.com/office/spreadsheetml/2009/9/main" objectType="CheckBox" fmlaLink="$N$50" lockText="1"/>
</file>

<file path=xl/ctrlProps/ctrlProp36.xml><?xml version="1.0" encoding="utf-8"?>
<formControlPr xmlns="http://schemas.microsoft.com/office/spreadsheetml/2009/9/main" objectType="CheckBox" fmlaLink="$O$50" lockText="1"/>
</file>

<file path=xl/ctrlProps/ctrlProp37.xml><?xml version="1.0" encoding="utf-8"?>
<formControlPr xmlns="http://schemas.microsoft.com/office/spreadsheetml/2009/9/main" objectType="CheckBox" fmlaLink="$P$50" lockText="1"/>
</file>

<file path=xl/ctrlProps/ctrlProp38.xml><?xml version="1.0" encoding="utf-8"?>
<formControlPr xmlns="http://schemas.microsoft.com/office/spreadsheetml/2009/9/main" objectType="CheckBox" fmlaLink="$N$54" lockText="1"/>
</file>

<file path=xl/ctrlProps/ctrlProp39.xml><?xml version="1.0" encoding="utf-8"?>
<formControlPr xmlns="http://schemas.microsoft.com/office/spreadsheetml/2009/9/main" objectType="CheckBox" fmlaLink="$O$54"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fmlaLink="$N$58" lockText="1"/>
</file>

<file path=xl/ctrlProps/ctrlProp41.xml><?xml version="1.0" encoding="utf-8"?>
<formControlPr xmlns="http://schemas.microsoft.com/office/spreadsheetml/2009/9/main" objectType="CheckBox" fmlaLink="$O$58" lockText="1"/>
</file>

<file path=xl/ctrlProps/ctrlProp42.xml><?xml version="1.0" encoding="utf-8"?>
<formControlPr xmlns="http://schemas.microsoft.com/office/spreadsheetml/2009/9/main" objectType="CheckBox" fmlaLink="$N$61" lockText="1"/>
</file>

<file path=xl/ctrlProps/ctrlProp43.xml><?xml version="1.0" encoding="utf-8"?>
<formControlPr xmlns="http://schemas.microsoft.com/office/spreadsheetml/2009/9/main" objectType="CheckBox" fmlaLink="$O$61" lockText="1"/>
</file>

<file path=xl/ctrlProps/ctrlProp44.xml><?xml version="1.0" encoding="utf-8"?>
<formControlPr xmlns="http://schemas.microsoft.com/office/spreadsheetml/2009/9/main" objectType="CheckBox" fmlaLink="$P$61" lockText="1"/>
</file>

<file path=xl/ctrlProps/ctrlProp45.xml><?xml version="1.0" encoding="utf-8"?>
<formControlPr xmlns="http://schemas.microsoft.com/office/spreadsheetml/2009/9/main" objectType="CheckBox" fmlaLink="$N$65" lockText="1"/>
</file>

<file path=xl/ctrlProps/ctrlProp46.xml><?xml version="1.0" encoding="utf-8"?>
<formControlPr xmlns="http://schemas.microsoft.com/office/spreadsheetml/2009/9/main" objectType="CheckBox" fmlaLink="$O$65" lockText="1"/>
</file>

<file path=xl/ctrlProps/ctrlProp47.xml><?xml version="1.0" encoding="utf-8"?>
<formControlPr xmlns="http://schemas.microsoft.com/office/spreadsheetml/2009/9/main" objectType="CheckBox" fmlaLink="$W$65" lockText="1"/>
</file>

<file path=xl/ctrlProps/ctrlProp48.xml><?xml version="1.0" encoding="utf-8"?>
<formControlPr xmlns="http://schemas.microsoft.com/office/spreadsheetml/2009/9/main" objectType="CheckBox" fmlaLink="$X$65" lockText="1"/>
</file>

<file path=xl/ctrlProps/ctrlProp49.xml><?xml version="1.0" encoding="utf-8"?>
<formControlPr xmlns="http://schemas.microsoft.com/office/spreadsheetml/2009/9/main" objectType="CheckBox" fmlaLink="$N$24"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fmlaLink="$O$24" lockText="1"/>
</file>

<file path=xl/ctrlProps/ctrlProp51.xml><?xml version="1.0" encoding="utf-8"?>
<formControlPr xmlns="http://schemas.microsoft.com/office/spreadsheetml/2009/9/main" objectType="CheckBox" fmlaLink="$N$26" lockText="1"/>
</file>

<file path=xl/ctrlProps/ctrlProp52.xml><?xml version="1.0" encoding="utf-8"?>
<formControlPr xmlns="http://schemas.microsoft.com/office/spreadsheetml/2009/9/main" objectType="CheckBox" fmlaLink="$O$26" lockText="1"/>
</file>

<file path=xl/ctrlProps/ctrlProp53.xml><?xml version="1.0" encoding="utf-8"?>
<formControlPr xmlns="http://schemas.microsoft.com/office/spreadsheetml/2009/9/main" objectType="CheckBox" fmlaLink="$Q$50" lockText="1"/>
</file>

<file path=xl/ctrlProps/ctrlProp54.xml><?xml version="1.0" encoding="utf-8"?>
<formControlPr xmlns="http://schemas.microsoft.com/office/spreadsheetml/2009/9/main" objectType="CheckBox" fmlaLink="$S$50" lockText="1"/>
</file>

<file path=xl/ctrlProps/ctrlProp55.xml><?xml version="1.0" encoding="utf-8"?>
<formControlPr xmlns="http://schemas.microsoft.com/office/spreadsheetml/2009/9/main" objectType="CheckBox" fmlaLink="$N$4" lockText="1"/>
</file>

<file path=xl/ctrlProps/ctrlProp56.xml><?xml version="1.0" encoding="utf-8"?>
<formControlPr xmlns="http://schemas.microsoft.com/office/spreadsheetml/2009/9/main" objectType="CheckBox" fmlaLink="$O$4" lockText="1"/>
</file>

<file path=xl/ctrlProps/ctrlProp57.xml><?xml version="1.0" encoding="utf-8"?>
<formControlPr xmlns="http://schemas.microsoft.com/office/spreadsheetml/2009/9/main" objectType="CheckBox" fmlaLink="$N$5" lockText="1"/>
</file>

<file path=xl/ctrlProps/ctrlProp58.xml><?xml version="1.0" encoding="utf-8"?>
<formControlPr xmlns="http://schemas.microsoft.com/office/spreadsheetml/2009/9/main" objectType="CheckBox" fmlaLink="$O$5" lockText="1"/>
</file>

<file path=xl/ctrlProps/ctrlProp59.xml><?xml version="1.0" encoding="utf-8"?>
<formControlPr xmlns="http://schemas.microsoft.com/office/spreadsheetml/2009/9/main" objectType="CheckBox" fmlaLink="$P$5"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fmlaLink="$Q$5" lockText="1"/>
</file>

<file path=xl/ctrlProps/ctrlProp61.xml><?xml version="1.0" encoding="utf-8"?>
<formControlPr xmlns="http://schemas.microsoft.com/office/spreadsheetml/2009/9/main" objectType="CheckBox" fmlaLink="$R$5" lockText="1"/>
</file>

<file path=xl/ctrlProps/ctrlProp62.xml><?xml version="1.0" encoding="utf-8"?>
<formControlPr xmlns="http://schemas.microsoft.com/office/spreadsheetml/2009/9/main" objectType="CheckBox" fmlaLink="$S$5" lockText="1"/>
</file>

<file path=xl/ctrlProps/ctrlProp63.xml><?xml version="1.0" encoding="utf-8"?>
<formControlPr xmlns="http://schemas.microsoft.com/office/spreadsheetml/2009/9/main" objectType="CheckBox" fmlaLink="$T$5" lockText="1"/>
</file>

<file path=xl/ctrlProps/ctrlProp64.xml><?xml version="1.0" encoding="utf-8"?>
<formControlPr xmlns="http://schemas.microsoft.com/office/spreadsheetml/2009/9/main" objectType="CheckBox" fmlaLink="$U$5" lockText="1"/>
</file>

<file path=xl/ctrlProps/ctrlProp65.xml><?xml version="1.0" encoding="utf-8"?>
<formControlPr xmlns="http://schemas.microsoft.com/office/spreadsheetml/2009/9/main" objectType="CheckBox" fmlaLink="$V$5" lockText="1"/>
</file>

<file path=xl/ctrlProps/ctrlProp66.xml><?xml version="1.0" encoding="utf-8"?>
<formControlPr xmlns="http://schemas.microsoft.com/office/spreadsheetml/2009/9/main" objectType="CheckBox" fmlaLink="$W$5" lockText="1"/>
</file>

<file path=xl/ctrlProps/ctrlProp67.xml><?xml version="1.0" encoding="utf-8"?>
<formControlPr xmlns="http://schemas.microsoft.com/office/spreadsheetml/2009/9/main" objectType="CheckBox" fmlaLink="$X$5" lockText="1"/>
</file>

<file path=xl/ctrlProps/ctrlProp68.xml><?xml version="1.0" encoding="utf-8"?>
<formControlPr xmlns="http://schemas.microsoft.com/office/spreadsheetml/2009/9/main" objectType="CheckBox" fmlaLink="$Y$5" lockText="1"/>
</file>

<file path=xl/ctrlProps/ctrlProp69.xml><?xml version="1.0" encoding="utf-8"?>
<formControlPr xmlns="http://schemas.microsoft.com/office/spreadsheetml/2009/9/main" objectType="CheckBox" fmlaLink="$N$10"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fmlaLink="$O$10" lockText="1"/>
</file>

<file path=xl/ctrlProps/ctrlProp71.xml><?xml version="1.0" encoding="utf-8"?>
<formControlPr xmlns="http://schemas.microsoft.com/office/spreadsheetml/2009/9/main" objectType="CheckBox" fmlaLink="$N$30" lockText="1"/>
</file>

<file path=xl/ctrlProps/ctrlProp72.xml><?xml version="1.0" encoding="utf-8"?>
<formControlPr xmlns="http://schemas.microsoft.com/office/spreadsheetml/2009/9/main" objectType="CheckBox" fmlaLink="$N$31" lockText="1"/>
</file>

<file path=xl/ctrlProps/ctrlProp73.xml><?xml version="1.0" encoding="utf-8"?>
<formControlPr xmlns="http://schemas.microsoft.com/office/spreadsheetml/2009/9/main" objectType="CheckBox" fmlaLink="$N$32" lockText="1"/>
</file>

<file path=xl/ctrlProps/ctrlProp74.xml><?xml version="1.0" encoding="utf-8"?>
<formControlPr xmlns="http://schemas.microsoft.com/office/spreadsheetml/2009/9/main" objectType="CheckBox" fmlaLink="$N$33" lockText="1"/>
</file>

<file path=xl/ctrlProps/ctrlProp75.xml><?xml version="1.0" encoding="utf-8"?>
<formControlPr xmlns="http://schemas.microsoft.com/office/spreadsheetml/2009/9/main" objectType="CheckBox" fmlaLink="$N$34" lockText="1"/>
</file>

<file path=xl/ctrlProps/ctrlProp76.xml><?xml version="1.0" encoding="utf-8"?>
<formControlPr xmlns="http://schemas.microsoft.com/office/spreadsheetml/2009/9/main" objectType="CheckBox" fmlaLink="$N$35" lockText="1"/>
</file>

<file path=xl/ctrlProps/ctrlProp77.xml><?xml version="1.0" encoding="utf-8"?>
<formControlPr xmlns="http://schemas.microsoft.com/office/spreadsheetml/2009/9/main" objectType="CheckBox" fmlaLink="$N$38" lockText="1"/>
</file>

<file path=xl/ctrlProps/ctrlProp78.xml><?xml version="1.0" encoding="utf-8"?>
<formControlPr xmlns="http://schemas.microsoft.com/office/spreadsheetml/2009/9/main" objectType="CheckBox" fmlaLink="$N$39" lockText="1"/>
</file>

<file path=xl/ctrlProps/ctrlProp79.xml><?xml version="1.0" encoding="utf-8"?>
<formControlPr xmlns="http://schemas.microsoft.com/office/spreadsheetml/2009/9/main" objectType="CheckBox" fmlaLink="$N$40"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fmlaLink="$N$41" lockText="1"/>
</file>

<file path=xl/ctrlProps/ctrlProp81.xml><?xml version="1.0" encoding="utf-8"?>
<formControlPr xmlns="http://schemas.microsoft.com/office/spreadsheetml/2009/9/main" objectType="CheckBox" fmlaLink="$N$42" lockText="1"/>
</file>

<file path=xl/ctrlProps/ctrlProp82.xml><?xml version="1.0" encoding="utf-8"?>
<formControlPr xmlns="http://schemas.microsoft.com/office/spreadsheetml/2009/9/main" objectType="CheckBox" fmlaLink="$N$43" lockText="1"/>
</file>

<file path=xl/ctrlProps/ctrlProp83.xml><?xml version="1.0" encoding="utf-8"?>
<formControlPr xmlns="http://schemas.microsoft.com/office/spreadsheetml/2009/9/main" objectType="CheckBox" fmlaLink="$N$18" lockText="1"/>
</file>

<file path=xl/ctrlProps/ctrlProp84.xml><?xml version="1.0" encoding="utf-8"?>
<formControlPr xmlns="http://schemas.microsoft.com/office/spreadsheetml/2009/9/main" objectType="CheckBox" fmlaLink="$O$18" lockText="1"/>
</file>

<file path=xl/ctrlProps/ctrlProp85.xml><?xml version="1.0" encoding="utf-8"?>
<formControlPr xmlns="http://schemas.microsoft.com/office/spreadsheetml/2009/9/main" objectType="CheckBox" fmlaLink="$N$22" lockText="1"/>
</file>

<file path=xl/ctrlProps/ctrlProp86.xml><?xml version="1.0" encoding="utf-8"?>
<formControlPr xmlns="http://schemas.microsoft.com/office/spreadsheetml/2009/9/main" objectType="CheckBox" fmlaLink="$O$22" lockText="1"/>
</file>

<file path=xl/ctrlProps/ctrlProp87.xml><?xml version="1.0" encoding="utf-8"?>
<formControlPr xmlns="http://schemas.microsoft.com/office/spreadsheetml/2009/9/main" objectType="CheckBox" fmlaLink="$N$26" lockText="1"/>
</file>

<file path=xl/ctrlProps/ctrlProp88.xml><?xml version="1.0" encoding="utf-8"?>
<formControlPr xmlns="http://schemas.microsoft.com/office/spreadsheetml/2009/9/main" objectType="CheckBox" fmlaLink="$O$26" lockText="1"/>
</file>

<file path=xl/ctrlProps/ctrlProp89.xml><?xml version="1.0" encoding="utf-8"?>
<formControlPr xmlns="http://schemas.microsoft.com/office/spreadsheetml/2009/9/main" objectType="CheckBox" fmlaLink="$I$8"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fmlaLink="$J$8" lockText="1"/>
</file>

<file path=xl/ctrlProps/ctrlProp91.xml><?xml version="1.0" encoding="utf-8"?>
<formControlPr xmlns="http://schemas.microsoft.com/office/spreadsheetml/2009/9/main" objectType="CheckBox" fmlaLink="$I$5" lockText="1"/>
</file>

<file path=xl/ctrlProps/ctrlProp92.xml><?xml version="1.0" encoding="utf-8"?>
<formControlPr xmlns="http://schemas.microsoft.com/office/spreadsheetml/2009/9/main" objectType="CheckBox" fmlaLink="$J$5" lockText="1"/>
</file>

<file path=xl/ctrlProps/ctrlProp93.xml><?xml version="1.0" encoding="utf-8"?>
<formControlPr xmlns="http://schemas.microsoft.com/office/spreadsheetml/2009/9/main" objectType="CheckBox" fmlaLink="$P$74" lockText="1"/>
</file>

<file path=xl/ctrlProps/ctrlProp94.xml><?xml version="1.0" encoding="utf-8"?>
<formControlPr xmlns="http://schemas.microsoft.com/office/spreadsheetml/2009/9/main" objectType="CheckBox" fmlaLink="$Q$74" lockText="1"/>
</file>

<file path=xl/ctrlProps/ctrlProp95.xml><?xml version="1.0" encoding="utf-8"?>
<formControlPr xmlns="http://schemas.microsoft.com/office/spreadsheetml/2009/9/main" objectType="CheckBox" fmlaLink="$P$76" lockText="1"/>
</file>

<file path=xl/ctrlProps/ctrlProp96.xml><?xml version="1.0" encoding="utf-8"?>
<formControlPr xmlns="http://schemas.microsoft.com/office/spreadsheetml/2009/9/main" objectType="CheckBox" fmlaLink="$Q$76" lockText="1"/>
</file>

<file path=xl/ctrlProps/ctrlProp97.xml><?xml version="1.0" encoding="utf-8"?>
<formControlPr xmlns="http://schemas.microsoft.com/office/spreadsheetml/2009/9/main" objectType="CheckBox" fmlaLink="$P$80" lockText="1"/>
</file>

<file path=xl/ctrlProps/ctrlProp98.xml><?xml version="1.0" encoding="utf-8"?>
<formControlPr xmlns="http://schemas.microsoft.com/office/spreadsheetml/2009/9/main" objectType="CheckBox" fmlaLink="$Q$80" lockText="1"/>
</file>

<file path=xl/ctrlProps/ctrlProp99.xml><?xml version="1.0" encoding="utf-8"?>
<formControlPr xmlns="http://schemas.microsoft.com/office/spreadsheetml/2009/9/main" objectType="CheckBox" fmlaLink="$P$79" lockText="1"/>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lincoln.ne.gov/city/health/environ/air.htm" TargetMode="External"/></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9.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12</xdr:row>
          <xdr:rowOff>47625</xdr:rowOff>
        </xdr:from>
        <xdr:to>
          <xdr:col>4</xdr:col>
          <xdr:colOff>304800</xdr:colOff>
          <xdr:row>12</xdr:row>
          <xdr:rowOff>781050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0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Seasonal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47625</xdr:rowOff>
        </xdr:from>
        <xdr:to>
          <xdr:col>6</xdr:col>
          <xdr:colOff>0</xdr:colOff>
          <xdr:row>12</xdr:row>
          <xdr:rowOff>781050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0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Year-Round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47625</xdr:rowOff>
        </xdr:from>
        <xdr:to>
          <xdr:col>2</xdr:col>
          <xdr:colOff>171450</xdr:colOff>
          <xdr:row>15</xdr:row>
          <xdr:rowOff>276225</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0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January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238125</xdr:rowOff>
        </xdr:from>
        <xdr:to>
          <xdr:col>2</xdr:col>
          <xdr:colOff>171450</xdr:colOff>
          <xdr:row>15</xdr:row>
          <xdr:rowOff>466725</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0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February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15</xdr:row>
          <xdr:rowOff>47625</xdr:rowOff>
        </xdr:from>
        <xdr:to>
          <xdr:col>4</xdr:col>
          <xdr:colOff>171450</xdr:colOff>
          <xdr:row>15</xdr:row>
          <xdr:rowOff>276225</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0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March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15</xdr:row>
          <xdr:rowOff>238125</xdr:rowOff>
        </xdr:from>
        <xdr:to>
          <xdr:col>4</xdr:col>
          <xdr:colOff>171450</xdr:colOff>
          <xdr:row>15</xdr:row>
          <xdr:rowOff>466725</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0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April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15</xdr:row>
          <xdr:rowOff>47625</xdr:rowOff>
        </xdr:from>
        <xdr:to>
          <xdr:col>5</xdr:col>
          <xdr:colOff>590550</xdr:colOff>
          <xdr:row>15</xdr:row>
          <xdr:rowOff>276225</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0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May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15</xdr:row>
          <xdr:rowOff>238125</xdr:rowOff>
        </xdr:from>
        <xdr:to>
          <xdr:col>5</xdr:col>
          <xdr:colOff>590550</xdr:colOff>
          <xdr:row>15</xdr:row>
          <xdr:rowOff>466725</xdr:rowOff>
        </xdr:to>
        <xdr:sp macro="" textlink="">
          <xdr:nvSpPr>
            <xdr:cNvPr id="31764" name="Check Box 20" hidden="1">
              <a:extLst>
                <a:ext uri="{63B3BB69-23CF-44E3-9099-C40C66FF867C}">
                  <a14:compatExt spid="_x0000_s31764"/>
                </a:ext>
                <a:ext uri="{FF2B5EF4-FFF2-40B4-BE49-F238E27FC236}">
                  <a16:creationId xmlns:a16="http://schemas.microsoft.com/office/drawing/2014/main" id="{00000000-0008-0000-0000-00001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15</xdr:row>
          <xdr:rowOff>47625</xdr:rowOff>
        </xdr:from>
        <xdr:to>
          <xdr:col>7</xdr:col>
          <xdr:colOff>323850</xdr:colOff>
          <xdr:row>15</xdr:row>
          <xdr:rowOff>276225</xdr:rowOff>
        </xdr:to>
        <xdr:sp macro="" textlink="">
          <xdr:nvSpPr>
            <xdr:cNvPr id="31765" name="Check Box 21" hidden="1">
              <a:extLst>
                <a:ext uri="{63B3BB69-23CF-44E3-9099-C40C66FF867C}">
                  <a14:compatExt spid="_x0000_s31765"/>
                </a:ext>
                <a:ext uri="{FF2B5EF4-FFF2-40B4-BE49-F238E27FC236}">
                  <a16:creationId xmlns:a16="http://schemas.microsoft.com/office/drawing/2014/main" id="{00000000-0008-0000-0000-00001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15</xdr:row>
          <xdr:rowOff>238125</xdr:rowOff>
        </xdr:from>
        <xdr:to>
          <xdr:col>7</xdr:col>
          <xdr:colOff>323850</xdr:colOff>
          <xdr:row>15</xdr:row>
          <xdr:rowOff>466725</xdr:rowOff>
        </xdr:to>
        <xdr:sp macro="" textlink="">
          <xdr:nvSpPr>
            <xdr:cNvPr id="31766" name="Check Box 22" hidden="1">
              <a:extLst>
                <a:ext uri="{63B3BB69-23CF-44E3-9099-C40C66FF867C}">
                  <a14:compatExt spid="_x0000_s31766"/>
                </a:ext>
                <a:ext uri="{FF2B5EF4-FFF2-40B4-BE49-F238E27FC236}">
                  <a16:creationId xmlns:a16="http://schemas.microsoft.com/office/drawing/2014/main" id="{00000000-0008-0000-0000-00001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August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47625</xdr:rowOff>
        </xdr:from>
        <xdr:to>
          <xdr:col>9</xdr:col>
          <xdr:colOff>114300</xdr:colOff>
          <xdr:row>15</xdr:row>
          <xdr:rowOff>276225</xdr:rowOff>
        </xdr:to>
        <xdr:sp macro="" textlink="">
          <xdr:nvSpPr>
            <xdr:cNvPr id="31767" name="Check Box 23" hidden="1">
              <a:extLst>
                <a:ext uri="{63B3BB69-23CF-44E3-9099-C40C66FF867C}">
                  <a14:compatExt spid="_x0000_s31767"/>
                </a:ext>
                <a:ext uri="{FF2B5EF4-FFF2-40B4-BE49-F238E27FC236}">
                  <a16:creationId xmlns:a16="http://schemas.microsoft.com/office/drawing/2014/main" id="{00000000-0008-0000-0000-00001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September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238125</xdr:rowOff>
        </xdr:from>
        <xdr:to>
          <xdr:col>9</xdr:col>
          <xdr:colOff>114300</xdr:colOff>
          <xdr:row>15</xdr:row>
          <xdr:rowOff>466725</xdr:rowOff>
        </xdr:to>
        <xdr:sp macro="" textlink="">
          <xdr:nvSpPr>
            <xdr:cNvPr id="31768" name="Check Box 24" hidden="1">
              <a:extLst>
                <a:ext uri="{63B3BB69-23CF-44E3-9099-C40C66FF867C}">
                  <a14:compatExt spid="_x0000_s31768"/>
                </a:ext>
                <a:ext uri="{FF2B5EF4-FFF2-40B4-BE49-F238E27FC236}">
                  <a16:creationId xmlns:a16="http://schemas.microsoft.com/office/drawing/2014/main" id="{00000000-0008-0000-0000-00001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October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47625</xdr:rowOff>
        </xdr:from>
        <xdr:to>
          <xdr:col>10</xdr:col>
          <xdr:colOff>590550</xdr:colOff>
          <xdr:row>15</xdr:row>
          <xdr:rowOff>276225</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0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November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238125</xdr:rowOff>
        </xdr:from>
        <xdr:to>
          <xdr:col>10</xdr:col>
          <xdr:colOff>590550</xdr:colOff>
          <xdr:row>15</xdr:row>
          <xdr:rowOff>466725</xdr:rowOff>
        </xdr:to>
        <xdr:sp macro="" textlink="">
          <xdr:nvSpPr>
            <xdr:cNvPr id="31770" name="Check Box 26" hidden="1">
              <a:extLst>
                <a:ext uri="{63B3BB69-23CF-44E3-9099-C40C66FF867C}">
                  <a14:compatExt spid="_x0000_s31770"/>
                </a:ext>
                <a:ext uri="{FF2B5EF4-FFF2-40B4-BE49-F238E27FC236}">
                  <a16:creationId xmlns:a16="http://schemas.microsoft.com/office/drawing/2014/main" id="{00000000-0008-0000-0000-00001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December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xdr:row>
          <xdr:rowOff>47625</xdr:rowOff>
        </xdr:from>
        <xdr:to>
          <xdr:col>4</xdr:col>
          <xdr:colOff>304800</xdr:colOff>
          <xdr:row>15</xdr:row>
          <xdr:rowOff>0</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0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Seasonal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14</xdr:row>
          <xdr:rowOff>47625</xdr:rowOff>
        </xdr:from>
        <xdr:to>
          <xdr:col>6</xdr:col>
          <xdr:colOff>0</xdr:colOff>
          <xdr:row>15</xdr:row>
          <xdr:rowOff>0</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0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Year-Round</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114300</xdr:colOff>
      <xdr:row>39</xdr:row>
      <xdr:rowOff>0</xdr:rowOff>
    </xdr:from>
    <xdr:to>
      <xdr:col>14</xdr:col>
      <xdr:colOff>687706</xdr:colOff>
      <xdr:row>39</xdr:row>
      <xdr:rowOff>704850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781050" y="11353800"/>
          <a:ext cx="11060431" cy="704850"/>
          <a:chOff x="732498" y="12534900"/>
          <a:chExt cx="10726077" cy="704850"/>
        </a:xfrm>
      </xdr:grpSpPr>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A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A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29</xdr:col>
          <xdr:colOff>38100</xdr:colOff>
          <xdr:row>92</xdr:row>
          <xdr:rowOff>104775</xdr:rowOff>
        </xdr:from>
        <xdr:to>
          <xdr:col>31</xdr:col>
          <xdr:colOff>514350</xdr:colOff>
          <xdr:row>93</xdr:row>
          <xdr:rowOff>190500</xdr:rowOff>
        </xdr:to>
        <xdr:sp macro="" textlink="">
          <xdr:nvSpPr>
            <xdr:cNvPr id="108545" name="Object 1" hidden="1">
              <a:extLst>
                <a:ext uri="{63B3BB69-23CF-44E3-9099-C40C66FF867C}">
                  <a14:compatExt spid="_x0000_s108545"/>
                </a:ext>
                <a:ext uri="{FF2B5EF4-FFF2-40B4-BE49-F238E27FC236}">
                  <a16:creationId xmlns:a16="http://schemas.microsoft.com/office/drawing/2014/main" id="{00000000-0008-0000-0A00-000001A801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101</xdr:row>
          <xdr:rowOff>0</xdr:rowOff>
        </xdr:from>
        <xdr:to>
          <xdr:col>31</xdr:col>
          <xdr:colOff>514350</xdr:colOff>
          <xdr:row>103</xdr:row>
          <xdr:rowOff>28575</xdr:rowOff>
        </xdr:to>
        <xdr:sp macro="" textlink="">
          <xdr:nvSpPr>
            <xdr:cNvPr id="108546" name="Object 2" hidden="1">
              <a:extLst>
                <a:ext uri="{63B3BB69-23CF-44E3-9099-C40C66FF867C}">
                  <a14:compatExt spid="_x0000_s108546"/>
                </a:ext>
                <a:ext uri="{FF2B5EF4-FFF2-40B4-BE49-F238E27FC236}">
                  <a16:creationId xmlns:a16="http://schemas.microsoft.com/office/drawing/2014/main" id="{00000000-0008-0000-0A00-000002A801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19050</xdr:colOff>
      <xdr:row>39</xdr:row>
      <xdr:rowOff>19050</xdr:rowOff>
    </xdr:from>
    <xdr:to>
      <xdr:col>1</xdr:col>
      <xdr:colOff>123825</xdr:colOff>
      <xdr:row>39</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1372850"/>
          <a:ext cx="771525" cy="723509"/>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792913</xdr:colOff>
      <xdr:row>23</xdr:row>
      <xdr:rowOff>0</xdr:rowOff>
    </xdr:from>
    <xdr:to>
      <xdr:col>10</xdr:col>
      <xdr:colOff>859155</xdr:colOff>
      <xdr:row>23</xdr:row>
      <xdr:rowOff>704850</xdr:rowOff>
    </xdr:to>
    <xdr:grpSp>
      <xdr:nvGrpSpPr>
        <xdr:cNvPr id="7" name="Group 6">
          <a:extLst>
            <a:ext uri="{FF2B5EF4-FFF2-40B4-BE49-F238E27FC236}">
              <a16:creationId xmlns:a16="http://schemas.microsoft.com/office/drawing/2014/main" id="{00000000-0008-0000-0B00-000007000000}"/>
            </a:ext>
          </a:extLst>
        </xdr:cNvPr>
        <xdr:cNvGrpSpPr/>
      </xdr:nvGrpSpPr>
      <xdr:grpSpPr>
        <a:xfrm>
          <a:off x="792913" y="6610350"/>
          <a:ext cx="10819967" cy="704850"/>
          <a:chOff x="781216" y="0"/>
          <a:chExt cx="10660352" cy="704850"/>
        </a:xfrm>
      </xdr:grpSpPr>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Plant Batch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10" name="Elbow Connector 9">
            <a:extLst>
              <a:ext uri="{FF2B5EF4-FFF2-40B4-BE49-F238E27FC236}">
                <a16:creationId xmlns:a16="http://schemas.microsoft.com/office/drawing/2014/main" id="{00000000-0008-0000-0B00-00000A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1" name="Elbow Connector 10">
            <a:extLst>
              <a:ext uri="{FF2B5EF4-FFF2-40B4-BE49-F238E27FC236}">
                <a16:creationId xmlns:a16="http://schemas.microsoft.com/office/drawing/2014/main" id="{00000000-0008-0000-0B00-00000B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23</xdr:row>
      <xdr:rowOff>19050</xdr:rowOff>
    </xdr:from>
    <xdr:to>
      <xdr:col>0</xdr:col>
      <xdr:colOff>790575</xdr:colOff>
      <xdr:row>23</xdr:row>
      <xdr:rowOff>742559</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6629400"/>
          <a:ext cx="771525" cy="723509"/>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792913</xdr:colOff>
      <xdr:row>31</xdr:row>
      <xdr:rowOff>0</xdr:rowOff>
    </xdr:from>
    <xdr:to>
      <xdr:col>11</xdr:col>
      <xdr:colOff>878205</xdr:colOff>
      <xdr:row>31</xdr:row>
      <xdr:rowOff>704850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792913" y="9791700"/>
          <a:ext cx="10819967" cy="704850"/>
          <a:chOff x="781216" y="0"/>
          <a:chExt cx="10660352" cy="704850"/>
        </a:xfrm>
      </xdr:grpSpPr>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C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C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31</xdr:row>
      <xdr:rowOff>19050</xdr:rowOff>
    </xdr:from>
    <xdr:to>
      <xdr:col>0</xdr:col>
      <xdr:colOff>790575</xdr:colOff>
      <xdr:row>31</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9810750"/>
          <a:ext cx="771525" cy="723509"/>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779440</xdr:colOff>
      <xdr:row>6</xdr:row>
      <xdr:rowOff>0</xdr:rowOff>
    </xdr:from>
    <xdr:to>
      <xdr:col>5</xdr:col>
      <xdr:colOff>1467909</xdr:colOff>
      <xdr:row>6</xdr:row>
      <xdr:rowOff>704850</xdr:rowOff>
    </xdr:to>
    <xdr:grpSp>
      <xdr:nvGrpSpPr>
        <xdr:cNvPr id="7" name="Group 6">
          <a:extLst>
            <a:ext uri="{FF2B5EF4-FFF2-40B4-BE49-F238E27FC236}">
              <a16:creationId xmlns:a16="http://schemas.microsoft.com/office/drawing/2014/main" id="{00000000-0008-0000-0D00-000007000000}"/>
            </a:ext>
          </a:extLst>
        </xdr:cNvPr>
        <xdr:cNvGrpSpPr/>
      </xdr:nvGrpSpPr>
      <xdr:grpSpPr>
        <a:xfrm>
          <a:off x="779440" y="2276475"/>
          <a:ext cx="8727569" cy="704850"/>
          <a:chOff x="780625" y="0"/>
          <a:chExt cx="8740836" cy="704850"/>
        </a:xfrm>
      </xdr:grpSpPr>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780625" y="0"/>
            <a:ext cx="8740836"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D00-000005000000}"/>
              </a:ext>
            </a:extLst>
          </xdr:cNvPr>
          <xdr:cNvCxnSpPr/>
        </xdr:nvCxnSpPr>
        <xdr:spPr>
          <a:xfrm flipV="1">
            <a:off x="806777" y="16669"/>
            <a:ext cx="870426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D00-000006000000}"/>
              </a:ext>
            </a:extLst>
          </xdr:cNvPr>
          <xdr:cNvCxnSpPr/>
        </xdr:nvCxnSpPr>
        <xdr:spPr>
          <a:xfrm flipV="1">
            <a:off x="882851" y="92871"/>
            <a:ext cx="85579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0</xdr:col>
      <xdr:colOff>790575</xdr:colOff>
      <xdr:row>6</xdr:row>
      <xdr:rowOff>742559</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95525"/>
          <a:ext cx="771525" cy="723509"/>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799401</xdr:colOff>
      <xdr:row>0</xdr:row>
      <xdr:rowOff>19050</xdr:rowOff>
    </xdr:from>
    <xdr:to>
      <xdr:col>5</xdr:col>
      <xdr:colOff>1050798</xdr:colOff>
      <xdr:row>0</xdr:row>
      <xdr:rowOff>723900</xdr:rowOff>
    </xdr:to>
    <xdr:grpSp>
      <xdr:nvGrpSpPr>
        <xdr:cNvPr id="30" name="Group 29">
          <a:extLst>
            <a:ext uri="{FF2B5EF4-FFF2-40B4-BE49-F238E27FC236}">
              <a16:creationId xmlns:a16="http://schemas.microsoft.com/office/drawing/2014/main" id="{00000000-0008-0000-0E00-00001E000000}"/>
            </a:ext>
          </a:extLst>
        </xdr:cNvPr>
        <xdr:cNvGrpSpPr/>
      </xdr:nvGrpSpPr>
      <xdr:grpSpPr>
        <a:xfrm>
          <a:off x="799401" y="19050"/>
          <a:ext cx="6461697" cy="704850"/>
          <a:chOff x="800100" y="19050"/>
          <a:chExt cx="6467475" cy="704850"/>
        </a:xfrm>
      </xdr:grpSpPr>
      <xdr:sp macro="" textlink="">
        <xdr:nvSpPr>
          <xdr:cNvPr id="32" name="TextBox 31">
            <a:extLst>
              <a:ext uri="{FF2B5EF4-FFF2-40B4-BE49-F238E27FC236}">
                <a16:creationId xmlns:a16="http://schemas.microsoft.com/office/drawing/2014/main" id="{00000000-0008-0000-0E00-000020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33" name="Elbow Connector 32">
            <a:extLst>
              <a:ext uri="{FF2B5EF4-FFF2-40B4-BE49-F238E27FC236}">
                <a16:creationId xmlns:a16="http://schemas.microsoft.com/office/drawing/2014/main" id="{00000000-0008-0000-0E00-000021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34" name="Elbow Connector 33">
            <a:extLst>
              <a:ext uri="{FF2B5EF4-FFF2-40B4-BE49-F238E27FC236}">
                <a16:creationId xmlns:a16="http://schemas.microsoft.com/office/drawing/2014/main" id="{00000000-0008-0000-0E00-000022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981075</xdr:colOff>
          <xdr:row>10</xdr:row>
          <xdr:rowOff>57150</xdr:rowOff>
        </xdr:from>
        <xdr:to>
          <xdr:col>5</xdr:col>
          <xdr:colOff>895350</xdr:colOff>
          <xdr:row>10</xdr:row>
          <xdr:rowOff>514350</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0E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981075</xdr:colOff>
          <xdr:row>11</xdr:row>
          <xdr:rowOff>66675</xdr:rowOff>
        </xdr:from>
        <xdr:to>
          <xdr:col>5</xdr:col>
          <xdr:colOff>895350</xdr:colOff>
          <xdr:row>11</xdr:row>
          <xdr:rowOff>523875</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0E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26</xdr:row>
          <xdr:rowOff>142875</xdr:rowOff>
        </xdr:from>
        <xdr:to>
          <xdr:col>4</xdr:col>
          <xdr:colOff>609600</xdr:colOff>
          <xdr:row>26</xdr:row>
          <xdr:rowOff>466725</xdr:rowOff>
        </xdr:to>
        <xdr:sp macro="" textlink="">
          <xdr:nvSpPr>
            <xdr:cNvPr id="52269" name="Check Box 45" hidden="1">
              <a:extLst>
                <a:ext uri="{63B3BB69-23CF-44E3-9099-C40C66FF867C}">
                  <a14:compatExt spid="_x0000_s52269"/>
                </a:ext>
                <a:ext uri="{FF2B5EF4-FFF2-40B4-BE49-F238E27FC236}">
                  <a16:creationId xmlns:a16="http://schemas.microsoft.com/office/drawing/2014/main" id="{00000000-0008-0000-0E00-00002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26</xdr:row>
          <xdr:rowOff>142875</xdr:rowOff>
        </xdr:from>
        <xdr:to>
          <xdr:col>5</xdr:col>
          <xdr:colOff>609600</xdr:colOff>
          <xdr:row>26</xdr:row>
          <xdr:rowOff>466725</xdr:rowOff>
        </xdr:to>
        <xdr:sp macro="" textlink="">
          <xdr:nvSpPr>
            <xdr:cNvPr id="52270" name="Check Box 46" hidden="1">
              <a:extLst>
                <a:ext uri="{63B3BB69-23CF-44E3-9099-C40C66FF867C}">
                  <a14:compatExt spid="_x0000_s52270"/>
                </a:ext>
                <a:ext uri="{FF2B5EF4-FFF2-40B4-BE49-F238E27FC236}">
                  <a16:creationId xmlns:a16="http://schemas.microsoft.com/office/drawing/2014/main" id="{00000000-0008-0000-0E00-00002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161925</xdr:rowOff>
        </xdr:from>
        <xdr:to>
          <xdr:col>4</xdr:col>
          <xdr:colOff>609600</xdr:colOff>
          <xdr:row>4</xdr:row>
          <xdr:rowOff>485775</xdr:rowOff>
        </xdr:to>
        <xdr:sp macro="" textlink="">
          <xdr:nvSpPr>
            <xdr:cNvPr id="52273" name="Check Box 49" hidden="1">
              <a:extLst>
                <a:ext uri="{63B3BB69-23CF-44E3-9099-C40C66FF867C}">
                  <a14:compatExt spid="_x0000_s52273"/>
                </a:ext>
                <a:ext uri="{FF2B5EF4-FFF2-40B4-BE49-F238E27FC236}">
                  <a16:creationId xmlns:a16="http://schemas.microsoft.com/office/drawing/2014/main" id="{00000000-0008-0000-0E00-00003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xdr:row>
          <xdr:rowOff>161925</xdr:rowOff>
        </xdr:from>
        <xdr:to>
          <xdr:col>5</xdr:col>
          <xdr:colOff>609600</xdr:colOff>
          <xdr:row>4</xdr:row>
          <xdr:rowOff>485775</xdr:rowOff>
        </xdr:to>
        <xdr:sp macro="" textlink="">
          <xdr:nvSpPr>
            <xdr:cNvPr id="52274" name="Check Box 50" hidden="1">
              <a:extLst>
                <a:ext uri="{63B3BB69-23CF-44E3-9099-C40C66FF867C}">
                  <a14:compatExt spid="_x0000_s52274"/>
                </a:ext>
                <a:ext uri="{FF2B5EF4-FFF2-40B4-BE49-F238E27FC236}">
                  <a16:creationId xmlns:a16="http://schemas.microsoft.com/office/drawing/2014/main" id="{00000000-0008-0000-0E00-00003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171450</xdr:rowOff>
        </xdr:from>
        <xdr:to>
          <xdr:col>4</xdr:col>
          <xdr:colOff>609600</xdr:colOff>
          <xdr:row>5</xdr:row>
          <xdr:rowOff>495300</xdr:rowOff>
        </xdr:to>
        <xdr:sp macro="" textlink="">
          <xdr:nvSpPr>
            <xdr:cNvPr id="52276" name="Check Box 52" hidden="1">
              <a:extLst>
                <a:ext uri="{63B3BB69-23CF-44E3-9099-C40C66FF867C}">
                  <a14:compatExt spid="_x0000_s52276"/>
                </a:ext>
                <a:ext uri="{FF2B5EF4-FFF2-40B4-BE49-F238E27FC236}">
                  <a16:creationId xmlns:a16="http://schemas.microsoft.com/office/drawing/2014/main" id="{00000000-0008-0000-0E00-00003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xdr:row>
          <xdr:rowOff>171450</xdr:rowOff>
        </xdr:from>
        <xdr:to>
          <xdr:col>5</xdr:col>
          <xdr:colOff>609600</xdr:colOff>
          <xdr:row>5</xdr:row>
          <xdr:rowOff>495300</xdr:rowOff>
        </xdr:to>
        <xdr:sp macro="" textlink="">
          <xdr:nvSpPr>
            <xdr:cNvPr id="52277" name="Check Box 53" hidden="1">
              <a:extLst>
                <a:ext uri="{63B3BB69-23CF-44E3-9099-C40C66FF867C}">
                  <a14:compatExt spid="_x0000_s52277"/>
                </a:ext>
                <a:ext uri="{FF2B5EF4-FFF2-40B4-BE49-F238E27FC236}">
                  <a16:creationId xmlns:a16="http://schemas.microsoft.com/office/drawing/2014/main" id="{00000000-0008-0000-0E00-00003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15</xdr:row>
          <xdr:rowOff>171450</xdr:rowOff>
        </xdr:from>
        <xdr:to>
          <xdr:col>4</xdr:col>
          <xdr:colOff>609600</xdr:colOff>
          <xdr:row>15</xdr:row>
          <xdr:rowOff>495300</xdr:rowOff>
        </xdr:to>
        <xdr:sp macro="" textlink="">
          <xdr:nvSpPr>
            <xdr:cNvPr id="52280" name="Check Box 56" hidden="1">
              <a:extLst>
                <a:ext uri="{63B3BB69-23CF-44E3-9099-C40C66FF867C}">
                  <a14:compatExt spid="_x0000_s52280"/>
                </a:ext>
                <a:ext uri="{FF2B5EF4-FFF2-40B4-BE49-F238E27FC236}">
                  <a16:creationId xmlns:a16="http://schemas.microsoft.com/office/drawing/2014/main" id="{00000000-0008-0000-0E00-00003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15</xdr:row>
          <xdr:rowOff>171450</xdr:rowOff>
        </xdr:from>
        <xdr:to>
          <xdr:col>5</xdr:col>
          <xdr:colOff>609600</xdr:colOff>
          <xdr:row>15</xdr:row>
          <xdr:rowOff>495300</xdr:rowOff>
        </xdr:to>
        <xdr:sp macro="" textlink="">
          <xdr:nvSpPr>
            <xdr:cNvPr id="52281" name="Check Box 57" hidden="1">
              <a:extLst>
                <a:ext uri="{63B3BB69-23CF-44E3-9099-C40C66FF867C}">
                  <a14:compatExt spid="_x0000_s52281"/>
                </a:ext>
                <a:ext uri="{FF2B5EF4-FFF2-40B4-BE49-F238E27FC236}">
                  <a16:creationId xmlns:a16="http://schemas.microsoft.com/office/drawing/2014/main" id="{00000000-0008-0000-0E00-00003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20</xdr:row>
          <xdr:rowOff>133350</xdr:rowOff>
        </xdr:from>
        <xdr:to>
          <xdr:col>4</xdr:col>
          <xdr:colOff>609600</xdr:colOff>
          <xdr:row>20</xdr:row>
          <xdr:rowOff>457200</xdr:rowOff>
        </xdr:to>
        <xdr:sp macro="" textlink="">
          <xdr:nvSpPr>
            <xdr:cNvPr id="52282" name="Check Box 58" hidden="1">
              <a:extLst>
                <a:ext uri="{63B3BB69-23CF-44E3-9099-C40C66FF867C}">
                  <a14:compatExt spid="_x0000_s52282"/>
                </a:ext>
                <a:ext uri="{FF2B5EF4-FFF2-40B4-BE49-F238E27FC236}">
                  <a16:creationId xmlns:a16="http://schemas.microsoft.com/office/drawing/2014/main" id="{00000000-0008-0000-0E00-00003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20</xdr:row>
          <xdr:rowOff>133350</xdr:rowOff>
        </xdr:from>
        <xdr:to>
          <xdr:col>5</xdr:col>
          <xdr:colOff>609600</xdr:colOff>
          <xdr:row>20</xdr:row>
          <xdr:rowOff>457200</xdr:rowOff>
        </xdr:to>
        <xdr:sp macro="" textlink="">
          <xdr:nvSpPr>
            <xdr:cNvPr id="52283" name="Check Box 59" hidden="1">
              <a:extLst>
                <a:ext uri="{63B3BB69-23CF-44E3-9099-C40C66FF867C}">
                  <a14:compatExt spid="_x0000_s52283"/>
                </a:ext>
                <a:ext uri="{FF2B5EF4-FFF2-40B4-BE49-F238E27FC236}">
                  <a16:creationId xmlns:a16="http://schemas.microsoft.com/office/drawing/2014/main" id="{00000000-0008-0000-0E00-00003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0</xdr:row>
      <xdr:rowOff>19050</xdr:rowOff>
    </xdr:from>
    <xdr:to>
      <xdr:col>0</xdr:col>
      <xdr:colOff>790575</xdr:colOff>
      <xdr:row>0</xdr:row>
      <xdr:rowOff>742559</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9050"/>
          <a:ext cx="771525" cy="723509"/>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99621</xdr:colOff>
      <xdr:row>14</xdr:row>
      <xdr:rowOff>0</xdr:rowOff>
    </xdr:from>
    <xdr:to>
      <xdr:col>9</xdr:col>
      <xdr:colOff>1663827</xdr:colOff>
      <xdr:row>14</xdr:row>
      <xdr:rowOff>704850</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785421" y="5667375"/>
          <a:ext cx="10717731" cy="704850"/>
          <a:chOff x="781216" y="0"/>
          <a:chExt cx="10660352" cy="704850"/>
        </a:xfrm>
      </xdr:grpSpPr>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F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F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14</xdr:row>
      <xdr:rowOff>19050</xdr:rowOff>
    </xdr:from>
    <xdr:to>
      <xdr:col>1</xdr:col>
      <xdr:colOff>104775</xdr:colOff>
      <xdr:row>14</xdr:row>
      <xdr:rowOff>742559</xdr:rowOff>
    </xdr:to>
    <xdr:pic>
      <xdr:nvPicPr>
        <xdr:cNvPr id="8" name="Picture 7" descr="Graphical user interface, text&#10;&#10;Description automatically generated with medium confidence">
          <a:extLst>
            <a:ext uri="{FF2B5EF4-FFF2-40B4-BE49-F238E27FC236}">
              <a16:creationId xmlns:a16="http://schemas.microsoft.com/office/drawing/2014/main" id="{00000000-0008-0000-0F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5686425"/>
          <a:ext cx="771525" cy="72350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104774</xdr:colOff>
      <xdr:row>17</xdr:row>
      <xdr:rowOff>0</xdr:rowOff>
    </xdr:from>
    <xdr:to>
      <xdr:col>13</xdr:col>
      <xdr:colOff>733424</xdr:colOff>
      <xdr:row>17</xdr:row>
      <xdr:rowOff>704850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790574" y="7277100"/>
          <a:ext cx="10734675" cy="704850"/>
          <a:chOff x="732498" y="12534900"/>
          <a:chExt cx="10726077" cy="704850"/>
        </a:xfrm>
      </xdr:grpSpPr>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0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0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28575</xdr:colOff>
          <xdr:row>21</xdr:row>
          <xdr:rowOff>152400</xdr:rowOff>
        </xdr:from>
        <xdr:to>
          <xdr:col>3</xdr:col>
          <xdr:colOff>781050</xdr:colOff>
          <xdr:row>21</xdr:row>
          <xdr:rowOff>371475</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10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22</xdr:row>
          <xdr:rowOff>152400</xdr:rowOff>
        </xdr:from>
        <xdr:to>
          <xdr:col>3</xdr:col>
          <xdr:colOff>781050</xdr:colOff>
          <xdr:row>22</xdr:row>
          <xdr:rowOff>371475</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10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26</xdr:row>
          <xdr:rowOff>219075</xdr:rowOff>
        </xdr:from>
        <xdr:to>
          <xdr:col>3</xdr:col>
          <xdr:colOff>781050</xdr:colOff>
          <xdr:row>26</xdr:row>
          <xdr:rowOff>438150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10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27</xdr:row>
          <xdr:rowOff>219075</xdr:rowOff>
        </xdr:from>
        <xdr:to>
          <xdr:col>3</xdr:col>
          <xdr:colOff>781050</xdr:colOff>
          <xdr:row>27</xdr:row>
          <xdr:rowOff>438150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10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66674</xdr:colOff>
      <xdr:row>28</xdr:row>
      <xdr:rowOff>38104</xdr:rowOff>
    </xdr:from>
    <xdr:to>
      <xdr:col>13</xdr:col>
      <xdr:colOff>733424</xdr:colOff>
      <xdr:row>28</xdr:row>
      <xdr:rowOff>739444</xdr:rowOff>
    </xdr:to>
    <xdr:grpSp>
      <xdr:nvGrpSpPr>
        <xdr:cNvPr id="11" name="Group 10">
          <a:extLst>
            <a:ext uri="{FF2B5EF4-FFF2-40B4-BE49-F238E27FC236}">
              <a16:creationId xmlns:a16="http://schemas.microsoft.com/office/drawing/2014/main" id="{00000000-0008-0000-1000-00000B000000}"/>
            </a:ext>
          </a:extLst>
        </xdr:cNvPr>
        <xdr:cNvGrpSpPr/>
      </xdr:nvGrpSpPr>
      <xdr:grpSpPr>
        <a:xfrm>
          <a:off x="752474" y="12811129"/>
          <a:ext cx="10772775" cy="701340"/>
          <a:chOff x="732498" y="12534900"/>
          <a:chExt cx="10726077" cy="704850"/>
        </a:xfrm>
      </xdr:grpSpPr>
      <xdr:sp macro="" textlink="">
        <xdr:nvSpPr>
          <xdr:cNvPr id="13" name="TextBox 12">
            <a:extLst>
              <a:ext uri="{FF2B5EF4-FFF2-40B4-BE49-F238E27FC236}">
                <a16:creationId xmlns:a16="http://schemas.microsoft.com/office/drawing/2014/main" id="{00000000-0008-0000-1000-00000D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Asphalt Plant &amp; Reclaim</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14" name="Elbow Connector 13">
            <a:extLst>
              <a:ext uri="{FF2B5EF4-FFF2-40B4-BE49-F238E27FC236}">
                <a16:creationId xmlns:a16="http://schemas.microsoft.com/office/drawing/2014/main" id="{00000000-0008-0000-1000-00000E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5" name="Elbow Connector 14">
            <a:extLst>
              <a:ext uri="{FF2B5EF4-FFF2-40B4-BE49-F238E27FC236}">
                <a16:creationId xmlns:a16="http://schemas.microsoft.com/office/drawing/2014/main" id="{00000000-0008-0000-1000-00000F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17</xdr:row>
      <xdr:rowOff>19050</xdr:rowOff>
    </xdr:from>
    <xdr:to>
      <xdr:col>1</xdr:col>
      <xdr:colOff>104775</xdr:colOff>
      <xdr:row>17</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7296150"/>
          <a:ext cx="771525" cy="723509"/>
        </a:xfrm>
        <a:prstGeom prst="rect">
          <a:avLst/>
        </a:prstGeom>
        <a:noFill/>
        <a:ln>
          <a:noFill/>
        </a:ln>
      </xdr:spPr>
    </xdr:pic>
    <xdr:clientData/>
  </xdr:twoCellAnchor>
  <xdr:twoCellAnchor editAs="oneCell">
    <xdr:from>
      <xdr:col>0</xdr:col>
      <xdr:colOff>0</xdr:colOff>
      <xdr:row>28</xdr:row>
      <xdr:rowOff>19050</xdr:rowOff>
    </xdr:from>
    <xdr:to>
      <xdr:col>1</xdr:col>
      <xdr:colOff>85725</xdr:colOff>
      <xdr:row>28</xdr:row>
      <xdr:rowOff>742559</xdr:rowOff>
    </xdr:to>
    <xdr:pic>
      <xdr:nvPicPr>
        <xdr:cNvPr id="3" name="Picture 2" descr="Graphical user interface, text&#10;&#10;Description automatically generated with medium confidence">
          <a:extLst>
            <a:ext uri="{FF2B5EF4-FFF2-40B4-BE49-F238E27FC236}">
              <a16:creationId xmlns:a16="http://schemas.microsoft.com/office/drawing/2014/main" id="{4AB8B397-EA68-467B-9EC1-40BB5CE541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0" y="12792075"/>
          <a:ext cx="771525" cy="723509"/>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28150</xdr:colOff>
      <xdr:row>6</xdr:row>
      <xdr:rowOff>0</xdr:rowOff>
    </xdr:from>
    <xdr:to>
      <xdr:col>12</xdr:col>
      <xdr:colOff>812534</xdr:colOff>
      <xdr:row>6</xdr:row>
      <xdr:rowOff>704850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780625" y="2209800"/>
          <a:ext cx="10652284" cy="704850"/>
          <a:chOff x="781216" y="0"/>
          <a:chExt cx="10660352" cy="704850"/>
        </a:xfrm>
      </xdr:grpSpPr>
      <xdr:sp macro="" textlink="">
        <xdr:nvSpPr>
          <xdr:cNvPr id="4" name="TextBox 3">
            <a:extLst>
              <a:ext uri="{FF2B5EF4-FFF2-40B4-BE49-F238E27FC236}">
                <a16:creationId xmlns:a16="http://schemas.microsoft.com/office/drawing/2014/main" id="{00000000-0008-0000-11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1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1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31</xdr:col>
          <xdr:colOff>38100</xdr:colOff>
          <xdr:row>25</xdr:row>
          <xdr:rowOff>9525</xdr:rowOff>
        </xdr:from>
        <xdr:to>
          <xdr:col>33</xdr:col>
          <xdr:colOff>600075</xdr:colOff>
          <xdr:row>26</xdr:row>
          <xdr:rowOff>38100</xdr:rowOff>
        </xdr:to>
        <xdr:sp macro="" textlink="">
          <xdr:nvSpPr>
            <xdr:cNvPr id="95237" name="Object 5" hidden="1">
              <a:extLst>
                <a:ext uri="{63B3BB69-23CF-44E3-9099-C40C66FF867C}">
                  <a14:compatExt spid="_x0000_s95237"/>
                </a:ext>
                <a:ext uri="{FF2B5EF4-FFF2-40B4-BE49-F238E27FC236}">
                  <a16:creationId xmlns:a16="http://schemas.microsoft.com/office/drawing/2014/main" id="{00000000-0008-0000-1100-0000057401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34</xdr:row>
          <xdr:rowOff>47625</xdr:rowOff>
        </xdr:from>
        <xdr:to>
          <xdr:col>33</xdr:col>
          <xdr:colOff>666750</xdr:colOff>
          <xdr:row>35</xdr:row>
          <xdr:rowOff>209550</xdr:rowOff>
        </xdr:to>
        <xdr:sp macro="" textlink="">
          <xdr:nvSpPr>
            <xdr:cNvPr id="95238" name="Object 6" hidden="1">
              <a:extLst>
                <a:ext uri="{63B3BB69-23CF-44E3-9099-C40C66FF867C}">
                  <a14:compatExt spid="_x0000_s95238"/>
                </a:ext>
                <a:ext uri="{FF2B5EF4-FFF2-40B4-BE49-F238E27FC236}">
                  <a16:creationId xmlns:a16="http://schemas.microsoft.com/office/drawing/2014/main" id="{00000000-0008-0000-1100-0000067401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19050</xdr:colOff>
      <xdr:row>6</xdr:row>
      <xdr:rowOff>19050</xdr:rowOff>
    </xdr:from>
    <xdr:to>
      <xdr:col>1</xdr:col>
      <xdr:colOff>38100</xdr:colOff>
      <xdr:row>6</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28850"/>
          <a:ext cx="771525" cy="723509"/>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28150</xdr:colOff>
      <xdr:row>6</xdr:row>
      <xdr:rowOff>0</xdr:rowOff>
    </xdr:from>
    <xdr:to>
      <xdr:col>12</xdr:col>
      <xdr:colOff>812534</xdr:colOff>
      <xdr:row>6</xdr:row>
      <xdr:rowOff>704850</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780625" y="2209800"/>
          <a:ext cx="10652284" cy="704850"/>
          <a:chOff x="781216" y="0"/>
          <a:chExt cx="10660352" cy="704850"/>
        </a:xfrm>
      </xdr:grpSpPr>
      <xdr:sp macro="" textlink="">
        <xdr:nvSpPr>
          <xdr:cNvPr id="4" name="TextBox 3">
            <a:extLst>
              <a:ext uri="{FF2B5EF4-FFF2-40B4-BE49-F238E27FC236}">
                <a16:creationId xmlns:a16="http://schemas.microsoft.com/office/drawing/2014/main" id="{00000000-0008-0000-12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2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2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34</xdr:col>
          <xdr:colOff>38100</xdr:colOff>
          <xdr:row>89</xdr:row>
          <xdr:rowOff>104775</xdr:rowOff>
        </xdr:from>
        <xdr:to>
          <xdr:col>36</xdr:col>
          <xdr:colOff>600075</xdr:colOff>
          <xdr:row>90</xdr:row>
          <xdr:rowOff>133350</xdr:rowOff>
        </xdr:to>
        <xdr:sp macro="" textlink="">
          <xdr:nvSpPr>
            <xdr:cNvPr id="132097" name="Object 1" hidden="1">
              <a:extLst>
                <a:ext uri="{63B3BB69-23CF-44E3-9099-C40C66FF867C}">
                  <a14:compatExt spid="_x0000_s132097"/>
                </a:ext>
                <a:ext uri="{FF2B5EF4-FFF2-40B4-BE49-F238E27FC236}">
                  <a16:creationId xmlns:a16="http://schemas.microsoft.com/office/drawing/2014/main" id="{00000000-0008-0000-1200-00000104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98</xdr:row>
          <xdr:rowOff>0</xdr:rowOff>
        </xdr:from>
        <xdr:to>
          <xdr:col>36</xdr:col>
          <xdr:colOff>600075</xdr:colOff>
          <xdr:row>99</xdr:row>
          <xdr:rowOff>161925</xdr:rowOff>
        </xdr:to>
        <xdr:sp macro="" textlink="">
          <xdr:nvSpPr>
            <xdr:cNvPr id="132098" name="Object 2" hidden="1">
              <a:extLst>
                <a:ext uri="{63B3BB69-23CF-44E3-9099-C40C66FF867C}">
                  <a14:compatExt spid="_x0000_s132098"/>
                </a:ext>
                <a:ext uri="{FF2B5EF4-FFF2-40B4-BE49-F238E27FC236}">
                  <a16:creationId xmlns:a16="http://schemas.microsoft.com/office/drawing/2014/main" id="{00000000-0008-0000-1200-00000204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19050</xdr:colOff>
      <xdr:row>6</xdr:row>
      <xdr:rowOff>19050</xdr:rowOff>
    </xdr:from>
    <xdr:to>
      <xdr:col>1</xdr:col>
      <xdr:colOff>38100</xdr:colOff>
      <xdr:row>6</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28850"/>
          <a:ext cx="771525" cy="723509"/>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792913</xdr:colOff>
      <xdr:row>16</xdr:row>
      <xdr:rowOff>0</xdr:rowOff>
    </xdr:from>
    <xdr:to>
      <xdr:col>11</xdr:col>
      <xdr:colOff>773430</xdr:colOff>
      <xdr:row>16</xdr:row>
      <xdr:rowOff>704850</xdr:rowOff>
    </xdr:to>
    <xdr:grpSp>
      <xdr:nvGrpSpPr>
        <xdr:cNvPr id="2" name="Group 1">
          <a:extLst>
            <a:ext uri="{FF2B5EF4-FFF2-40B4-BE49-F238E27FC236}">
              <a16:creationId xmlns:a16="http://schemas.microsoft.com/office/drawing/2014/main" id="{00000000-0008-0000-1300-000002000000}"/>
            </a:ext>
          </a:extLst>
        </xdr:cNvPr>
        <xdr:cNvGrpSpPr/>
      </xdr:nvGrpSpPr>
      <xdr:grpSpPr>
        <a:xfrm>
          <a:off x="792913" y="5114925"/>
          <a:ext cx="10819967" cy="704850"/>
          <a:chOff x="781216" y="0"/>
          <a:chExt cx="10660352" cy="704850"/>
        </a:xfrm>
      </xdr:grpSpPr>
      <xdr:sp macro="" textlink="">
        <xdr:nvSpPr>
          <xdr:cNvPr id="4" name="TextBox 3">
            <a:extLst>
              <a:ext uri="{FF2B5EF4-FFF2-40B4-BE49-F238E27FC236}">
                <a16:creationId xmlns:a16="http://schemas.microsoft.com/office/drawing/2014/main" id="{00000000-0008-0000-13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3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3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16</xdr:row>
      <xdr:rowOff>19050</xdr:rowOff>
    </xdr:from>
    <xdr:to>
      <xdr:col>0</xdr:col>
      <xdr:colOff>790575</xdr:colOff>
      <xdr:row>16</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3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5133975"/>
          <a:ext cx="771525" cy="72350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1427895</xdr:colOff>
      <xdr:row>0</xdr:row>
      <xdr:rowOff>0</xdr:rowOff>
    </xdr:from>
    <xdr:to>
      <xdr:col>5</xdr:col>
      <xdr:colOff>1044538</xdr:colOff>
      <xdr:row>5</xdr:row>
      <xdr:rowOff>123825</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427895" y="0"/>
          <a:ext cx="5826943" cy="1390650"/>
          <a:chOff x="8407015" y="2439154"/>
          <a:chExt cx="6469672" cy="1520059"/>
        </a:xfrm>
      </xdr:grpSpPr>
      <xdr:grpSp>
        <xdr:nvGrpSpPr>
          <xdr:cNvPr id="2" name="Group 1">
            <a:extLst>
              <a:ext uri="{FF2B5EF4-FFF2-40B4-BE49-F238E27FC236}">
                <a16:creationId xmlns:a16="http://schemas.microsoft.com/office/drawing/2014/main" id="{00000000-0008-0000-0100-000002000000}"/>
              </a:ext>
            </a:extLst>
          </xdr:cNvPr>
          <xdr:cNvGrpSpPr/>
        </xdr:nvGrpSpPr>
        <xdr:grpSpPr>
          <a:xfrm>
            <a:off x="8407015" y="2439154"/>
            <a:ext cx="6469672" cy="1520059"/>
            <a:chOff x="8424127" y="2458170"/>
            <a:chExt cx="6477453" cy="1507958"/>
          </a:xfrm>
        </xdr:grpSpPr>
        <xdr:sp macro="" textlink="">
          <xdr:nvSpPr>
            <xdr:cNvPr id="38" name="TextBox 37">
              <a:extLst>
                <a:ext uri="{FF2B5EF4-FFF2-40B4-BE49-F238E27FC236}">
                  <a16:creationId xmlns:a16="http://schemas.microsoft.com/office/drawing/2014/main" id="{00000000-0008-0000-0100-000026000000}"/>
                </a:ext>
              </a:extLst>
            </xdr:cNvPr>
            <xdr:cNvSpPr txBox="1"/>
          </xdr:nvSpPr>
          <xdr:spPr>
            <a:xfrm>
              <a:off x="8424127" y="2458170"/>
              <a:ext cx="6477453" cy="1507958"/>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600" b="1"/>
                <a:t>Air</a:t>
              </a:r>
              <a:r>
                <a:rPr lang="en-US" sz="1600" b="1" baseline="0"/>
                <a:t> Quality Permit Application Form - Asphalt Plant &amp; Reclaim</a:t>
              </a:r>
            </a:p>
            <a:p>
              <a:r>
                <a:rPr lang="en-US" sz="1200" b="1" baseline="0"/>
                <a:t>  Lincoln-Lancaster County Health Department</a:t>
              </a:r>
            </a:p>
            <a:p>
              <a:r>
                <a:rPr lang="en-US" sz="1200" b="1" baseline="0"/>
                <a:t>  Environmental Public Health Division - Air Quality Program</a:t>
              </a:r>
            </a:p>
            <a:p>
              <a:r>
                <a:rPr lang="en-US" sz="1200" b="1" baseline="0"/>
                <a:t>  Lincoln, NE 68510</a:t>
              </a:r>
            </a:p>
            <a:p>
              <a:r>
                <a:rPr lang="en-US" sz="1200" b="1" baseline="0"/>
                <a:t>  ph: (402) 441-8040	fax: (402) 441-3890</a:t>
              </a:r>
            </a:p>
            <a:p>
              <a:endParaRPr lang="en-US" sz="600" b="1" baseline="0"/>
            </a:p>
            <a:p>
              <a:r>
                <a:rPr lang="en-US" sz="1200" b="1" baseline="0"/>
                <a:t>  </a:t>
              </a:r>
              <a:endParaRPr lang="en-US" sz="1100" b="0"/>
            </a:p>
          </xdr:txBody>
        </xdr:sp>
        <xdr:cxnSp macro="">
          <xdr:nvCxnSpPr>
            <xdr:cNvPr id="39" name="Elbow Connector 38">
              <a:extLst>
                <a:ext uri="{FF2B5EF4-FFF2-40B4-BE49-F238E27FC236}">
                  <a16:creationId xmlns:a16="http://schemas.microsoft.com/office/drawing/2014/main" id="{00000000-0008-0000-0100-000027000000}"/>
                </a:ext>
              </a:extLst>
            </xdr:cNvPr>
            <xdr:cNvCxnSpPr/>
          </xdr:nvCxnSpPr>
          <xdr:spPr>
            <a:xfrm flipV="1">
              <a:off x="8431248" y="2466671"/>
              <a:ext cx="6455606" cy="148357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40" name="Elbow Connector 39">
              <a:extLst>
                <a:ext uri="{FF2B5EF4-FFF2-40B4-BE49-F238E27FC236}">
                  <a16:creationId xmlns:a16="http://schemas.microsoft.com/office/drawing/2014/main" id="{00000000-0008-0000-0100-000028000000}"/>
                </a:ext>
              </a:extLst>
            </xdr:cNvPr>
            <xdr:cNvCxnSpPr/>
          </xdr:nvCxnSpPr>
          <xdr:spPr>
            <a:xfrm flipV="1">
              <a:off x="8507380" y="2542873"/>
              <a:ext cx="6309302" cy="1339382"/>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100-000004000000}"/>
              </a:ext>
            </a:extLst>
          </xdr:cNvPr>
          <xdr:cNvSpPr txBox="1"/>
        </xdr:nvSpPr>
        <xdr:spPr>
          <a:xfrm>
            <a:off x="8477909" y="3608825"/>
            <a:ext cx="468909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200" b="1" u="sng" baseline="0">
                <a:solidFill>
                  <a:srgbClr val="0000FF"/>
                </a:solidFill>
                <a:effectLst/>
                <a:latin typeface="+mn-lt"/>
                <a:ea typeface="+mn-ea"/>
                <a:cs typeface="+mn-cs"/>
              </a:rPr>
              <a:t>http://www.lincoln.ne.gov/city/health/environ/air.htm</a:t>
            </a:r>
            <a:endParaRPr lang="en-US" sz="1200">
              <a:solidFill>
                <a:srgbClr val="0000FF"/>
              </a:solidFill>
              <a:effectLst/>
            </a:endParaRPr>
          </a:p>
          <a:p>
            <a:endParaRPr lang="en-US" sz="1200">
              <a:solidFill>
                <a:srgbClr val="0000FF"/>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3</xdr:col>
          <xdr:colOff>66675</xdr:colOff>
          <xdr:row>23</xdr:row>
          <xdr:rowOff>95250</xdr:rowOff>
        </xdr:from>
        <xdr:to>
          <xdr:col>3</xdr:col>
          <xdr:colOff>981075</xdr:colOff>
          <xdr:row>24</xdr:row>
          <xdr:rowOff>114300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1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23</xdr:row>
          <xdr:rowOff>85725</xdr:rowOff>
        </xdr:from>
        <xdr:to>
          <xdr:col>4</xdr:col>
          <xdr:colOff>971550</xdr:colOff>
          <xdr:row>24</xdr:row>
          <xdr:rowOff>114300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1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23</xdr:row>
          <xdr:rowOff>85725</xdr:rowOff>
        </xdr:from>
        <xdr:to>
          <xdr:col>5</xdr:col>
          <xdr:colOff>971550</xdr:colOff>
          <xdr:row>24</xdr:row>
          <xdr:rowOff>114300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1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1</xdr:col>
          <xdr:colOff>857250</xdr:colOff>
          <xdr:row>14</xdr:row>
          <xdr:rowOff>19050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1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0</xdr:rowOff>
        </xdr:from>
        <xdr:to>
          <xdr:col>1</xdr:col>
          <xdr:colOff>857250</xdr:colOff>
          <xdr:row>15</xdr:row>
          <xdr:rowOff>19050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1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38100</xdr:rowOff>
        </xdr:from>
        <xdr:to>
          <xdr:col>2</xdr:col>
          <xdr:colOff>561975</xdr:colOff>
          <xdr:row>35</xdr:row>
          <xdr:rowOff>247650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1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85725</xdr:colOff>
          <xdr:row>36</xdr:row>
          <xdr:rowOff>38100</xdr:rowOff>
        </xdr:from>
        <xdr:to>
          <xdr:col>2</xdr:col>
          <xdr:colOff>647700</xdr:colOff>
          <xdr:row>36</xdr:row>
          <xdr:rowOff>247650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1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0</xdr:rowOff>
        </xdr:from>
        <xdr:to>
          <xdr:col>2</xdr:col>
          <xdr:colOff>847725</xdr:colOff>
          <xdr:row>7</xdr:row>
          <xdr:rowOff>9525</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1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200025</xdr:rowOff>
        </xdr:from>
        <xdr:to>
          <xdr:col>2</xdr:col>
          <xdr:colOff>847725</xdr:colOff>
          <xdr:row>8</xdr:row>
          <xdr:rowOff>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1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0</xdr:rowOff>
        </xdr:from>
        <xdr:to>
          <xdr:col>5</xdr:col>
          <xdr:colOff>419100</xdr:colOff>
          <xdr:row>7</xdr:row>
          <xdr:rowOff>9525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1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200025</xdr:rowOff>
        </xdr:from>
        <xdr:to>
          <xdr:col>5</xdr:col>
          <xdr:colOff>419100</xdr:colOff>
          <xdr:row>8</xdr:row>
          <xdr:rowOff>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1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42</xdr:row>
          <xdr:rowOff>28575</xdr:rowOff>
        </xdr:from>
        <xdr:to>
          <xdr:col>4</xdr:col>
          <xdr:colOff>876300</xdr:colOff>
          <xdr:row>42</xdr:row>
          <xdr:rowOff>238125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1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42</xdr:row>
          <xdr:rowOff>28575</xdr:rowOff>
        </xdr:from>
        <xdr:to>
          <xdr:col>5</xdr:col>
          <xdr:colOff>876300</xdr:colOff>
          <xdr:row>42</xdr:row>
          <xdr:rowOff>238125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1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43</xdr:row>
          <xdr:rowOff>28575</xdr:rowOff>
        </xdr:from>
        <xdr:to>
          <xdr:col>3</xdr:col>
          <xdr:colOff>942975</xdr:colOff>
          <xdr:row>43</xdr:row>
          <xdr:rowOff>228600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1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44</xdr:row>
          <xdr:rowOff>28575</xdr:rowOff>
        </xdr:from>
        <xdr:to>
          <xdr:col>3</xdr:col>
          <xdr:colOff>942975</xdr:colOff>
          <xdr:row>44</xdr:row>
          <xdr:rowOff>228600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1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43</xdr:row>
          <xdr:rowOff>28575</xdr:rowOff>
        </xdr:from>
        <xdr:to>
          <xdr:col>5</xdr:col>
          <xdr:colOff>942975</xdr:colOff>
          <xdr:row>43</xdr:row>
          <xdr:rowOff>228600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1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46</xdr:row>
          <xdr:rowOff>95250</xdr:rowOff>
        </xdr:from>
        <xdr:to>
          <xdr:col>4</xdr:col>
          <xdr:colOff>885825</xdr:colOff>
          <xdr:row>46</xdr:row>
          <xdr:rowOff>304800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1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46</xdr:row>
          <xdr:rowOff>95250</xdr:rowOff>
        </xdr:from>
        <xdr:to>
          <xdr:col>5</xdr:col>
          <xdr:colOff>876300</xdr:colOff>
          <xdr:row>46</xdr:row>
          <xdr:rowOff>304800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1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49</xdr:row>
          <xdr:rowOff>28575</xdr:rowOff>
        </xdr:from>
        <xdr:to>
          <xdr:col>3</xdr:col>
          <xdr:colOff>942975</xdr:colOff>
          <xdr:row>49</xdr:row>
          <xdr:rowOff>228600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1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50</xdr:row>
          <xdr:rowOff>19050</xdr:rowOff>
        </xdr:from>
        <xdr:to>
          <xdr:col>5</xdr:col>
          <xdr:colOff>752475</xdr:colOff>
          <xdr:row>50</xdr:row>
          <xdr:rowOff>219075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1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49</xdr:row>
          <xdr:rowOff>28575</xdr:rowOff>
        </xdr:from>
        <xdr:to>
          <xdr:col>5</xdr:col>
          <xdr:colOff>952500</xdr:colOff>
          <xdr:row>49</xdr:row>
          <xdr:rowOff>228600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1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55</xdr:row>
          <xdr:rowOff>104775</xdr:rowOff>
        </xdr:from>
        <xdr:to>
          <xdr:col>0</xdr:col>
          <xdr:colOff>1219200</xdr:colOff>
          <xdr:row>55</xdr:row>
          <xdr:rowOff>295275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1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56</xdr:row>
          <xdr:rowOff>114300</xdr:rowOff>
        </xdr:from>
        <xdr:to>
          <xdr:col>0</xdr:col>
          <xdr:colOff>1219200</xdr:colOff>
          <xdr:row>56</xdr:row>
          <xdr:rowOff>304800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1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58</xdr:row>
          <xdr:rowOff>9525</xdr:rowOff>
        </xdr:from>
        <xdr:to>
          <xdr:col>0</xdr:col>
          <xdr:colOff>1219200</xdr:colOff>
          <xdr:row>58</xdr:row>
          <xdr:rowOff>219075</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1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59</xdr:row>
          <xdr:rowOff>0</xdr:rowOff>
        </xdr:from>
        <xdr:to>
          <xdr:col>0</xdr:col>
          <xdr:colOff>1219200</xdr:colOff>
          <xdr:row>59</xdr:row>
          <xdr:rowOff>209550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1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61</xdr:row>
          <xdr:rowOff>28575</xdr:rowOff>
        </xdr:from>
        <xdr:to>
          <xdr:col>0</xdr:col>
          <xdr:colOff>1219200</xdr:colOff>
          <xdr:row>61</xdr:row>
          <xdr:rowOff>238125</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1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62</xdr:row>
          <xdr:rowOff>28575</xdr:rowOff>
        </xdr:from>
        <xdr:to>
          <xdr:col>0</xdr:col>
          <xdr:colOff>1219200</xdr:colOff>
          <xdr:row>62</xdr:row>
          <xdr:rowOff>238125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1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63</xdr:row>
          <xdr:rowOff>28575</xdr:rowOff>
        </xdr:from>
        <xdr:to>
          <xdr:col>0</xdr:col>
          <xdr:colOff>1219200</xdr:colOff>
          <xdr:row>63</xdr:row>
          <xdr:rowOff>238125</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1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65</xdr:row>
          <xdr:rowOff>219075</xdr:rowOff>
        </xdr:from>
        <xdr:to>
          <xdr:col>0</xdr:col>
          <xdr:colOff>1219200</xdr:colOff>
          <xdr:row>65</xdr:row>
          <xdr:rowOff>428625</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1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66</xdr:row>
          <xdr:rowOff>219075</xdr:rowOff>
        </xdr:from>
        <xdr:to>
          <xdr:col>0</xdr:col>
          <xdr:colOff>1219200</xdr:colOff>
          <xdr:row>66</xdr:row>
          <xdr:rowOff>428625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1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64</xdr:row>
          <xdr:rowOff>390525</xdr:rowOff>
        </xdr:from>
        <xdr:to>
          <xdr:col>3</xdr:col>
          <xdr:colOff>0</xdr:colOff>
          <xdr:row>64</xdr:row>
          <xdr:rowOff>571500</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100-00002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161925</xdr:rowOff>
        </xdr:from>
        <xdr:to>
          <xdr:col>5</xdr:col>
          <xdr:colOff>742950</xdr:colOff>
          <xdr:row>65</xdr:row>
          <xdr:rowOff>523875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1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23</xdr:row>
          <xdr:rowOff>0</xdr:rowOff>
        </xdr:from>
        <xdr:to>
          <xdr:col>1</xdr:col>
          <xdr:colOff>857250</xdr:colOff>
          <xdr:row>24</xdr:row>
          <xdr:rowOff>19050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1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24</xdr:row>
          <xdr:rowOff>0</xdr:rowOff>
        </xdr:from>
        <xdr:to>
          <xdr:col>1</xdr:col>
          <xdr:colOff>857250</xdr:colOff>
          <xdr:row>25</xdr:row>
          <xdr:rowOff>19050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1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25</xdr:row>
          <xdr:rowOff>0</xdr:rowOff>
        </xdr:from>
        <xdr:to>
          <xdr:col>1</xdr:col>
          <xdr:colOff>857250</xdr:colOff>
          <xdr:row>26</xdr:row>
          <xdr:rowOff>19050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1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26</xdr:row>
          <xdr:rowOff>0</xdr:rowOff>
        </xdr:from>
        <xdr:to>
          <xdr:col>1</xdr:col>
          <xdr:colOff>857250</xdr:colOff>
          <xdr:row>27</xdr:row>
          <xdr:rowOff>19050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1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51</xdr:row>
          <xdr:rowOff>28575</xdr:rowOff>
        </xdr:from>
        <xdr:to>
          <xdr:col>3</xdr:col>
          <xdr:colOff>942975</xdr:colOff>
          <xdr:row>51</xdr:row>
          <xdr:rowOff>228600</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100-00003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51</xdr:row>
          <xdr:rowOff>28575</xdr:rowOff>
        </xdr:from>
        <xdr:to>
          <xdr:col>5</xdr:col>
          <xdr:colOff>952500</xdr:colOff>
          <xdr:row>51</xdr:row>
          <xdr:rowOff>228600</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100-00003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76200</xdr:colOff>
      <xdr:row>0</xdr:row>
      <xdr:rowOff>104775</xdr:rowOff>
    </xdr:from>
    <xdr:to>
      <xdr:col>0</xdr:col>
      <xdr:colOff>1352550</xdr:colOff>
      <xdr:row>5</xdr:row>
      <xdr:rowOff>34866</xdr:rowOff>
    </xdr:to>
    <xdr:pic>
      <xdr:nvPicPr>
        <xdr:cNvPr id="6" name="Picture 5" descr="Graphical user interface, text&#10;&#10;Description automatically generated with medium confidence">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67113"/>
        <a:stretch>
          <a:fillRect/>
        </a:stretch>
      </xdr:blipFill>
      <xdr:spPr bwMode="auto">
        <a:xfrm>
          <a:off x="76200" y="104775"/>
          <a:ext cx="1276350" cy="1196916"/>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798948</xdr:colOff>
      <xdr:row>22</xdr:row>
      <xdr:rowOff>0</xdr:rowOff>
    </xdr:from>
    <xdr:to>
      <xdr:col>12</xdr:col>
      <xdr:colOff>4572</xdr:colOff>
      <xdr:row>22</xdr:row>
      <xdr:rowOff>704850</xdr:rowOff>
    </xdr:to>
    <xdr:grpSp>
      <xdr:nvGrpSpPr>
        <xdr:cNvPr id="2" name="Group 1">
          <a:extLst>
            <a:ext uri="{FF2B5EF4-FFF2-40B4-BE49-F238E27FC236}">
              <a16:creationId xmlns:a16="http://schemas.microsoft.com/office/drawing/2014/main" id="{00000000-0008-0000-1400-000002000000}"/>
            </a:ext>
          </a:extLst>
        </xdr:cNvPr>
        <xdr:cNvGrpSpPr/>
      </xdr:nvGrpSpPr>
      <xdr:grpSpPr>
        <a:xfrm>
          <a:off x="798948" y="6772275"/>
          <a:ext cx="10902324" cy="704850"/>
          <a:chOff x="781216" y="0"/>
          <a:chExt cx="10660352" cy="704850"/>
        </a:xfrm>
      </xdr:grpSpPr>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4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4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22</xdr:row>
      <xdr:rowOff>19050</xdr:rowOff>
    </xdr:from>
    <xdr:to>
      <xdr:col>0</xdr:col>
      <xdr:colOff>790575</xdr:colOff>
      <xdr:row>22</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4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6791325"/>
          <a:ext cx="771525" cy="723509"/>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779440</xdr:colOff>
      <xdr:row>7</xdr:row>
      <xdr:rowOff>0</xdr:rowOff>
    </xdr:from>
    <xdr:to>
      <xdr:col>5</xdr:col>
      <xdr:colOff>1467909</xdr:colOff>
      <xdr:row>7</xdr:row>
      <xdr:rowOff>704850</xdr:rowOff>
    </xdr:to>
    <xdr:grpSp>
      <xdr:nvGrpSpPr>
        <xdr:cNvPr id="2" name="Group 1">
          <a:extLst>
            <a:ext uri="{FF2B5EF4-FFF2-40B4-BE49-F238E27FC236}">
              <a16:creationId xmlns:a16="http://schemas.microsoft.com/office/drawing/2014/main" id="{00000000-0008-0000-1500-000002000000}"/>
            </a:ext>
          </a:extLst>
        </xdr:cNvPr>
        <xdr:cNvGrpSpPr/>
      </xdr:nvGrpSpPr>
      <xdr:grpSpPr>
        <a:xfrm>
          <a:off x="779440" y="2009775"/>
          <a:ext cx="8727569" cy="704850"/>
          <a:chOff x="780625" y="0"/>
          <a:chExt cx="8740836" cy="704850"/>
        </a:xfrm>
      </xdr:grpSpPr>
      <xdr:sp macro="" textlink="">
        <xdr:nvSpPr>
          <xdr:cNvPr id="4" name="TextBox 3">
            <a:extLst>
              <a:ext uri="{FF2B5EF4-FFF2-40B4-BE49-F238E27FC236}">
                <a16:creationId xmlns:a16="http://schemas.microsoft.com/office/drawing/2014/main" id="{00000000-0008-0000-1500-000004000000}"/>
              </a:ext>
            </a:extLst>
          </xdr:cNvPr>
          <xdr:cNvSpPr txBox="1"/>
        </xdr:nvSpPr>
        <xdr:spPr>
          <a:xfrm>
            <a:off x="780625" y="0"/>
            <a:ext cx="8740836"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Asphalt Plant &amp; Reclaim</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500-000005000000}"/>
              </a:ext>
            </a:extLst>
          </xdr:cNvPr>
          <xdr:cNvCxnSpPr/>
        </xdr:nvCxnSpPr>
        <xdr:spPr>
          <a:xfrm flipV="1">
            <a:off x="806777" y="16669"/>
            <a:ext cx="870426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500-000006000000}"/>
              </a:ext>
            </a:extLst>
          </xdr:cNvPr>
          <xdr:cNvCxnSpPr/>
        </xdr:nvCxnSpPr>
        <xdr:spPr>
          <a:xfrm flipV="1">
            <a:off x="882851" y="92871"/>
            <a:ext cx="85579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7</xdr:row>
      <xdr:rowOff>19050</xdr:rowOff>
    </xdr:from>
    <xdr:to>
      <xdr:col>0</xdr:col>
      <xdr:colOff>790575</xdr:colOff>
      <xdr:row>7</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5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28825"/>
          <a:ext cx="771525" cy="723509"/>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803176</xdr:colOff>
      <xdr:row>19</xdr:row>
      <xdr:rowOff>19050</xdr:rowOff>
    </xdr:from>
    <xdr:to>
      <xdr:col>5</xdr:col>
      <xdr:colOff>1343024</xdr:colOff>
      <xdr:row>19</xdr:row>
      <xdr:rowOff>723900</xdr:rowOff>
    </xdr:to>
    <xdr:grpSp>
      <xdr:nvGrpSpPr>
        <xdr:cNvPr id="2" name="Group 1">
          <a:extLst>
            <a:ext uri="{FF2B5EF4-FFF2-40B4-BE49-F238E27FC236}">
              <a16:creationId xmlns:a16="http://schemas.microsoft.com/office/drawing/2014/main" id="{00000000-0008-0000-1600-000002000000}"/>
            </a:ext>
          </a:extLst>
        </xdr:cNvPr>
        <xdr:cNvGrpSpPr/>
      </xdr:nvGrpSpPr>
      <xdr:grpSpPr>
        <a:xfrm>
          <a:off x="803176" y="7458075"/>
          <a:ext cx="6492973" cy="704850"/>
          <a:chOff x="800100" y="19050"/>
          <a:chExt cx="6467475" cy="704850"/>
        </a:xfrm>
      </xdr:grpSpPr>
      <xdr:sp macro="" textlink="">
        <xdr:nvSpPr>
          <xdr:cNvPr id="4" name="TextBox 3">
            <a:extLst>
              <a:ext uri="{FF2B5EF4-FFF2-40B4-BE49-F238E27FC236}">
                <a16:creationId xmlns:a16="http://schemas.microsoft.com/office/drawing/2014/main" id="{00000000-0008-0000-16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Asphalt Plant &amp; Reclaim</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6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6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0</xdr:colOff>
          <xdr:row>24</xdr:row>
          <xdr:rowOff>19050</xdr:rowOff>
        </xdr:from>
        <xdr:to>
          <xdr:col>3</xdr:col>
          <xdr:colOff>781050</xdr:colOff>
          <xdr:row>24</xdr:row>
          <xdr:rowOff>228600</xdr:rowOff>
        </xdr:to>
        <xdr:sp macro="" textlink="">
          <xdr:nvSpPr>
            <xdr:cNvPr id="64583" name="Check Box 71" hidden="1">
              <a:extLst>
                <a:ext uri="{63B3BB69-23CF-44E3-9099-C40C66FF867C}">
                  <a14:compatExt spid="_x0000_s64583"/>
                </a:ext>
                <a:ext uri="{FF2B5EF4-FFF2-40B4-BE49-F238E27FC236}">
                  <a16:creationId xmlns:a16="http://schemas.microsoft.com/office/drawing/2014/main" id="{00000000-0008-0000-1600-00004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219075</xdr:rowOff>
        </xdr:from>
        <xdr:to>
          <xdr:col>3</xdr:col>
          <xdr:colOff>781050</xdr:colOff>
          <xdr:row>24</xdr:row>
          <xdr:rowOff>428625</xdr:rowOff>
        </xdr:to>
        <xdr:sp macro="" textlink="">
          <xdr:nvSpPr>
            <xdr:cNvPr id="64584" name="Check Box 72" hidden="1">
              <a:extLst>
                <a:ext uri="{63B3BB69-23CF-44E3-9099-C40C66FF867C}">
                  <a14:compatExt spid="_x0000_s64584"/>
                </a:ext>
                <a:ext uri="{FF2B5EF4-FFF2-40B4-BE49-F238E27FC236}">
                  <a16:creationId xmlns:a16="http://schemas.microsoft.com/office/drawing/2014/main" id="{00000000-0008-0000-1600-00004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19050</xdr:rowOff>
        </xdr:from>
        <xdr:to>
          <xdr:col>3</xdr:col>
          <xdr:colOff>781050</xdr:colOff>
          <xdr:row>25</xdr:row>
          <xdr:rowOff>228600</xdr:rowOff>
        </xdr:to>
        <xdr:sp macro="" textlink="">
          <xdr:nvSpPr>
            <xdr:cNvPr id="64587" name="Check Box 75" hidden="1">
              <a:extLst>
                <a:ext uri="{63B3BB69-23CF-44E3-9099-C40C66FF867C}">
                  <a14:compatExt spid="_x0000_s64587"/>
                </a:ext>
                <a:ext uri="{FF2B5EF4-FFF2-40B4-BE49-F238E27FC236}">
                  <a16:creationId xmlns:a16="http://schemas.microsoft.com/office/drawing/2014/main" id="{00000000-0008-0000-1600-00004B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219075</xdr:rowOff>
        </xdr:from>
        <xdr:to>
          <xdr:col>3</xdr:col>
          <xdr:colOff>781050</xdr:colOff>
          <xdr:row>25</xdr:row>
          <xdr:rowOff>428625</xdr:rowOff>
        </xdr:to>
        <xdr:sp macro="" textlink="">
          <xdr:nvSpPr>
            <xdr:cNvPr id="64588" name="Check Box 76" hidden="1">
              <a:extLst>
                <a:ext uri="{63B3BB69-23CF-44E3-9099-C40C66FF867C}">
                  <a14:compatExt spid="_x0000_s64588"/>
                </a:ext>
                <a:ext uri="{FF2B5EF4-FFF2-40B4-BE49-F238E27FC236}">
                  <a16:creationId xmlns:a16="http://schemas.microsoft.com/office/drawing/2014/main" id="{00000000-0008-0000-1600-00004C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3</xdr:col>
          <xdr:colOff>781050</xdr:colOff>
          <xdr:row>26</xdr:row>
          <xdr:rowOff>209550</xdr:rowOff>
        </xdr:to>
        <xdr:sp macro="" textlink="">
          <xdr:nvSpPr>
            <xdr:cNvPr id="64589" name="Check Box 77" hidden="1">
              <a:extLst>
                <a:ext uri="{63B3BB69-23CF-44E3-9099-C40C66FF867C}">
                  <a14:compatExt spid="_x0000_s64589"/>
                </a:ext>
                <a:ext uri="{FF2B5EF4-FFF2-40B4-BE49-F238E27FC236}">
                  <a16:creationId xmlns:a16="http://schemas.microsoft.com/office/drawing/2014/main" id="{00000000-0008-0000-1600-00004D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200025</xdr:rowOff>
        </xdr:from>
        <xdr:to>
          <xdr:col>3</xdr:col>
          <xdr:colOff>781050</xdr:colOff>
          <xdr:row>26</xdr:row>
          <xdr:rowOff>409575</xdr:rowOff>
        </xdr:to>
        <xdr:sp macro="" textlink="">
          <xdr:nvSpPr>
            <xdr:cNvPr id="64590" name="Check Box 78" hidden="1">
              <a:extLst>
                <a:ext uri="{63B3BB69-23CF-44E3-9099-C40C66FF867C}">
                  <a14:compatExt spid="_x0000_s64590"/>
                </a:ext>
                <a:ext uri="{FF2B5EF4-FFF2-40B4-BE49-F238E27FC236}">
                  <a16:creationId xmlns:a16="http://schemas.microsoft.com/office/drawing/2014/main" id="{00000000-0008-0000-1600-00004E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3</xdr:col>
          <xdr:colOff>781050</xdr:colOff>
          <xdr:row>27</xdr:row>
          <xdr:rowOff>209550</xdr:rowOff>
        </xdr:to>
        <xdr:sp macro="" textlink="">
          <xdr:nvSpPr>
            <xdr:cNvPr id="64591" name="Check Box 79" hidden="1">
              <a:extLst>
                <a:ext uri="{63B3BB69-23CF-44E3-9099-C40C66FF867C}">
                  <a14:compatExt spid="_x0000_s64591"/>
                </a:ext>
                <a:ext uri="{FF2B5EF4-FFF2-40B4-BE49-F238E27FC236}">
                  <a16:creationId xmlns:a16="http://schemas.microsoft.com/office/drawing/2014/main" id="{00000000-0008-0000-1600-00004F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200025</xdr:rowOff>
        </xdr:from>
        <xdr:to>
          <xdr:col>3</xdr:col>
          <xdr:colOff>781050</xdr:colOff>
          <xdr:row>27</xdr:row>
          <xdr:rowOff>409575</xdr:rowOff>
        </xdr:to>
        <xdr:sp macro="" textlink="">
          <xdr:nvSpPr>
            <xdr:cNvPr id="64592" name="Check Box 80" hidden="1">
              <a:extLst>
                <a:ext uri="{63B3BB69-23CF-44E3-9099-C40C66FF867C}">
                  <a14:compatExt spid="_x0000_s64592"/>
                </a:ext>
                <a:ext uri="{FF2B5EF4-FFF2-40B4-BE49-F238E27FC236}">
                  <a16:creationId xmlns:a16="http://schemas.microsoft.com/office/drawing/2014/main" id="{00000000-0008-0000-1600-00005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3</xdr:col>
          <xdr:colOff>781050</xdr:colOff>
          <xdr:row>28</xdr:row>
          <xdr:rowOff>209550</xdr:rowOff>
        </xdr:to>
        <xdr:sp macro="" textlink="">
          <xdr:nvSpPr>
            <xdr:cNvPr id="64595" name="Check Box 83" hidden="1">
              <a:extLst>
                <a:ext uri="{63B3BB69-23CF-44E3-9099-C40C66FF867C}">
                  <a14:compatExt spid="_x0000_s64595"/>
                </a:ext>
                <a:ext uri="{FF2B5EF4-FFF2-40B4-BE49-F238E27FC236}">
                  <a16:creationId xmlns:a16="http://schemas.microsoft.com/office/drawing/2014/main" id="{00000000-0008-0000-1600-00005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200025</xdr:rowOff>
        </xdr:from>
        <xdr:to>
          <xdr:col>3</xdr:col>
          <xdr:colOff>781050</xdr:colOff>
          <xdr:row>28</xdr:row>
          <xdr:rowOff>409575</xdr:rowOff>
        </xdr:to>
        <xdr:sp macro="" textlink="">
          <xdr:nvSpPr>
            <xdr:cNvPr id="64596" name="Check Box 84" hidden="1">
              <a:extLst>
                <a:ext uri="{63B3BB69-23CF-44E3-9099-C40C66FF867C}">
                  <a14:compatExt spid="_x0000_s64596"/>
                </a:ext>
                <a:ext uri="{FF2B5EF4-FFF2-40B4-BE49-F238E27FC236}">
                  <a16:creationId xmlns:a16="http://schemas.microsoft.com/office/drawing/2014/main" id="{00000000-0008-0000-1600-00005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3</xdr:col>
          <xdr:colOff>781050</xdr:colOff>
          <xdr:row>29</xdr:row>
          <xdr:rowOff>209550</xdr:rowOff>
        </xdr:to>
        <xdr:sp macro="" textlink="">
          <xdr:nvSpPr>
            <xdr:cNvPr id="64597" name="Check Box 85" hidden="1">
              <a:extLst>
                <a:ext uri="{63B3BB69-23CF-44E3-9099-C40C66FF867C}">
                  <a14:compatExt spid="_x0000_s64597"/>
                </a:ext>
                <a:ext uri="{FF2B5EF4-FFF2-40B4-BE49-F238E27FC236}">
                  <a16:creationId xmlns:a16="http://schemas.microsoft.com/office/drawing/2014/main" id="{00000000-0008-0000-1600-00005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200025</xdr:rowOff>
        </xdr:from>
        <xdr:to>
          <xdr:col>3</xdr:col>
          <xdr:colOff>781050</xdr:colOff>
          <xdr:row>29</xdr:row>
          <xdr:rowOff>409575</xdr:rowOff>
        </xdr:to>
        <xdr:sp macro="" textlink="">
          <xdr:nvSpPr>
            <xdr:cNvPr id="64598" name="Check Box 86" hidden="1">
              <a:extLst>
                <a:ext uri="{63B3BB69-23CF-44E3-9099-C40C66FF867C}">
                  <a14:compatExt spid="_x0000_s64598"/>
                </a:ext>
                <a:ext uri="{FF2B5EF4-FFF2-40B4-BE49-F238E27FC236}">
                  <a16:creationId xmlns:a16="http://schemas.microsoft.com/office/drawing/2014/main" id="{00000000-0008-0000-1600-00005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599" name="Check Box 87" hidden="1">
              <a:extLst>
                <a:ext uri="{63B3BB69-23CF-44E3-9099-C40C66FF867C}">
                  <a14:compatExt spid="_x0000_s64599"/>
                </a:ext>
                <a:ext uri="{FF2B5EF4-FFF2-40B4-BE49-F238E27FC236}">
                  <a16:creationId xmlns:a16="http://schemas.microsoft.com/office/drawing/2014/main" id="{00000000-0008-0000-1600-00005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600" name="Check Box 88" hidden="1">
              <a:extLst>
                <a:ext uri="{63B3BB69-23CF-44E3-9099-C40C66FF867C}">
                  <a14:compatExt spid="_x0000_s64600"/>
                </a:ext>
                <a:ext uri="{FF2B5EF4-FFF2-40B4-BE49-F238E27FC236}">
                  <a16:creationId xmlns:a16="http://schemas.microsoft.com/office/drawing/2014/main" id="{00000000-0008-0000-1600-00005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601" name="Check Box 89" hidden="1">
              <a:extLst>
                <a:ext uri="{63B3BB69-23CF-44E3-9099-C40C66FF867C}">
                  <a14:compatExt spid="_x0000_s64601"/>
                </a:ext>
                <a:ext uri="{FF2B5EF4-FFF2-40B4-BE49-F238E27FC236}">
                  <a16:creationId xmlns:a16="http://schemas.microsoft.com/office/drawing/2014/main" id="{00000000-0008-0000-1600-000059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200025</xdr:rowOff>
        </xdr:from>
        <xdr:to>
          <xdr:col>3</xdr:col>
          <xdr:colOff>781050</xdr:colOff>
          <xdr:row>30</xdr:row>
          <xdr:rowOff>409575</xdr:rowOff>
        </xdr:to>
        <xdr:sp macro="" textlink="">
          <xdr:nvSpPr>
            <xdr:cNvPr id="64602" name="Check Box 90" hidden="1">
              <a:extLst>
                <a:ext uri="{63B3BB69-23CF-44E3-9099-C40C66FF867C}">
                  <a14:compatExt spid="_x0000_s64602"/>
                </a:ext>
                <a:ext uri="{FF2B5EF4-FFF2-40B4-BE49-F238E27FC236}">
                  <a16:creationId xmlns:a16="http://schemas.microsoft.com/office/drawing/2014/main" id="{00000000-0008-0000-1600-00005A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3</xdr:col>
          <xdr:colOff>781050</xdr:colOff>
          <xdr:row>31</xdr:row>
          <xdr:rowOff>209550</xdr:rowOff>
        </xdr:to>
        <xdr:sp macro="" textlink="">
          <xdr:nvSpPr>
            <xdr:cNvPr id="64603" name="Check Box 91" hidden="1">
              <a:extLst>
                <a:ext uri="{63B3BB69-23CF-44E3-9099-C40C66FF867C}">
                  <a14:compatExt spid="_x0000_s64603"/>
                </a:ext>
                <a:ext uri="{FF2B5EF4-FFF2-40B4-BE49-F238E27FC236}">
                  <a16:creationId xmlns:a16="http://schemas.microsoft.com/office/drawing/2014/main" id="{00000000-0008-0000-1600-00005B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200025</xdr:rowOff>
        </xdr:from>
        <xdr:to>
          <xdr:col>3</xdr:col>
          <xdr:colOff>781050</xdr:colOff>
          <xdr:row>31</xdr:row>
          <xdr:rowOff>409575</xdr:rowOff>
        </xdr:to>
        <xdr:sp macro="" textlink="">
          <xdr:nvSpPr>
            <xdr:cNvPr id="64604" name="Check Box 92" hidden="1">
              <a:extLst>
                <a:ext uri="{63B3BB69-23CF-44E3-9099-C40C66FF867C}">
                  <a14:compatExt spid="_x0000_s64604"/>
                </a:ext>
                <a:ext uri="{FF2B5EF4-FFF2-40B4-BE49-F238E27FC236}">
                  <a16:creationId xmlns:a16="http://schemas.microsoft.com/office/drawing/2014/main" id="{00000000-0008-0000-1600-00005C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0</xdr:rowOff>
        </xdr:from>
        <xdr:to>
          <xdr:col>3</xdr:col>
          <xdr:colOff>781050</xdr:colOff>
          <xdr:row>32</xdr:row>
          <xdr:rowOff>209550</xdr:rowOff>
        </xdr:to>
        <xdr:sp macro="" textlink="">
          <xdr:nvSpPr>
            <xdr:cNvPr id="64605" name="Check Box 93" hidden="1">
              <a:extLst>
                <a:ext uri="{63B3BB69-23CF-44E3-9099-C40C66FF867C}">
                  <a14:compatExt spid="_x0000_s64605"/>
                </a:ext>
                <a:ext uri="{FF2B5EF4-FFF2-40B4-BE49-F238E27FC236}">
                  <a16:creationId xmlns:a16="http://schemas.microsoft.com/office/drawing/2014/main" id="{00000000-0008-0000-1600-00005D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200025</xdr:rowOff>
        </xdr:from>
        <xdr:to>
          <xdr:col>3</xdr:col>
          <xdr:colOff>781050</xdr:colOff>
          <xdr:row>32</xdr:row>
          <xdr:rowOff>409575</xdr:rowOff>
        </xdr:to>
        <xdr:sp macro="" textlink="">
          <xdr:nvSpPr>
            <xdr:cNvPr id="64606" name="Check Box 94" hidden="1">
              <a:extLst>
                <a:ext uri="{63B3BB69-23CF-44E3-9099-C40C66FF867C}">
                  <a14:compatExt spid="_x0000_s64606"/>
                </a:ext>
                <a:ext uri="{FF2B5EF4-FFF2-40B4-BE49-F238E27FC236}">
                  <a16:creationId xmlns:a16="http://schemas.microsoft.com/office/drawing/2014/main" id="{00000000-0008-0000-1600-00005E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0</xdr:rowOff>
        </xdr:from>
        <xdr:to>
          <xdr:col>3</xdr:col>
          <xdr:colOff>781050</xdr:colOff>
          <xdr:row>33</xdr:row>
          <xdr:rowOff>209550</xdr:rowOff>
        </xdr:to>
        <xdr:sp macro="" textlink="">
          <xdr:nvSpPr>
            <xdr:cNvPr id="64607" name="Check Box 95" hidden="1">
              <a:extLst>
                <a:ext uri="{63B3BB69-23CF-44E3-9099-C40C66FF867C}">
                  <a14:compatExt spid="_x0000_s64607"/>
                </a:ext>
                <a:ext uri="{FF2B5EF4-FFF2-40B4-BE49-F238E27FC236}">
                  <a16:creationId xmlns:a16="http://schemas.microsoft.com/office/drawing/2014/main" id="{00000000-0008-0000-1600-00005F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200025</xdr:rowOff>
        </xdr:from>
        <xdr:to>
          <xdr:col>3</xdr:col>
          <xdr:colOff>781050</xdr:colOff>
          <xdr:row>33</xdr:row>
          <xdr:rowOff>409575</xdr:rowOff>
        </xdr:to>
        <xdr:sp macro="" textlink="">
          <xdr:nvSpPr>
            <xdr:cNvPr id="64608" name="Check Box 96" hidden="1">
              <a:extLst>
                <a:ext uri="{63B3BB69-23CF-44E3-9099-C40C66FF867C}">
                  <a14:compatExt spid="_x0000_s64608"/>
                </a:ext>
                <a:ext uri="{FF2B5EF4-FFF2-40B4-BE49-F238E27FC236}">
                  <a16:creationId xmlns:a16="http://schemas.microsoft.com/office/drawing/2014/main" id="{00000000-0008-0000-1600-00006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3</xdr:col>
          <xdr:colOff>781050</xdr:colOff>
          <xdr:row>34</xdr:row>
          <xdr:rowOff>209550</xdr:rowOff>
        </xdr:to>
        <xdr:sp macro="" textlink="">
          <xdr:nvSpPr>
            <xdr:cNvPr id="64609" name="Check Box 97" hidden="1">
              <a:extLst>
                <a:ext uri="{63B3BB69-23CF-44E3-9099-C40C66FF867C}">
                  <a14:compatExt spid="_x0000_s64609"/>
                </a:ext>
                <a:ext uri="{FF2B5EF4-FFF2-40B4-BE49-F238E27FC236}">
                  <a16:creationId xmlns:a16="http://schemas.microsoft.com/office/drawing/2014/main" id="{00000000-0008-0000-1600-00006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200025</xdr:rowOff>
        </xdr:from>
        <xdr:to>
          <xdr:col>3</xdr:col>
          <xdr:colOff>781050</xdr:colOff>
          <xdr:row>34</xdr:row>
          <xdr:rowOff>409575</xdr:rowOff>
        </xdr:to>
        <xdr:sp macro="" textlink="">
          <xdr:nvSpPr>
            <xdr:cNvPr id="64610" name="Check Box 98" hidden="1">
              <a:extLst>
                <a:ext uri="{63B3BB69-23CF-44E3-9099-C40C66FF867C}">
                  <a14:compatExt spid="_x0000_s64610"/>
                </a:ext>
                <a:ext uri="{FF2B5EF4-FFF2-40B4-BE49-F238E27FC236}">
                  <a16:creationId xmlns:a16="http://schemas.microsoft.com/office/drawing/2014/main" id="{00000000-0008-0000-1600-00006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3</xdr:col>
          <xdr:colOff>781050</xdr:colOff>
          <xdr:row>35</xdr:row>
          <xdr:rowOff>209550</xdr:rowOff>
        </xdr:to>
        <xdr:sp macro="" textlink="">
          <xdr:nvSpPr>
            <xdr:cNvPr id="64611" name="Check Box 99" hidden="1">
              <a:extLst>
                <a:ext uri="{63B3BB69-23CF-44E3-9099-C40C66FF867C}">
                  <a14:compatExt spid="_x0000_s64611"/>
                </a:ext>
                <a:ext uri="{FF2B5EF4-FFF2-40B4-BE49-F238E27FC236}">
                  <a16:creationId xmlns:a16="http://schemas.microsoft.com/office/drawing/2014/main" id="{00000000-0008-0000-1600-00006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200025</xdr:rowOff>
        </xdr:from>
        <xdr:to>
          <xdr:col>3</xdr:col>
          <xdr:colOff>781050</xdr:colOff>
          <xdr:row>35</xdr:row>
          <xdr:rowOff>409575</xdr:rowOff>
        </xdr:to>
        <xdr:sp macro="" textlink="">
          <xdr:nvSpPr>
            <xdr:cNvPr id="64612" name="Check Box 100" hidden="1">
              <a:extLst>
                <a:ext uri="{63B3BB69-23CF-44E3-9099-C40C66FF867C}">
                  <a14:compatExt spid="_x0000_s64612"/>
                </a:ext>
                <a:ext uri="{FF2B5EF4-FFF2-40B4-BE49-F238E27FC236}">
                  <a16:creationId xmlns:a16="http://schemas.microsoft.com/office/drawing/2014/main" id="{00000000-0008-0000-1600-00006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3</xdr:col>
          <xdr:colOff>781050</xdr:colOff>
          <xdr:row>36</xdr:row>
          <xdr:rowOff>209550</xdr:rowOff>
        </xdr:to>
        <xdr:sp macro="" textlink="">
          <xdr:nvSpPr>
            <xdr:cNvPr id="64613" name="Check Box 101" hidden="1">
              <a:extLst>
                <a:ext uri="{63B3BB69-23CF-44E3-9099-C40C66FF867C}">
                  <a14:compatExt spid="_x0000_s64613"/>
                </a:ext>
                <a:ext uri="{FF2B5EF4-FFF2-40B4-BE49-F238E27FC236}">
                  <a16:creationId xmlns:a16="http://schemas.microsoft.com/office/drawing/2014/main" id="{00000000-0008-0000-1600-00006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200025</xdr:rowOff>
        </xdr:from>
        <xdr:to>
          <xdr:col>3</xdr:col>
          <xdr:colOff>781050</xdr:colOff>
          <xdr:row>36</xdr:row>
          <xdr:rowOff>409575</xdr:rowOff>
        </xdr:to>
        <xdr:sp macro="" textlink="">
          <xdr:nvSpPr>
            <xdr:cNvPr id="64614" name="Check Box 102" hidden="1">
              <a:extLst>
                <a:ext uri="{63B3BB69-23CF-44E3-9099-C40C66FF867C}">
                  <a14:compatExt spid="_x0000_s64614"/>
                </a:ext>
                <a:ext uri="{FF2B5EF4-FFF2-40B4-BE49-F238E27FC236}">
                  <a16:creationId xmlns:a16="http://schemas.microsoft.com/office/drawing/2014/main" id="{00000000-0008-0000-1600-00006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0</xdr:rowOff>
        </xdr:from>
        <xdr:to>
          <xdr:col>3</xdr:col>
          <xdr:colOff>781050</xdr:colOff>
          <xdr:row>37</xdr:row>
          <xdr:rowOff>209550</xdr:rowOff>
        </xdr:to>
        <xdr:sp macro="" textlink="">
          <xdr:nvSpPr>
            <xdr:cNvPr id="64615" name="Check Box 103" hidden="1">
              <a:extLst>
                <a:ext uri="{63B3BB69-23CF-44E3-9099-C40C66FF867C}">
                  <a14:compatExt spid="_x0000_s64615"/>
                </a:ext>
                <a:ext uri="{FF2B5EF4-FFF2-40B4-BE49-F238E27FC236}">
                  <a16:creationId xmlns:a16="http://schemas.microsoft.com/office/drawing/2014/main" id="{00000000-0008-0000-1600-00006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200025</xdr:rowOff>
        </xdr:from>
        <xdr:to>
          <xdr:col>3</xdr:col>
          <xdr:colOff>781050</xdr:colOff>
          <xdr:row>37</xdr:row>
          <xdr:rowOff>409575</xdr:rowOff>
        </xdr:to>
        <xdr:sp macro="" textlink="">
          <xdr:nvSpPr>
            <xdr:cNvPr id="64616" name="Check Box 104" hidden="1">
              <a:extLst>
                <a:ext uri="{63B3BB69-23CF-44E3-9099-C40C66FF867C}">
                  <a14:compatExt spid="_x0000_s64616"/>
                </a:ext>
                <a:ext uri="{FF2B5EF4-FFF2-40B4-BE49-F238E27FC236}">
                  <a16:creationId xmlns:a16="http://schemas.microsoft.com/office/drawing/2014/main" id="{00000000-0008-0000-1600-00006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28575</xdr:rowOff>
        </xdr:from>
        <xdr:to>
          <xdr:col>3</xdr:col>
          <xdr:colOff>781050</xdr:colOff>
          <xdr:row>38</xdr:row>
          <xdr:rowOff>238125</xdr:rowOff>
        </xdr:to>
        <xdr:sp macro="" textlink="">
          <xdr:nvSpPr>
            <xdr:cNvPr id="64617" name="Check Box 105" hidden="1">
              <a:extLst>
                <a:ext uri="{63B3BB69-23CF-44E3-9099-C40C66FF867C}">
                  <a14:compatExt spid="_x0000_s64617"/>
                </a:ext>
                <a:ext uri="{FF2B5EF4-FFF2-40B4-BE49-F238E27FC236}">
                  <a16:creationId xmlns:a16="http://schemas.microsoft.com/office/drawing/2014/main" id="{00000000-0008-0000-1600-000069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228600</xdr:rowOff>
        </xdr:from>
        <xdr:to>
          <xdr:col>3</xdr:col>
          <xdr:colOff>781050</xdr:colOff>
          <xdr:row>39</xdr:row>
          <xdr:rowOff>0</xdr:rowOff>
        </xdr:to>
        <xdr:sp macro="" textlink="">
          <xdr:nvSpPr>
            <xdr:cNvPr id="64618" name="Check Box 106" hidden="1">
              <a:extLst>
                <a:ext uri="{63B3BB69-23CF-44E3-9099-C40C66FF867C}">
                  <a14:compatExt spid="_x0000_s64618"/>
                </a:ext>
                <a:ext uri="{FF2B5EF4-FFF2-40B4-BE49-F238E27FC236}">
                  <a16:creationId xmlns:a16="http://schemas.microsoft.com/office/drawing/2014/main" id="{00000000-0008-0000-1600-00006A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19</xdr:row>
      <xdr:rowOff>19050</xdr:rowOff>
    </xdr:from>
    <xdr:to>
      <xdr:col>0</xdr:col>
      <xdr:colOff>790575</xdr:colOff>
      <xdr:row>19</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6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7458075"/>
          <a:ext cx="771525" cy="723509"/>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828139</xdr:colOff>
      <xdr:row>7</xdr:row>
      <xdr:rowOff>19050</xdr:rowOff>
    </xdr:from>
    <xdr:to>
      <xdr:col>5</xdr:col>
      <xdr:colOff>1050798</xdr:colOff>
      <xdr:row>7</xdr:row>
      <xdr:rowOff>723900</xdr:rowOff>
    </xdr:to>
    <xdr:grpSp>
      <xdr:nvGrpSpPr>
        <xdr:cNvPr id="2" name="Group 1">
          <a:extLst>
            <a:ext uri="{FF2B5EF4-FFF2-40B4-BE49-F238E27FC236}">
              <a16:creationId xmlns:a16="http://schemas.microsoft.com/office/drawing/2014/main" id="{00000000-0008-0000-1700-000002000000}"/>
            </a:ext>
          </a:extLst>
        </xdr:cNvPr>
        <xdr:cNvGrpSpPr/>
      </xdr:nvGrpSpPr>
      <xdr:grpSpPr>
        <a:xfrm>
          <a:off x="828139" y="2409825"/>
          <a:ext cx="6699659" cy="704850"/>
          <a:chOff x="800100" y="19050"/>
          <a:chExt cx="6467475" cy="704850"/>
        </a:xfrm>
      </xdr:grpSpPr>
      <xdr:sp macro="" textlink="">
        <xdr:nvSpPr>
          <xdr:cNvPr id="4" name="TextBox 3">
            <a:extLst>
              <a:ext uri="{FF2B5EF4-FFF2-40B4-BE49-F238E27FC236}">
                <a16:creationId xmlns:a16="http://schemas.microsoft.com/office/drawing/2014/main" id="{00000000-0008-0000-17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Asphalt Plant &amp; Reclaim</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7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7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561975</xdr:colOff>
          <xdr:row>11</xdr:row>
          <xdr:rowOff>161925</xdr:rowOff>
        </xdr:from>
        <xdr:to>
          <xdr:col>0</xdr:col>
          <xdr:colOff>1485900</xdr:colOff>
          <xdr:row>11</xdr:row>
          <xdr:rowOff>295275</xdr:rowOff>
        </xdr:to>
        <xdr:sp macro="" textlink="">
          <xdr:nvSpPr>
            <xdr:cNvPr id="78849" name="Check Box 1" hidden="1">
              <a:extLst>
                <a:ext uri="{63B3BB69-23CF-44E3-9099-C40C66FF867C}">
                  <a14:compatExt spid="_x0000_s78849"/>
                </a:ext>
                <a:ext uri="{FF2B5EF4-FFF2-40B4-BE49-F238E27FC236}">
                  <a16:creationId xmlns:a16="http://schemas.microsoft.com/office/drawing/2014/main" id="{00000000-0008-0000-17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11</xdr:row>
          <xdr:rowOff>361950</xdr:rowOff>
        </xdr:from>
        <xdr:to>
          <xdr:col>0</xdr:col>
          <xdr:colOff>1485900</xdr:colOff>
          <xdr:row>11</xdr:row>
          <xdr:rowOff>495300</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17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28575</xdr:colOff>
      <xdr:row>7</xdr:row>
      <xdr:rowOff>19050</xdr:rowOff>
    </xdr:from>
    <xdr:to>
      <xdr:col>0</xdr:col>
      <xdr:colOff>800100</xdr:colOff>
      <xdr:row>7</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7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28575" y="2409825"/>
          <a:ext cx="771525" cy="723509"/>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806256</xdr:colOff>
      <xdr:row>6</xdr:row>
      <xdr:rowOff>19050</xdr:rowOff>
    </xdr:from>
    <xdr:to>
      <xdr:col>5</xdr:col>
      <xdr:colOff>1468053</xdr:colOff>
      <xdr:row>6</xdr:row>
      <xdr:rowOff>723900</xdr:rowOff>
    </xdr:to>
    <xdr:grpSp>
      <xdr:nvGrpSpPr>
        <xdr:cNvPr id="2" name="Group 1">
          <a:extLst>
            <a:ext uri="{FF2B5EF4-FFF2-40B4-BE49-F238E27FC236}">
              <a16:creationId xmlns:a16="http://schemas.microsoft.com/office/drawing/2014/main" id="{00000000-0008-0000-1800-000002000000}"/>
            </a:ext>
          </a:extLst>
        </xdr:cNvPr>
        <xdr:cNvGrpSpPr/>
      </xdr:nvGrpSpPr>
      <xdr:grpSpPr>
        <a:xfrm>
          <a:off x="806256" y="2038350"/>
          <a:ext cx="6748272" cy="704850"/>
          <a:chOff x="800099" y="19050"/>
          <a:chExt cx="6695481" cy="704850"/>
        </a:xfrm>
      </xdr:grpSpPr>
      <xdr:sp macro="" textlink="">
        <xdr:nvSpPr>
          <xdr:cNvPr id="4" name="TextBox 3">
            <a:extLst>
              <a:ext uri="{FF2B5EF4-FFF2-40B4-BE49-F238E27FC236}">
                <a16:creationId xmlns:a16="http://schemas.microsoft.com/office/drawing/2014/main" id="{00000000-0008-0000-1800-000004000000}"/>
              </a:ext>
            </a:extLst>
          </xdr:cNvPr>
          <xdr:cNvSpPr txBox="1"/>
        </xdr:nvSpPr>
        <xdr:spPr>
          <a:xfrm>
            <a:off x="800099" y="19050"/>
            <a:ext cx="6695481"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Asphalt Plant &amp; Reclaim</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800-000005000000}"/>
              </a:ext>
            </a:extLst>
          </xdr:cNvPr>
          <xdr:cNvCxnSpPr/>
        </xdr:nvCxnSpPr>
        <xdr:spPr>
          <a:xfrm flipV="1">
            <a:off x="826294" y="35719"/>
            <a:ext cx="665488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800-000006000000}"/>
              </a:ext>
            </a:extLst>
          </xdr:cNvPr>
          <xdr:cNvCxnSpPr/>
        </xdr:nvCxnSpPr>
        <xdr:spPr>
          <a:xfrm flipV="1">
            <a:off x="902494" y="111921"/>
            <a:ext cx="6486814"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0</xdr:col>
      <xdr:colOff>790575</xdr:colOff>
      <xdr:row>6</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8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38350"/>
          <a:ext cx="771525" cy="723509"/>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893495</xdr:colOff>
      <xdr:row>6</xdr:row>
      <xdr:rowOff>19050</xdr:rowOff>
    </xdr:from>
    <xdr:to>
      <xdr:col>5</xdr:col>
      <xdr:colOff>1028699</xdr:colOff>
      <xdr:row>6</xdr:row>
      <xdr:rowOff>723900</xdr:rowOff>
    </xdr:to>
    <xdr:grpSp>
      <xdr:nvGrpSpPr>
        <xdr:cNvPr id="2" name="Group 1">
          <a:extLst>
            <a:ext uri="{FF2B5EF4-FFF2-40B4-BE49-F238E27FC236}">
              <a16:creationId xmlns:a16="http://schemas.microsoft.com/office/drawing/2014/main" id="{00000000-0008-0000-1900-000002000000}"/>
            </a:ext>
          </a:extLst>
        </xdr:cNvPr>
        <xdr:cNvGrpSpPr/>
      </xdr:nvGrpSpPr>
      <xdr:grpSpPr>
        <a:xfrm>
          <a:off x="893495" y="1971675"/>
          <a:ext cx="7240854" cy="704850"/>
          <a:chOff x="800100" y="19050"/>
          <a:chExt cx="6467475" cy="704850"/>
        </a:xfrm>
      </xdr:grpSpPr>
      <xdr:sp macro="" textlink="">
        <xdr:nvSpPr>
          <xdr:cNvPr id="4" name="TextBox 3">
            <a:extLst>
              <a:ext uri="{FF2B5EF4-FFF2-40B4-BE49-F238E27FC236}">
                <a16:creationId xmlns:a16="http://schemas.microsoft.com/office/drawing/2014/main" id="{00000000-0008-0000-19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Asphalt Plant &amp; Reclaim</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9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9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9525</xdr:colOff>
          <xdr:row>13</xdr:row>
          <xdr:rowOff>28575</xdr:rowOff>
        </xdr:from>
        <xdr:to>
          <xdr:col>3</xdr:col>
          <xdr:colOff>685800</xdr:colOff>
          <xdr:row>13</xdr:row>
          <xdr:rowOff>238125</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19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13</xdr:row>
          <xdr:rowOff>219075</xdr:rowOff>
        </xdr:from>
        <xdr:to>
          <xdr:col>3</xdr:col>
          <xdr:colOff>685800</xdr:colOff>
          <xdr:row>13</xdr:row>
          <xdr:rowOff>428625</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19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19050</xdr:rowOff>
        </xdr:from>
        <xdr:to>
          <xdr:col>3</xdr:col>
          <xdr:colOff>714375</xdr:colOff>
          <xdr:row>8</xdr:row>
          <xdr:rowOff>238125</xdr:rowOff>
        </xdr:to>
        <xdr:sp macro="" textlink="">
          <xdr:nvSpPr>
            <xdr:cNvPr id="87083" name="Check Box 43" hidden="1">
              <a:extLst>
                <a:ext uri="{63B3BB69-23CF-44E3-9099-C40C66FF867C}">
                  <a14:compatExt spid="_x0000_s87083"/>
                </a:ext>
                <a:ext uri="{FF2B5EF4-FFF2-40B4-BE49-F238E27FC236}">
                  <a16:creationId xmlns:a16="http://schemas.microsoft.com/office/drawing/2014/main" id="{00000000-0008-0000-1900-00002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209550</xdr:rowOff>
        </xdr:from>
        <xdr:to>
          <xdr:col>3</xdr:col>
          <xdr:colOff>714375</xdr:colOff>
          <xdr:row>8</xdr:row>
          <xdr:rowOff>428625</xdr:rowOff>
        </xdr:to>
        <xdr:sp macro="" textlink="">
          <xdr:nvSpPr>
            <xdr:cNvPr id="87084" name="Check Box 44" hidden="1">
              <a:extLst>
                <a:ext uri="{63B3BB69-23CF-44E3-9099-C40C66FF867C}">
                  <a14:compatExt spid="_x0000_s87084"/>
                </a:ext>
                <a:ext uri="{FF2B5EF4-FFF2-40B4-BE49-F238E27FC236}">
                  <a16:creationId xmlns:a16="http://schemas.microsoft.com/office/drawing/2014/main" id="{00000000-0008-0000-1900-00002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19050</xdr:rowOff>
        </xdr:from>
        <xdr:to>
          <xdr:col>5</xdr:col>
          <xdr:colOff>714375</xdr:colOff>
          <xdr:row>8</xdr:row>
          <xdr:rowOff>238125</xdr:rowOff>
        </xdr:to>
        <xdr:sp macro="" textlink="">
          <xdr:nvSpPr>
            <xdr:cNvPr id="87085" name="Check Box 45" hidden="1">
              <a:extLst>
                <a:ext uri="{63B3BB69-23CF-44E3-9099-C40C66FF867C}">
                  <a14:compatExt spid="_x0000_s87085"/>
                </a:ext>
                <a:ext uri="{FF2B5EF4-FFF2-40B4-BE49-F238E27FC236}">
                  <a16:creationId xmlns:a16="http://schemas.microsoft.com/office/drawing/2014/main" id="{00000000-0008-0000-1900-00002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209550</xdr:rowOff>
        </xdr:from>
        <xdr:to>
          <xdr:col>5</xdr:col>
          <xdr:colOff>714375</xdr:colOff>
          <xdr:row>8</xdr:row>
          <xdr:rowOff>428625</xdr:rowOff>
        </xdr:to>
        <xdr:sp macro="" textlink="">
          <xdr:nvSpPr>
            <xdr:cNvPr id="87086" name="Check Box 46" hidden="1">
              <a:extLst>
                <a:ext uri="{63B3BB69-23CF-44E3-9099-C40C66FF867C}">
                  <a14:compatExt spid="_x0000_s87086"/>
                </a:ext>
                <a:ext uri="{FF2B5EF4-FFF2-40B4-BE49-F238E27FC236}">
                  <a16:creationId xmlns:a16="http://schemas.microsoft.com/office/drawing/2014/main" id="{00000000-0008-0000-1900-00002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9525</xdr:rowOff>
        </xdr:from>
        <xdr:to>
          <xdr:col>5</xdr:col>
          <xdr:colOff>714375</xdr:colOff>
          <xdr:row>10</xdr:row>
          <xdr:rowOff>228600</xdr:rowOff>
        </xdr:to>
        <xdr:sp macro="" textlink="">
          <xdr:nvSpPr>
            <xdr:cNvPr id="87087" name="Check Box 47" hidden="1">
              <a:extLst>
                <a:ext uri="{63B3BB69-23CF-44E3-9099-C40C66FF867C}">
                  <a14:compatExt spid="_x0000_s87087"/>
                </a:ext>
                <a:ext uri="{FF2B5EF4-FFF2-40B4-BE49-F238E27FC236}">
                  <a16:creationId xmlns:a16="http://schemas.microsoft.com/office/drawing/2014/main" id="{00000000-0008-0000-1900-00002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200025</xdr:rowOff>
        </xdr:from>
        <xdr:to>
          <xdr:col>5</xdr:col>
          <xdr:colOff>714375</xdr:colOff>
          <xdr:row>10</xdr:row>
          <xdr:rowOff>419100</xdr:rowOff>
        </xdr:to>
        <xdr:sp macro="" textlink="">
          <xdr:nvSpPr>
            <xdr:cNvPr id="87088" name="Check Box 48" hidden="1">
              <a:extLst>
                <a:ext uri="{63B3BB69-23CF-44E3-9099-C40C66FF867C}">
                  <a14:compatExt spid="_x0000_s87088"/>
                </a:ext>
                <a:ext uri="{FF2B5EF4-FFF2-40B4-BE49-F238E27FC236}">
                  <a16:creationId xmlns:a16="http://schemas.microsoft.com/office/drawing/2014/main" id="{00000000-0008-0000-1900-00003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28575</xdr:rowOff>
        </xdr:from>
        <xdr:to>
          <xdr:col>3</xdr:col>
          <xdr:colOff>676275</xdr:colOff>
          <xdr:row>14</xdr:row>
          <xdr:rowOff>238125</xdr:rowOff>
        </xdr:to>
        <xdr:sp macro="" textlink="">
          <xdr:nvSpPr>
            <xdr:cNvPr id="87091" name="Check Box 51" hidden="1">
              <a:extLst>
                <a:ext uri="{63B3BB69-23CF-44E3-9099-C40C66FF867C}">
                  <a14:compatExt spid="_x0000_s87091"/>
                </a:ext>
                <a:ext uri="{FF2B5EF4-FFF2-40B4-BE49-F238E27FC236}">
                  <a16:creationId xmlns:a16="http://schemas.microsoft.com/office/drawing/2014/main" id="{00000000-0008-0000-1900-00003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219075</xdr:rowOff>
        </xdr:from>
        <xdr:to>
          <xdr:col>3</xdr:col>
          <xdr:colOff>676275</xdr:colOff>
          <xdr:row>14</xdr:row>
          <xdr:rowOff>428625</xdr:rowOff>
        </xdr:to>
        <xdr:sp macro="" textlink="">
          <xdr:nvSpPr>
            <xdr:cNvPr id="87092" name="Check Box 52" hidden="1">
              <a:extLst>
                <a:ext uri="{63B3BB69-23CF-44E3-9099-C40C66FF867C}">
                  <a14:compatExt spid="_x0000_s87092"/>
                </a:ext>
                <a:ext uri="{FF2B5EF4-FFF2-40B4-BE49-F238E27FC236}">
                  <a16:creationId xmlns:a16="http://schemas.microsoft.com/office/drawing/2014/main" id="{00000000-0008-0000-1900-00003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28575</xdr:rowOff>
        </xdr:from>
        <xdr:to>
          <xdr:col>3</xdr:col>
          <xdr:colOff>676275</xdr:colOff>
          <xdr:row>15</xdr:row>
          <xdr:rowOff>238125</xdr:rowOff>
        </xdr:to>
        <xdr:sp macro="" textlink="">
          <xdr:nvSpPr>
            <xdr:cNvPr id="87093" name="Check Box 53" hidden="1">
              <a:extLst>
                <a:ext uri="{63B3BB69-23CF-44E3-9099-C40C66FF867C}">
                  <a14:compatExt spid="_x0000_s87093"/>
                </a:ext>
                <a:ext uri="{FF2B5EF4-FFF2-40B4-BE49-F238E27FC236}">
                  <a16:creationId xmlns:a16="http://schemas.microsoft.com/office/drawing/2014/main" id="{00000000-0008-0000-1900-00003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219075</xdr:rowOff>
        </xdr:from>
        <xdr:to>
          <xdr:col>3</xdr:col>
          <xdr:colOff>676275</xdr:colOff>
          <xdr:row>15</xdr:row>
          <xdr:rowOff>428625</xdr:rowOff>
        </xdr:to>
        <xdr:sp macro="" textlink="">
          <xdr:nvSpPr>
            <xdr:cNvPr id="87094" name="Check Box 54" hidden="1">
              <a:extLst>
                <a:ext uri="{63B3BB69-23CF-44E3-9099-C40C66FF867C}">
                  <a14:compatExt spid="_x0000_s87094"/>
                </a:ext>
                <a:ext uri="{FF2B5EF4-FFF2-40B4-BE49-F238E27FC236}">
                  <a16:creationId xmlns:a16="http://schemas.microsoft.com/office/drawing/2014/main" id="{00000000-0008-0000-1900-00003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28575</xdr:rowOff>
        </xdr:from>
        <xdr:to>
          <xdr:col>3</xdr:col>
          <xdr:colOff>676275</xdr:colOff>
          <xdr:row>16</xdr:row>
          <xdr:rowOff>238125</xdr:rowOff>
        </xdr:to>
        <xdr:sp macro="" textlink="">
          <xdr:nvSpPr>
            <xdr:cNvPr id="87095" name="Check Box 55" hidden="1">
              <a:extLst>
                <a:ext uri="{63B3BB69-23CF-44E3-9099-C40C66FF867C}">
                  <a14:compatExt spid="_x0000_s87095"/>
                </a:ext>
                <a:ext uri="{FF2B5EF4-FFF2-40B4-BE49-F238E27FC236}">
                  <a16:creationId xmlns:a16="http://schemas.microsoft.com/office/drawing/2014/main" id="{00000000-0008-0000-1900-00003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219075</xdr:rowOff>
        </xdr:from>
        <xdr:to>
          <xdr:col>3</xdr:col>
          <xdr:colOff>676275</xdr:colOff>
          <xdr:row>16</xdr:row>
          <xdr:rowOff>428625</xdr:rowOff>
        </xdr:to>
        <xdr:sp macro="" textlink="">
          <xdr:nvSpPr>
            <xdr:cNvPr id="87096" name="Check Box 56" hidden="1">
              <a:extLst>
                <a:ext uri="{63B3BB69-23CF-44E3-9099-C40C66FF867C}">
                  <a14:compatExt spid="_x0000_s87096"/>
                </a:ext>
                <a:ext uri="{FF2B5EF4-FFF2-40B4-BE49-F238E27FC236}">
                  <a16:creationId xmlns:a16="http://schemas.microsoft.com/office/drawing/2014/main" id="{00000000-0008-0000-1900-00003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28575</xdr:rowOff>
        </xdr:from>
        <xdr:to>
          <xdr:col>3</xdr:col>
          <xdr:colOff>676275</xdr:colOff>
          <xdr:row>17</xdr:row>
          <xdr:rowOff>238125</xdr:rowOff>
        </xdr:to>
        <xdr:sp macro="" textlink="">
          <xdr:nvSpPr>
            <xdr:cNvPr id="87097" name="Check Box 57" hidden="1">
              <a:extLst>
                <a:ext uri="{63B3BB69-23CF-44E3-9099-C40C66FF867C}">
                  <a14:compatExt spid="_x0000_s87097"/>
                </a:ext>
                <a:ext uri="{FF2B5EF4-FFF2-40B4-BE49-F238E27FC236}">
                  <a16:creationId xmlns:a16="http://schemas.microsoft.com/office/drawing/2014/main" id="{00000000-0008-0000-1900-00003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219075</xdr:rowOff>
        </xdr:from>
        <xdr:to>
          <xdr:col>3</xdr:col>
          <xdr:colOff>676275</xdr:colOff>
          <xdr:row>17</xdr:row>
          <xdr:rowOff>428625</xdr:rowOff>
        </xdr:to>
        <xdr:sp macro="" textlink="">
          <xdr:nvSpPr>
            <xdr:cNvPr id="87098" name="Check Box 58" hidden="1">
              <a:extLst>
                <a:ext uri="{63B3BB69-23CF-44E3-9099-C40C66FF867C}">
                  <a14:compatExt spid="_x0000_s87098"/>
                </a:ext>
                <a:ext uri="{FF2B5EF4-FFF2-40B4-BE49-F238E27FC236}">
                  <a16:creationId xmlns:a16="http://schemas.microsoft.com/office/drawing/2014/main" id="{00000000-0008-0000-1900-00003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28575</xdr:rowOff>
        </xdr:from>
        <xdr:to>
          <xdr:col>3</xdr:col>
          <xdr:colOff>676275</xdr:colOff>
          <xdr:row>18</xdr:row>
          <xdr:rowOff>238125</xdr:rowOff>
        </xdr:to>
        <xdr:sp macro="" textlink="">
          <xdr:nvSpPr>
            <xdr:cNvPr id="87099" name="Check Box 59" hidden="1">
              <a:extLst>
                <a:ext uri="{63B3BB69-23CF-44E3-9099-C40C66FF867C}">
                  <a14:compatExt spid="_x0000_s87099"/>
                </a:ext>
                <a:ext uri="{FF2B5EF4-FFF2-40B4-BE49-F238E27FC236}">
                  <a16:creationId xmlns:a16="http://schemas.microsoft.com/office/drawing/2014/main" id="{00000000-0008-0000-1900-00003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219075</xdr:rowOff>
        </xdr:from>
        <xdr:to>
          <xdr:col>3</xdr:col>
          <xdr:colOff>676275</xdr:colOff>
          <xdr:row>18</xdr:row>
          <xdr:rowOff>428625</xdr:rowOff>
        </xdr:to>
        <xdr:sp macro="" textlink="">
          <xdr:nvSpPr>
            <xdr:cNvPr id="87100" name="Check Box 60" hidden="1">
              <a:extLst>
                <a:ext uri="{63B3BB69-23CF-44E3-9099-C40C66FF867C}">
                  <a14:compatExt spid="_x0000_s87100"/>
                </a:ext>
                <a:ext uri="{FF2B5EF4-FFF2-40B4-BE49-F238E27FC236}">
                  <a16:creationId xmlns:a16="http://schemas.microsoft.com/office/drawing/2014/main" id="{00000000-0008-0000-1900-00003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28575</xdr:rowOff>
        </xdr:from>
        <xdr:to>
          <xdr:col>3</xdr:col>
          <xdr:colOff>676275</xdr:colOff>
          <xdr:row>19</xdr:row>
          <xdr:rowOff>238125</xdr:rowOff>
        </xdr:to>
        <xdr:sp macro="" textlink="">
          <xdr:nvSpPr>
            <xdr:cNvPr id="87101" name="Check Box 61" hidden="1">
              <a:extLst>
                <a:ext uri="{63B3BB69-23CF-44E3-9099-C40C66FF867C}">
                  <a14:compatExt spid="_x0000_s87101"/>
                </a:ext>
                <a:ext uri="{FF2B5EF4-FFF2-40B4-BE49-F238E27FC236}">
                  <a16:creationId xmlns:a16="http://schemas.microsoft.com/office/drawing/2014/main" id="{00000000-0008-0000-1900-00003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219075</xdr:rowOff>
        </xdr:from>
        <xdr:to>
          <xdr:col>3</xdr:col>
          <xdr:colOff>676275</xdr:colOff>
          <xdr:row>19</xdr:row>
          <xdr:rowOff>428625</xdr:rowOff>
        </xdr:to>
        <xdr:sp macro="" textlink="">
          <xdr:nvSpPr>
            <xdr:cNvPr id="87102" name="Check Box 62" hidden="1">
              <a:extLst>
                <a:ext uri="{63B3BB69-23CF-44E3-9099-C40C66FF867C}">
                  <a14:compatExt spid="_x0000_s87102"/>
                </a:ext>
                <a:ext uri="{FF2B5EF4-FFF2-40B4-BE49-F238E27FC236}">
                  <a16:creationId xmlns:a16="http://schemas.microsoft.com/office/drawing/2014/main" id="{00000000-0008-0000-1900-00003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28575</xdr:rowOff>
        </xdr:from>
        <xdr:to>
          <xdr:col>3</xdr:col>
          <xdr:colOff>676275</xdr:colOff>
          <xdr:row>20</xdr:row>
          <xdr:rowOff>238125</xdr:rowOff>
        </xdr:to>
        <xdr:sp macro="" textlink="">
          <xdr:nvSpPr>
            <xdr:cNvPr id="87103" name="Check Box 63" hidden="1">
              <a:extLst>
                <a:ext uri="{63B3BB69-23CF-44E3-9099-C40C66FF867C}">
                  <a14:compatExt spid="_x0000_s87103"/>
                </a:ext>
                <a:ext uri="{FF2B5EF4-FFF2-40B4-BE49-F238E27FC236}">
                  <a16:creationId xmlns:a16="http://schemas.microsoft.com/office/drawing/2014/main" id="{00000000-0008-0000-1900-00003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219075</xdr:rowOff>
        </xdr:from>
        <xdr:to>
          <xdr:col>3</xdr:col>
          <xdr:colOff>676275</xdr:colOff>
          <xdr:row>20</xdr:row>
          <xdr:rowOff>428625</xdr:rowOff>
        </xdr:to>
        <xdr:sp macro="" textlink="">
          <xdr:nvSpPr>
            <xdr:cNvPr id="87104" name="Check Box 64" hidden="1">
              <a:extLst>
                <a:ext uri="{63B3BB69-23CF-44E3-9099-C40C66FF867C}">
                  <a14:compatExt spid="_x0000_s87104"/>
                </a:ext>
                <a:ext uri="{FF2B5EF4-FFF2-40B4-BE49-F238E27FC236}">
                  <a16:creationId xmlns:a16="http://schemas.microsoft.com/office/drawing/2014/main" id="{00000000-0008-0000-1900-00004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28575</xdr:rowOff>
        </xdr:from>
        <xdr:to>
          <xdr:col>3</xdr:col>
          <xdr:colOff>676275</xdr:colOff>
          <xdr:row>22</xdr:row>
          <xdr:rowOff>238125</xdr:rowOff>
        </xdr:to>
        <xdr:sp macro="" textlink="">
          <xdr:nvSpPr>
            <xdr:cNvPr id="87105" name="Check Box 65" hidden="1">
              <a:extLst>
                <a:ext uri="{63B3BB69-23CF-44E3-9099-C40C66FF867C}">
                  <a14:compatExt spid="_x0000_s87105"/>
                </a:ext>
                <a:ext uri="{FF2B5EF4-FFF2-40B4-BE49-F238E27FC236}">
                  <a16:creationId xmlns:a16="http://schemas.microsoft.com/office/drawing/2014/main" id="{00000000-0008-0000-1900-00004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219075</xdr:rowOff>
        </xdr:from>
        <xdr:to>
          <xdr:col>3</xdr:col>
          <xdr:colOff>676275</xdr:colOff>
          <xdr:row>22</xdr:row>
          <xdr:rowOff>428625</xdr:rowOff>
        </xdr:to>
        <xdr:sp macro="" textlink="">
          <xdr:nvSpPr>
            <xdr:cNvPr id="87106" name="Check Box 66" hidden="1">
              <a:extLst>
                <a:ext uri="{63B3BB69-23CF-44E3-9099-C40C66FF867C}">
                  <a14:compatExt spid="_x0000_s87106"/>
                </a:ext>
                <a:ext uri="{FF2B5EF4-FFF2-40B4-BE49-F238E27FC236}">
                  <a16:creationId xmlns:a16="http://schemas.microsoft.com/office/drawing/2014/main" id="{00000000-0008-0000-1900-00004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28575</xdr:rowOff>
        </xdr:from>
        <xdr:to>
          <xdr:col>3</xdr:col>
          <xdr:colOff>676275</xdr:colOff>
          <xdr:row>23</xdr:row>
          <xdr:rowOff>238125</xdr:rowOff>
        </xdr:to>
        <xdr:sp macro="" textlink="">
          <xdr:nvSpPr>
            <xdr:cNvPr id="87107" name="Check Box 67" hidden="1">
              <a:extLst>
                <a:ext uri="{63B3BB69-23CF-44E3-9099-C40C66FF867C}">
                  <a14:compatExt spid="_x0000_s87107"/>
                </a:ext>
                <a:ext uri="{FF2B5EF4-FFF2-40B4-BE49-F238E27FC236}">
                  <a16:creationId xmlns:a16="http://schemas.microsoft.com/office/drawing/2014/main" id="{00000000-0008-0000-1900-00004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219075</xdr:rowOff>
        </xdr:from>
        <xdr:to>
          <xdr:col>3</xdr:col>
          <xdr:colOff>676275</xdr:colOff>
          <xdr:row>23</xdr:row>
          <xdr:rowOff>428625</xdr:rowOff>
        </xdr:to>
        <xdr:sp macro="" textlink="">
          <xdr:nvSpPr>
            <xdr:cNvPr id="87108" name="Check Box 68" hidden="1">
              <a:extLst>
                <a:ext uri="{63B3BB69-23CF-44E3-9099-C40C66FF867C}">
                  <a14:compatExt spid="_x0000_s87108"/>
                </a:ext>
                <a:ext uri="{FF2B5EF4-FFF2-40B4-BE49-F238E27FC236}">
                  <a16:creationId xmlns:a16="http://schemas.microsoft.com/office/drawing/2014/main" id="{00000000-0008-0000-1900-00004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28575</xdr:rowOff>
        </xdr:from>
        <xdr:to>
          <xdr:col>3</xdr:col>
          <xdr:colOff>676275</xdr:colOff>
          <xdr:row>24</xdr:row>
          <xdr:rowOff>238125</xdr:rowOff>
        </xdr:to>
        <xdr:sp macro="" textlink="">
          <xdr:nvSpPr>
            <xdr:cNvPr id="87109" name="Check Box 69" hidden="1">
              <a:extLst>
                <a:ext uri="{63B3BB69-23CF-44E3-9099-C40C66FF867C}">
                  <a14:compatExt spid="_x0000_s87109"/>
                </a:ext>
                <a:ext uri="{FF2B5EF4-FFF2-40B4-BE49-F238E27FC236}">
                  <a16:creationId xmlns:a16="http://schemas.microsoft.com/office/drawing/2014/main" id="{00000000-0008-0000-1900-00004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219075</xdr:rowOff>
        </xdr:from>
        <xdr:to>
          <xdr:col>3</xdr:col>
          <xdr:colOff>676275</xdr:colOff>
          <xdr:row>24</xdr:row>
          <xdr:rowOff>428625</xdr:rowOff>
        </xdr:to>
        <xdr:sp macro="" textlink="">
          <xdr:nvSpPr>
            <xdr:cNvPr id="87110" name="Check Box 70" hidden="1">
              <a:extLst>
                <a:ext uri="{63B3BB69-23CF-44E3-9099-C40C66FF867C}">
                  <a14:compatExt spid="_x0000_s87110"/>
                </a:ext>
                <a:ext uri="{FF2B5EF4-FFF2-40B4-BE49-F238E27FC236}">
                  <a16:creationId xmlns:a16="http://schemas.microsoft.com/office/drawing/2014/main" id="{00000000-0008-0000-1900-00004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28575</xdr:rowOff>
        </xdr:from>
        <xdr:to>
          <xdr:col>3</xdr:col>
          <xdr:colOff>676275</xdr:colOff>
          <xdr:row>25</xdr:row>
          <xdr:rowOff>238125</xdr:rowOff>
        </xdr:to>
        <xdr:sp macro="" textlink="">
          <xdr:nvSpPr>
            <xdr:cNvPr id="87111" name="Check Box 71" hidden="1">
              <a:extLst>
                <a:ext uri="{63B3BB69-23CF-44E3-9099-C40C66FF867C}">
                  <a14:compatExt spid="_x0000_s87111"/>
                </a:ext>
                <a:ext uri="{FF2B5EF4-FFF2-40B4-BE49-F238E27FC236}">
                  <a16:creationId xmlns:a16="http://schemas.microsoft.com/office/drawing/2014/main" id="{00000000-0008-0000-1900-00004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219075</xdr:rowOff>
        </xdr:from>
        <xdr:to>
          <xdr:col>3</xdr:col>
          <xdr:colOff>676275</xdr:colOff>
          <xdr:row>25</xdr:row>
          <xdr:rowOff>428625</xdr:rowOff>
        </xdr:to>
        <xdr:sp macro="" textlink="">
          <xdr:nvSpPr>
            <xdr:cNvPr id="87112" name="Check Box 72" hidden="1">
              <a:extLst>
                <a:ext uri="{63B3BB69-23CF-44E3-9099-C40C66FF867C}">
                  <a14:compatExt spid="_x0000_s87112"/>
                </a:ext>
                <a:ext uri="{FF2B5EF4-FFF2-40B4-BE49-F238E27FC236}">
                  <a16:creationId xmlns:a16="http://schemas.microsoft.com/office/drawing/2014/main" id="{00000000-0008-0000-1900-00004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28575</xdr:rowOff>
        </xdr:from>
        <xdr:to>
          <xdr:col>3</xdr:col>
          <xdr:colOff>676275</xdr:colOff>
          <xdr:row>26</xdr:row>
          <xdr:rowOff>238125</xdr:rowOff>
        </xdr:to>
        <xdr:sp macro="" textlink="">
          <xdr:nvSpPr>
            <xdr:cNvPr id="87113" name="Check Box 73" hidden="1">
              <a:extLst>
                <a:ext uri="{63B3BB69-23CF-44E3-9099-C40C66FF867C}">
                  <a14:compatExt spid="_x0000_s87113"/>
                </a:ext>
                <a:ext uri="{FF2B5EF4-FFF2-40B4-BE49-F238E27FC236}">
                  <a16:creationId xmlns:a16="http://schemas.microsoft.com/office/drawing/2014/main" id="{00000000-0008-0000-1900-00004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219075</xdr:rowOff>
        </xdr:from>
        <xdr:to>
          <xdr:col>3</xdr:col>
          <xdr:colOff>676275</xdr:colOff>
          <xdr:row>26</xdr:row>
          <xdr:rowOff>428625</xdr:rowOff>
        </xdr:to>
        <xdr:sp macro="" textlink="">
          <xdr:nvSpPr>
            <xdr:cNvPr id="87114" name="Check Box 74" hidden="1">
              <a:extLst>
                <a:ext uri="{63B3BB69-23CF-44E3-9099-C40C66FF867C}">
                  <a14:compatExt spid="_x0000_s87114"/>
                </a:ext>
                <a:ext uri="{FF2B5EF4-FFF2-40B4-BE49-F238E27FC236}">
                  <a16:creationId xmlns:a16="http://schemas.microsoft.com/office/drawing/2014/main" id="{00000000-0008-0000-1900-00004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28575</xdr:rowOff>
        </xdr:from>
        <xdr:to>
          <xdr:col>3</xdr:col>
          <xdr:colOff>676275</xdr:colOff>
          <xdr:row>28</xdr:row>
          <xdr:rowOff>238125</xdr:rowOff>
        </xdr:to>
        <xdr:sp macro="" textlink="">
          <xdr:nvSpPr>
            <xdr:cNvPr id="87115" name="Check Box 75" hidden="1">
              <a:extLst>
                <a:ext uri="{63B3BB69-23CF-44E3-9099-C40C66FF867C}">
                  <a14:compatExt spid="_x0000_s87115"/>
                </a:ext>
                <a:ext uri="{FF2B5EF4-FFF2-40B4-BE49-F238E27FC236}">
                  <a16:creationId xmlns:a16="http://schemas.microsoft.com/office/drawing/2014/main" id="{00000000-0008-0000-1900-00004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219075</xdr:rowOff>
        </xdr:from>
        <xdr:to>
          <xdr:col>3</xdr:col>
          <xdr:colOff>676275</xdr:colOff>
          <xdr:row>28</xdr:row>
          <xdr:rowOff>428625</xdr:rowOff>
        </xdr:to>
        <xdr:sp macro="" textlink="">
          <xdr:nvSpPr>
            <xdr:cNvPr id="87116" name="Check Box 76" hidden="1">
              <a:extLst>
                <a:ext uri="{63B3BB69-23CF-44E3-9099-C40C66FF867C}">
                  <a14:compatExt spid="_x0000_s87116"/>
                </a:ext>
                <a:ext uri="{FF2B5EF4-FFF2-40B4-BE49-F238E27FC236}">
                  <a16:creationId xmlns:a16="http://schemas.microsoft.com/office/drawing/2014/main" id="{00000000-0008-0000-1900-00004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28575</xdr:rowOff>
        </xdr:from>
        <xdr:to>
          <xdr:col>3</xdr:col>
          <xdr:colOff>676275</xdr:colOff>
          <xdr:row>30</xdr:row>
          <xdr:rowOff>238125</xdr:rowOff>
        </xdr:to>
        <xdr:sp macro="" textlink="">
          <xdr:nvSpPr>
            <xdr:cNvPr id="87117" name="Check Box 77" hidden="1">
              <a:extLst>
                <a:ext uri="{63B3BB69-23CF-44E3-9099-C40C66FF867C}">
                  <a14:compatExt spid="_x0000_s87117"/>
                </a:ext>
                <a:ext uri="{FF2B5EF4-FFF2-40B4-BE49-F238E27FC236}">
                  <a16:creationId xmlns:a16="http://schemas.microsoft.com/office/drawing/2014/main" id="{00000000-0008-0000-1900-00004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219075</xdr:rowOff>
        </xdr:from>
        <xdr:to>
          <xdr:col>3</xdr:col>
          <xdr:colOff>676275</xdr:colOff>
          <xdr:row>30</xdr:row>
          <xdr:rowOff>428625</xdr:rowOff>
        </xdr:to>
        <xdr:sp macro="" textlink="">
          <xdr:nvSpPr>
            <xdr:cNvPr id="87118" name="Check Box 78" hidden="1">
              <a:extLst>
                <a:ext uri="{63B3BB69-23CF-44E3-9099-C40C66FF867C}">
                  <a14:compatExt spid="_x0000_s87118"/>
                </a:ext>
                <a:ext uri="{FF2B5EF4-FFF2-40B4-BE49-F238E27FC236}">
                  <a16:creationId xmlns:a16="http://schemas.microsoft.com/office/drawing/2014/main" id="{00000000-0008-0000-1900-00004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28575</xdr:rowOff>
        </xdr:from>
        <xdr:to>
          <xdr:col>3</xdr:col>
          <xdr:colOff>676275</xdr:colOff>
          <xdr:row>31</xdr:row>
          <xdr:rowOff>238125</xdr:rowOff>
        </xdr:to>
        <xdr:sp macro="" textlink="">
          <xdr:nvSpPr>
            <xdr:cNvPr id="87119" name="Check Box 79" hidden="1">
              <a:extLst>
                <a:ext uri="{63B3BB69-23CF-44E3-9099-C40C66FF867C}">
                  <a14:compatExt spid="_x0000_s87119"/>
                </a:ext>
                <a:ext uri="{FF2B5EF4-FFF2-40B4-BE49-F238E27FC236}">
                  <a16:creationId xmlns:a16="http://schemas.microsoft.com/office/drawing/2014/main" id="{00000000-0008-0000-1900-00004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219075</xdr:rowOff>
        </xdr:from>
        <xdr:to>
          <xdr:col>3</xdr:col>
          <xdr:colOff>676275</xdr:colOff>
          <xdr:row>31</xdr:row>
          <xdr:rowOff>428625</xdr:rowOff>
        </xdr:to>
        <xdr:sp macro="" textlink="">
          <xdr:nvSpPr>
            <xdr:cNvPr id="87120" name="Check Box 80" hidden="1">
              <a:extLst>
                <a:ext uri="{63B3BB69-23CF-44E3-9099-C40C66FF867C}">
                  <a14:compatExt spid="_x0000_s87120"/>
                </a:ext>
                <a:ext uri="{FF2B5EF4-FFF2-40B4-BE49-F238E27FC236}">
                  <a16:creationId xmlns:a16="http://schemas.microsoft.com/office/drawing/2014/main" id="{00000000-0008-0000-1900-00005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28575</xdr:rowOff>
        </xdr:from>
        <xdr:to>
          <xdr:col>3</xdr:col>
          <xdr:colOff>676275</xdr:colOff>
          <xdr:row>32</xdr:row>
          <xdr:rowOff>238125</xdr:rowOff>
        </xdr:to>
        <xdr:sp macro="" textlink="">
          <xdr:nvSpPr>
            <xdr:cNvPr id="87121" name="Check Box 81" hidden="1">
              <a:extLst>
                <a:ext uri="{63B3BB69-23CF-44E3-9099-C40C66FF867C}">
                  <a14:compatExt spid="_x0000_s87121"/>
                </a:ext>
                <a:ext uri="{FF2B5EF4-FFF2-40B4-BE49-F238E27FC236}">
                  <a16:creationId xmlns:a16="http://schemas.microsoft.com/office/drawing/2014/main" id="{00000000-0008-0000-1900-00005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219075</xdr:rowOff>
        </xdr:from>
        <xdr:to>
          <xdr:col>3</xdr:col>
          <xdr:colOff>676275</xdr:colOff>
          <xdr:row>32</xdr:row>
          <xdr:rowOff>428625</xdr:rowOff>
        </xdr:to>
        <xdr:sp macro="" textlink="">
          <xdr:nvSpPr>
            <xdr:cNvPr id="87122" name="Check Box 82" hidden="1">
              <a:extLst>
                <a:ext uri="{63B3BB69-23CF-44E3-9099-C40C66FF867C}">
                  <a14:compatExt spid="_x0000_s87122"/>
                </a:ext>
                <a:ext uri="{FF2B5EF4-FFF2-40B4-BE49-F238E27FC236}">
                  <a16:creationId xmlns:a16="http://schemas.microsoft.com/office/drawing/2014/main" id="{00000000-0008-0000-1900-00005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28575</xdr:rowOff>
        </xdr:from>
        <xdr:to>
          <xdr:col>3</xdr:col>
          <xdr:colOff>676275</xdr:colOff>
          <xdr:row>33</xdr:row>
          <xdr:rowOff>238125</xdr:rowOff>
        </xdr:to>
        <xdr:sp macro="" textlink="">
          <xdr:nvSpPr>
            <xdr:cNvPr id="87125" name="Check Box 85" hidden="1">
              <a:extLst>
                <a:ext uri="{63B3BB69-23CF-44E3-9099-C40C66FF867C}">
                  <a14:compatExt spid="_x0000_s87125"/>
                </a:ext>
                <a:ext uri="{FF2B5EF4-FFF2-40B4-BE49-F238E27FC236}">
                  <a16:creationId xmlns:a16="http://schemas.microsoft.com/office/drawing/2014/main" id="{00000000-0008-0000-1900-00005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219075</xdr:rowOff>
        </xdr:from>
        <xdr:to>
          <xdr:col>3</xdr:col>
          <xdr:colOff>676275</xdr:colOff>
          <xdr:row>33</xdr:row>
          <xdr:rowOff>428625</xdr:rowOff>
        </xdr:to>
        <xdr:sp macro="" textlink="">
          <xdr:nvSpPr>
            <xdr:cNvPr id="87126" name="Check Box 86" hidden="1">
              <a:extLst>
                <a:ext uri="{63B3BB69-23CF-44E3-9099-C40C66FF867C}">
                  <a14:compatExt spid="_x0000_s87126"/>
                </a:ext>
                <a:ext uri="{FF2B5EF4-FFF2-40B4-BE49-F238E27FC236}">
                  <a16:creationId xmlns:a16="http://schemas.microsoft.com/office/drawing/2014/main" id="{00000000-0008-0000-1900-00005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28575</xdr:rowOff>
        </xdr:from>
        <xdr:to>
          <xdr:col>3</xdr:col>
          <xdr:colOff>676275</xdr:colOff>
          <xdr:row>34</xdr:row>
          <xdr:rowOff>238125</xdr:rowOff>
        </xdr:to>
        <xdr:sp macro="" textlink="">
          <xdr:nvSpPr>
            <xdr:cNvPr id="87127" name="Check Box 87" hidden="1">
              <a:extLst>
                <a:ext uri="{63B3BB69-23CF-44E3-9099-C40C66FF867C}">
                  <a14:compatExt spid="_x0000_s87127"/>
                </a:ext>
                <a:ext uri="{FF2B5EF4-FFF2-40B4-BE49-F238E27FC236}">
                  <a16:creationId xmlns:a16="http://schemas.microsoft.com/office/drawing/2014/main" id="{00000000-0008-0000-1900-00005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219075</xdr:rowOff>
        </xdr:from>
        <xdr:to>
          <xdr:col>3</xdr:col>
          <xdr:colOff>676275</xdr:colOff>
          <xdr:row>34</xdr:row>
          <xdr:rowOff>428625</xdr:rowOff>
        </xdr:to>
        <xdr:sp macro="" textlink="">
          <xdr:nvSpPr>
            <xdr:cNvPr id="87128" name="Check Box 88" hidden="1">
              <a:extLst>
                <a:ext uri="{63B3BB69-23CF-44E3-9099-C40C66FF867C}">
                  <a14:compatExt spid="_x0000_s87128"/>
                </a:ext>
                <a:ext uri="{FF2B5EF4-FFF2-40B4-BE49-F238E27FC236}">
                  <a16:creationId xmlns:a16="http://schemas.microsoft.com/office/drawing/2014/main" id="{00000000-0008-0000-1900-00005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28575</xdr:rowOff>
        </xdr:from>
        <xdr:to>
          <xdr:col>3</xdr:col>
          <xdr:colOff>676275</xdr:colOff>
          <xdr:row>35</xdr:row>
          <xdr:rowOff>238125</xdr:rowOff>
        </xdr:to>
        <xdr:sp macro="" textlink="">
          <xdr:nvSpPr>
            <xdr:cNvPr id="87129" name="Check Box 89" hidden="1">
              <a:extLst>
                <a:ext uri="{63B3BB69-23CF-44E3-9099-C40C66FF867C}">
                  <a14:compatExt spid="_x0000_s87129"/>
                </a:ext>
                <a:ext uri="{FF2B5EF4-FFF2-40B4-BE49-F238E27FC236}">
                  <a16:creationId xmlns:a16="http://schemas.microsoft.com/office/drawing/2014/main" id="{00000000-0008-0000-1900-00005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219075</xdr:rowOff>
        </xdr:from>
        <xdr:to>
          <xdr:col>3</xdr:col>
          <xdr:colOff>676275</xdr:colOff>
          <xdr:row>35</xdr:row>
          <xdr:rowOff>428625</xdr:rowOff>
        </xdr:to>
        <xdr:sp macro="" textlink="">
          <xdr:nvSpPr>
            <xdr:cNvPr id="87130" name="Check Box 90" hidden="1">
              <a:extLst>
                <a:ext uri="{63B3BB69-23CF-44E3-9099-C40C66FF867C}">
                  <a14:compatExt spid="_x0000_s87130"/>
                </a:ext>
                <a:ext uri="{FF2B5EF4-FFF2-40B4-BE49-F238E27FC236}">
                  <a16:creationId xmlns:a16="http://schemas.microsoft.com/office/drawing/2014/main" id="{00000000-0008-0000-1900-00005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28575</xdr:rowOff>
        </xdr:from>
        <xdr:to>
          <xdr:col>3</xdr:col>
          <xdr:colOff>676275</xdr:colOff>
          <xdr:row>27</xdr:row>
          <xdr:rowOff>238125</xdr:rowOff>
        </xdr:to>
        <xdr:sp macro="" textlink="">
          <xdr:nvSpPr>
            <xdr:cNvPr id="87137" name="Check Box 97" hidden="1">
              <a:extLst>
                <a:ext uri="{63B3BB69-23CF-44E3-9099-C40C66FF867C}">
                  <a14:compatExt spid="_x0000_s87137"/>
                </a:ext>
                <a:ext uri="{FF2B5EF4-FFF2-40B4-BE49-F238E27FC236}">
                  <a16:creationId xmlns:a16="http://schemas.microsoft.com/office/drawing/2014/main" id="{00000000-0008-0000-1900-00006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219075</xdr:rowOff>
        </xdr:from>
        <xdr:to>
          <xdr:col>3</xdr:col>
          <xdr:colOff>676275</xdr:colOff>
          <xdr:row>27</xdr:row>
          <xdr:rowOff>428625</xdr:rowOff>
        </xdr:to>
        <xdr:sp macro="" textlink="">
          <xdr:nvSpPr>
            <xdr:cNvPr id="87138" name="Check Box 98" hidden="1">
              <a:extLst>
                <a:ext uri="{63B3BB69-23CF-44E3-9099-C40C66FF867C}">
                  <a14:compatExt spid="_x0000_s87138"/>
                </a:ext>
                <a:ext uri="{FF2B5EF4-FFF2-40B4-BE49-F238E27FC236}">
                  <a16:creationId xmlns:a16="http://schemas.microsoft.com/office/drawing/2014/main" id="{00000000-0008-0000-1900-00006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28575</xdr:rowOff>
        </xdr:from>
        <xdr:to>
          <xdr:col>3</xdr:col>
          <xdr:colOff>676275</xdr:colOff>
          <xdr:row>29</xdr:row>
          <xdr:rowOff>238125</xdr:rowOff>
        </xdr:to>
        <xdr:sp macro="" textlink="">
          <xdr:nvSpPr>
            <xdr:cNvPr id="87141" name="Check Box 101" hidden="1">
              <a:extLst>
                <a:ext uri="{63B3BB69-23CF-44E3-9099-C40C66FF867C}">
                  <a14:compatExt spid="_x0000_s87141"/>
                </a:ext>
                <a:ext uri="{FF2B5EF4-FFF2-40B4-BE49-F238E27FC236}">
                  <a16:creationId xmlns:a16="http://schemas.microsoft.com/office/drawing/2014/main" id="{00000000-0008-0000-1900-00006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219075</xdr:rowOff>
        </xdr:from>
        <xdr:to>
          <xdr:col>3</xdr:col>
          <xdr:colOff>676275</xdr:colOff>
          <xdr:row>29</xdr:row>
          <xdr:rowOff>428625</xdr:rowOff>
        </xdr:to>
        <xdr:sp macro="" textlink="">
          <xdr:nvSpPr>
            <xdr:cNvPr id="87142" name="Check Box 102" hidden="1">
              <a:extLst>
                <a:ext uri="{63B3BB69-23CF-44E3-9099-C40C66FF867C}">
                  <a14:compatExt spid="_x0000_s87142"/>
                </a:ext>
                <a:ext uri="{FF2B5EF4-FFF2-40B4-BE49-F238E27FC236}">
                  <a16:creationId xmlns:a16="http://schemas.microsoft.com/office/drawing/2014/main" id="{00000000-0008-0000-1900-00006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28575</xdr:rowOff>
        </xdr:from>
        <xdr:to>
          <xdr:col>3</xdr:col>
          <xdr:colOff>676275</xdr:colOff>
          <xdr:row>21</xdr:row>
          <xdr:rowOff>238125</xdr:rowOff>
        </xdr:to>
        <xdr:sp macro="" textlink="">
          <xdr:nvSpPr>
            <xdr:cNvPr id="87145" name="Check Box 105" hidden="1">
              <a:extLst>
                <a:ext uri="{63B3BB69-23CF-44E3-9099-C40C66FF867C}">
                  <a14:compatExt spid="_x0000_s87145"/>
                </a:ext>
                <a:ext uri="{FF2B5EF4-FFF2-40B4-BE49-F238E27FC236}">
                  <a16:creationId xmlns:a16="http://schemas.microsoft.com/office/drawing/2014/main" id="{00000000-0008-0000-1900-00006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219075</xdr:rowOff>
        </xdr:from>
        <xdr:to>
          <xdr:col>3</xdr:col>
          <xdr:colOff>676275</xdr:colOff>
          <xdr:row>21</xdr:row>
          <xdr:rowOff>428625</xdr:rowOff>
        </xdr:to>
        <xdr:sp macro="" textlink="">
          <xdr:nvSpPr>
            <xdr:cNvPr id="87146" name="Check Box 106" hidden="1">
              <a:extLst>
                <a:ext uri="{63B3BB69-23CF-44E3-9099-C40C66FF867C}">
                  <a14:compatExt spid="_x0000_s87146"/>
                </a:ext>
                <a:ext uri="{FF2B5EF4-FFF2-40B4-BE49-F238E27FC236}">
                  <a16:creationId xmlns:a16="http://schemas.microsoft.com/office/drawing/2014/main" id="{00000000-0008-0000-1900-00006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38100</xdr:colOff>
      <xdr:row>6</xdr:row>
      <xdr:rowOff>19050</xdr:rowOff>
    </xdr:from>
    <xdr:to>
      <xdr:col>0</xdr:col>
      <xdr:colOff>809625</xdr:colOff>
      <xdr:row>6</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9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38100" y="1971675"/>
          <a:ext cx="771525" cy="723509"/>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807612</xdr:colOff>
      <xdr:row>0</xdr:row>
      <xdr:rowOff>19050</xdr:rowOff>
    </xdr:from>
    <xdr:to>
      <xdr:col>7</xdr:col>
      <xdr:colOff>3048</xdr:colOff>
      <xdr:row>0</xdr:row>
      <xdr:rowOff>723900</xdr:rowOff>
    </xdr:to>
    <xdr:grpSp>
      <xdr:nvGrpSpPr>
        <xdr:cNvPr id="26" name="Group 25">
          <a:extLst>
            <a:ext uri="{FF2B5EF4-FFF2-40B4-BE49-F238E27FC236}">
              <a16:creationId xmlns:a16="http://schemas.microsoft.com/office/drawing/2014/main" id="{00000000-0008-0000-0200-00001A000000}"/>
            </a:ext>
          </a:extLst>
        </xdr:cNvPr>
        <xdr:cNvGrpSpPr/>
      </xdr:nvGrpSpPr>
      <xdr:grpSpPr>
        <a:xfrm>
          <a:off x="807612" y="19050"/>
          <a:ext cx="6529686" cy="704850"/>
          <a:chOff x="800100" y="19050"/>
          <a:chExt cx="6467475" cy="704850"/>
        </a:xfrm>
      </xdr:grpSpPr>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Asphalt </a:t>
            </a:r>
            <a:r>
              <a:rPr lang="en-US" sz="1100" b="1" baseline="0">
                <a:solidFill>
                  <a:schemeClr val="dk1"/>
                </a:solidFill>
                <a:effectLst/>
                <a:latin typeface="+mn-lt"/>
                <a:ea typeface="+mn-ea"/>
                <a:cs typeface="+mn-cs"/>
              </a:rPr>
              <a:t>Plant </a:t>
            </a:r>
            <a:r>
              <a:rPr lang="en-US" sz="1100" b="1" baseline="0"/>
              <a:t>&amp; Reclaim</a:t>
            </a:r>
          </a:p>
          <a:p>
            <a:r>
              <a:rPr lang="en-US" sz="1100" b="0" baseline="0"/>
              <a:t>  Lincoln-Lancaster County Health Department</a:t>
            </a:r>
          </a:p>
          <a:p>
            <a:r>
              <a:rPr lang="en-US" sz="1100" b="0" baseline="0"/>
              <a:t>  Air Quality Program</a:t>
            </a:r>
            <a:endParaRPr lang="en-US" sz="1100" b="0"/>
          </a:p>
        </xdr:txBody>
      </xdr:sp>
      <xdr:cxnSp macro="">
        <xdr:nvCxnSpPr>
          <xdr:cNvPr id="7" name="Elbow Connector 6">
            <a:extLst>
              <a:ext uri="{FF2B5EF4-FFF2-40B4-BE49-F238E27FC236}">
                <a16:creationId xmlns:a16="http://schemas.microsoft.com/office/drawing/2014/main" id="{00000000-0008-0000-0200-000007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2" name="Elbow Connector 11">
            <a:extLst>
              <a:ext uri="{FF2B5EF4-FFF2-40B4-BE49-F238E27FC236}">
                <a16:creationId xmlns:a16="http://schemas.microsoft.com/office/drawing/2014/main" id="{00000000-0008-0000-0200-00000C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xdr:col>
          <xdr:colOff>19050</xdr:colOff>
          <xdr:row>3</xdr:row>
          <xdr:rowOff>95250</xdr:rowOff>
        </xdr:from>
        <xdr:to>
          <xdr:col>2</xdr:col>
          <xdr:colOff>247650</xdr:colOff>
          <xdr:row>3</xdr:row>
          <xdr:rowOff>314325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2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xdr:row>
          <xdr:rowOff>104775</xdr:rowOff>
        </xdr:from>
        <xdr:to>
          <xdr:col>3</xdr:col>
          <xdr:colOff>238125</xdr:colOff>
          <xdr:row>3</xdr:row>
          <xdr:rowOff>314325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2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xdr:row>
          <xdr:rowOff>9525</xdr:rowOff>
        </xdr:from>
        <xdr:to>
          <xdr:col>1</xdr:col>
          <xdr:colOff>800100</xdr:colOff>
          <xdr:row>5</xdr:row>
          <xdr:rowOff>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2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xdr:row>
          <xdr:rowOff>9525</xdr:rowOff>
        </xdr:from>
        <xdr:to>
          <xdr:col>1</xdr:col>
          <xdr:colOff>800100</xdr:colOff>
          <xdr:row>6</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2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9525</xdr:rowOff>
        </xdr:from>
        <xdr:to>
          <xdr:col>2</xdr:col>
          <xdr:colOff>952500</xdr:colOff>
          <xdr:row>5</xdr:row>
          <xdr:rowOff>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2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9525</xdr:rowOff>
        </xdr:from>
        <xdr:to>
          <xdr:col>2</xdr:col>
          <xdr:colOff>952500</xdr:colOff>
          <xdr:row>6</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2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xdr:row>
          <xdr:rowOff>9525</xdr:rowOff>
        </xdr:from>
        <xdr:to>
          <xdr:col>3</xdr:col>
          <xdr:colOff>885825</xdr:colOff>
          <xdr:row>5</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2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xdr:row>
          <xdr:rowOff>9525</xdr:rowOff>
        </xdr:from>
        <xdr:to>
          <xdr:col>3</xdr:col>
          <xdr:colOff>885825</xdr:colOff>
          <xdr:row>6</xdr:row>
          <xdr:rowOff>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2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9525</xdr:rowOff>
        </xdr:from>
        <xdr:to>
          <xdr:col>4</xdr:col>
          <xdr:colOff>885825</xdr:colOff>
          <xdr:row>5</xdr:row>
          <xdr:rowOff>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2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9525</xdr:rowOff>
        </xdr:from>
        <xdr:to>
          <xdr:col>4</xdr:col>
          <xdr:colOff>885825</xdr:colOff>
          <xdr:row>6</xdr:row>
          <xdr:rowOff>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2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xdr:row>
          <xdr:rowOff>9525</xdr:rowOff>
        </xdr:from>
        <xdr:to>
          <xdr:col>5</xdr:col>
          <xdr:colOff>895350</xdr:colOff>
          <xdr:row>5</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2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xdr:row>
          <xdr:rowOff>9525</xdr:rowOff>
        </xdr:from>
        <xdr:to>
          <xdr:col>5</xdr:col>
          <xdr:colOff>895350</xdr:colOff>
          <xdr:row>6</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2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4</xdr:row>
          <xdr:rowOff>9525</xdr:rowOff>
        </xdr:from>
        <xdr:to>
          <xdr:col>6</xdr:col>
          <xdr:colOff>885825</xdr:colOff>
          <xdr:row>5</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2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5</xdr:row>
          <xdr:rowOff>9525</xdr:rowOff>
        </xdr:from>
        <xdr:to>
          <xdr:col>6</xdr:col>
          <xdr:colOff>885825</xdr:colOff>
          <xdr:row>6</xdr:row>
          <xdr:rowOff>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2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9525</xdr:rowOff>
        </xdr:from>
        <xdr:to>
          <xdr:col>3</xdr:col>
          <xdr:colOff>790575</xdr:colOff>
          <xdr:row>10</xdr:row>
          <xdr:rowOff>19050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2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180975</xdr:rowOff>
        </xdr:from>
        <xdr:to>
          <xdr:col>3</xdr:col>
          <xdr:colOff>790575</xdr:colOff>
          <xdr:row>11</xdr:row>
          <xdr:rowOff>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2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29</xdr:row>
          <xdr:rowOff>0</xdr:rowOff>
        </xdr:from>
        <xdr:to>
          <xdr:col>0</xdr:col>
          <xdr:colOff>257175</xdr:colOff>
          <xdr:row>29</xdr:row>
          <xdr:rowOff>238125</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2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30</xdr:row>
          <xdr:rowOff>0</xdr:rowOff>
        </xdr:from>
        <xdr:to>
          <xdr:col>0</xdr:col>
          <xdr:colOff>257175</xdr:colOff>
          <xdr:row>30</xdr:row>
          <xdr:rowOff>238125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2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31</xdr:row>
          <xdr:rowOff>0</xdr:rowOff>
        </xdr:from>
        <xdr:to>
          <xdr:col>0</xdr:col>
          <xdr:colOff>257175</xdr:colOff>
          <xdr:row>31</xdr:row>
          <xdr:rowOff>238125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2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32</xdr:row>
          <xdr:rowOff>0</xdr:rowOff>
        </xdr:from>
        <xdr:to>
          <xdr:col>0</xdr:col>
          <xdr:colOff>257175</xdr:colOff>
          <xdr:row>32</xdr:row>
          <xdr:rowOff>238125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2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0</xdr:rowOff>
        </xdr:from>
        <xdr:to>
          <xdr:col>0</xdr:col>
          <xdr:colOff>257175</xdr:colOff>
          <xdr:row>33</xdr:row>
          <xdr:rowOff>238125</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2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34</xdr:row>
          <xdr:rowOff>0</xdr:rowOff>
        </xdr:from>
        <xdr:to>
          <xdr:col>0</xdr:col>
          <xdr:colOff>257175</xdr:colOff>
          <xdr:row>34</xdr:row>
          <xdr:rowOff>238125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2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37</xdr:row>
          <xdr:rowOff>0</xdr:rowOff>
        </xdr:from>
        <xdr:to>
          <xdr:col>0</xdr:col>
          <xdr:colOff>257175</xdr:colOff>
          <xdr:row>37</xdr:row>
          <xdr:rowOff>238125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2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38</xdr:row>
          <xdr:rowOff>0</xdr:rowOff>
        </xdr:from>
        <xdr:to>
          <xdr:col>0</xdr:col>
          <xdr:colOff>257175</xdr:colOff>
          <xdr:row>38</xdr:row>
          <xdr:rowOff>238125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2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39</xdr:row>
          <xdr:rowOff>0</xdr:rowOff>
        </xdr:from>
        <xdr:to>
          <xdr:col>0</xdr:col>
          <xdr:colOff>257175</xdr:colOff>
          <xdr:row>39</xdr:row>
          <xdr:rowOff>238125</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2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40</xdr:row>
          <xdr:rowOff>0</xdr:rowOff>
        </xdr:from>
        <xdr:to>
          <xdr:col>0</xdr:col>
          <xdr:colOff>257175</xdr:colOff>
          <xdr:row>40</xdr:row>
          <xdr:rowOff>238125</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2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41</xdr:row>
          <xdr:rowOff>0</xdr:rowOff>
        </xdr:from>
        <xdr:to>
          <xdr:col>0</xdr:col>
          <xdr:colOff>257175</xdr:colOff>
          <xdr:row>41</xdr:row>
          <xdr:rowOff>238125</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2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42</xdr:row>
          <xdr:rowOff>0</xdr:rowOff>
        </xdr:from>
        <xdr:to>
          <xdr:col>0</xdr:col>
          <xdr:colOff>257175</xdr:colOff>
          <xdr:row>42</xdr:row>
          <xdr:rowOff>238125</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2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4</xdr:col>
          <xdr:colOff>781050</xdr:colOff>
          <xdr:row>18</xdr:row>
          <xdr:rowOff>9525</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2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171450</xdr:rowOff>
        </xdr:from>
        <xdr:to>
          <xdr:col>4</xdr:col>
          <xdr:colOff>781050</xdr:colOff>
          <xdr:row>18</xdr:row>
          <xdr:rowOff>180975</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2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4</xdr:col>
          <xdr:colOff>781050</xdr:colOff>
          <xdr:row>22</xdr:row>
          <xdr:rowOff>9525</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2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171450</xdr:rowOff>
        </xdr:from>
        <xdr:to>
          <xdr:col>4</xdr:col>
          <xdr:colOff>781050</xdr:colOff>
          <xdr:row>22</xdr:row>
          <xdr:rowOff>180975</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2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4</xdr:col>
          <xdr:colOff>781050</xdr:colOff>
          <xdr:row>26</xdr:row>
          <xdr:rowOff>9525</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2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171450</xdr:rowOff>
        </xdr:from>
        <xdr:to>
          <xdr:col>4</xdr:col>
          <xdr:colOff>781050</xdr:colOff>
          <xdr:row>26</xdr:row>
          <xdr:rowOff>180975</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2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38100</xdr:colOff>
      <xdr:row>0</xdr:row>
      <xdr:rowOff>47625</xdr:rowOff>
    </xdr:from>
    <xdr:to>
      <xdr:col>0</xdr:col>
      <xdr:colOff>809625</xdr:colOff>
      <xdr:row>1</xdr:row>
      <xdr:rowOff>9134</xdr:rowOff>
    </xdr:to>
    <xdr:pic>
      <xdr:nvPicPr>
        <xdr:cNvPr id="4" name="Picture 3" descr="Graphical user interface, text&#10;&#10;Description automatically generated with medium confidence">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38100" y="47625"/>
          <a:ext cx="771525" cy="72350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783616</xdr:colOff>
      <xdr:row>23</xdr:row>
      <xdr:rowOff>0</xdr:rowOff>
    </xdr:from>
    <xdr:to>
      <xdr:col>4</xdr:col>
      <xdr:colOff>3860673</xdr:colOff>
      <xdr:row>23</xdr:row>
      <xdr:rowOff>704850</xdr:rowOff>
    </xdr:to>
    <xdr:grpSp>
      <xdr:nvGrpSpPr>
        <xdr:cNvPr id="51" name="Group 50">
          <a:extLst>
            <a:ext uri="{FF2B5EF4-FFF2-40B4-BE49-F238E27FC236}">
              <a16:creationId xmlns:a16="http://schemas.microsoft.com/office/drawing/2014/main" id="{00000000-0008-0000-0300-000033000000}"/>
            </a:ext>
          </a:extLst>
        </xdr:cNvPr>
        <xdr:cNvGrpSpPr/>
      </xdr:nvGrpSpPr>
      <xdr:grpSpPr>
        <a:xfrm>
          <a:off x="783616" y="8943975"/>
          <a:ext cx="10801832" cy="704850"/>
          <a:chOff x="780350" y="0"/>
          <a:chExt cx="10756805" cy="704850"/>
        </a:xfrm>
      </xdr:grpSpPr>
      <xdr:sp macro="" textlink="">
        <xdr:nvSpPr>
          <xdr:cNvPr id="53" name="TextBox 52">
            <a:extLst>
              <a:ext uri="{FF2B5EF4-FFF2-40B4-BE49-F238E27FC236}">
                <a16:creationId xmlns:a16="http://schemas.microsoft.com/office/drawing/2014/main" id="{00000000-0008-0000-0300-000035000000}"/>
              </a:ext>
            </a:extLst>
          </xdr:cNvPr>
          <xdr:cNvSpPr txBox="1"/>
        </xdr:nvSpPr>
        <xdr:spPr>
          <a:xfrm>
            <a:off x="780350" y="0"/>
            <a:ext cx="1075680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4" name="Elbow Connector 53">
            <a:extLst>
              <a:ext uri="{FF2B5EF4-FFF2-40B4-BE49-F238E27FC236}">
                <a16:creationId xmlns:a16="http://schemas.microsoft.com/office/drawing/2014/main" id="{00000000-0008-0000-0300-000036000000}"/>
              </a:ext>
            </a:extLst>
          </xdr:cNvPr>
          <xdr:cNvCxnSpPr/>
        </xdr:nvCxnSpPr>
        <xdr:spPr>
          <a:xfrm flipV="1">
            <a:off x="806522" y="16669"/>
            <a:ext cx="1072591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55" name="Elbow Connector 54">
            <a:extLst>
              <a:ext uri="{FF2B5EF4-FFF2-40B4-BE49-F238E27FC236}">
                <a16:creationId xmlns:a16="http://schemas.microsoft.com/office/drawing/2014/main" id="{00000000-0008-0000-0300-000037000000}"/>
              </a:ext>
            </a:extLst>
          </xdr:cNvPr>
          <xdr:cNvCxnSpPr/>
        </xdr:nvCxnSpPr>
        <xdr:spPr>
          <a:xfrm flipV="1">
            <a:off x="882654" y="92871"/>
            <a:ext cx="10579608"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xdr:from>
          <xdr:col>3</xdr:col>
          <xdr:colOff>2619375</xdr:colOff>
          <xdr:row>7</xdr:row>
          <xdr:rowOff>228600</xdr:rowOff>
        </xdr:from>
        <xdr:to>
          <xdr:col>3</xdr:col>
          <xdr:colOff>3808095</xdr:colOff>
          <xdr:row>7</xdr:row>
          <xdr:rowOff>365760</xdr:rowOff>
        </xdr:to>
        <xdr:grpSp>
          <xdr:nvGrpSpPr>
            <xdr:cNvPr id="56" name="Group 55">
              <a:extLst>
                <a:ext uri="{FF2B5EF4-FFF2-40B4-BE49-F238E27FC236}">
                  <a16:creationId xmlns:a16="http://schemas.microsoft.com/office/drawing/2014/main" id="{00000000-0008-0000-0300-000038000000}"/>
                </a:ext>
              </a:extLst>
            </xdr:cNvPr>
            <xdr:cNvGrpSpPr/>
          </xdr:nvGrpSpPr>
          <xdr:grpSpPr>
            <a:xfrm>
              <a:off x="6429375" y="2886075"/>
              <a:ext cx="1188720" cy="137160"/>
              <a:chOff x="6353169" y="1647629"/>
              <a:chExt cx="1474714" cy="209551"/>
            </a:xfrm>
          </xdr:grpSpPr>
          <xdr:sp macro="" textlink="">
            <xdr:nvSpPr>
              <xdr:cNvPr id="34897" name="Check Box 81" hidden="1">
                <a:extLst>
                  <a:ext uri="{63B3BB69-23CF-44E3-9099-C40C66FF867C}">
                    <a14:compatExt spid="_x0000_s34897"/>
                  </a:ext>
                  <a:ext uri="{FF2B5EF4-FFF2-40B4-BE49-F238E27FC236}">
                    <a16:creationId xmlns:a16="http://schemas.microsoft.com/office/drawing/2014/main" id="{00000000-0008-0000-0300-000051880000}"/>
                  </a:ext>
                </a:extLst>
              </xdr:cNvPr>
              <xdr:cNvSpPr/>
            </xdr:nvSpPr>
            <xdr:spPr bwMode="auto">
              <a:xfrm>
                <a:off x="6353169" y="1647631"/>
                <a:ext cx="684322"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98" name="Check Box 82" hidden="1">
                <a:extLst>
                  <a:ext uri="{63B3BB69-23CF-44E3-9099-C40C66FF867C}">
                    <a14:compatExt spid="_x0000_s34898"/>
                  </a:ext>
                  <a:ext uri="{FF2B5EF4-FFF2-40B4-BE49-F238E27FC236}">
                    <a16:creationId xmlns:a16="http://schemas.microsoft.com/office/drawing/2014/main" id="{00000000-0008-0000-0300-000052880000}"/>
                  </a:ext>
                </a:extLst>
              </xdr:cNvPr>
              <xdr:cNvSpPr/>
            </xdr:nvSpPr>
            <xdr:spPr bwMode="auto">
              <a:xfrm>
                <a:off x="7058018"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2619375</xdr:colOff>
          <xdr:row>4</xdr:row>
          <xdr:rowOff>238125</xdr:rowOff>
        </xdr:from>
        <xdr:to>
          <xdr:col>3</xdr:col>
          <xdr:colOff>3808095</xdr:colOff>
          <xdr:row>4</xdr:row>
          <xdr:rowOff>375285</xdr:rowOff>
        </xdr:to>
        <xdr:grpSp>
          <xdr:nvGrpSpPr>
            <xdr:cNvPr id="49" name="Group 48">
              <a:extLst>
                <a:ext uri="{FF2B5EF4-FFF2-40B4-BE49-F238E27FC236}">
                  <a16:creationId xmlns:a16="http://schemas.microsoft.com/office/drawing/2014/main" id="{00000000-0008-0000-0300-000031000000}"/>
                </a:ext>
              </a:extLst>
            </xdr:cNvPr>
            <xdr:cNvGrpSpPr/>
          </xdr:nvGrpSpPr>
          <xdr:grpSpPr>
            <a:xfrm>
              <a:off x="6429375" y="1714500"/>
              <a:ext cx="1188720" cy="137160"/>
              <a:chOff x="6353169" y="1647629"/>
              <a:chExt cx="1474714" cy="209551"/>
            </a:xfrm>
          </xdr:grpSpPr>
          <xdr:sp macro="" textlink="">
            <xdr:nvSpPr>
              <xdr:cNvPr id="34903" name="Check Box 87" hidden="1">
                <a:extLst>
                  <a:ext uri="{63B3BB69-23CF-44E3-9099-C40C66FF867C}">
                    <a14:compatExt spid="_x0000_s34903"/>
                  </a:ext>
                  <a:ext uri="{FF2B5EF4-FFF2-40B4-BE49-F238E27FC236}">
                    <a16:creationId xmlns:a16="http://schemas.microsoft.com/office/drawing/2014/main" id="{00000000-0008-0000-0300-000057880000}"/>
                  </a:ext>
                </a:extLst>
              </xdr:cNvPr>
              <xdr:cNvSpPr/>
            </xdr:nvSpPr>
            <xdr:spPr bwMode="auto">
              <a:xfrm>
                <a:off x="6353169" y="1647631"/>
                <a:ext cx="684322"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04" name="Check Box 88" hidden="1">
                <a:extLst>
                  <a:ext uri="{63B3BB69-23CF-44E3-9099-C40C66FF867C}">
                    <a14:compatExt spid="_x0000_s34904"/>
                  </a:ext>
                  <a:ext uri="{FF2B5EF4-FFF2-40B4-BE49-F238E27FC236}">
                    <a16:creationId xmlns:a16="http://schemas.microsoft.com/office/drawing/2014/main" id="{00000000-0008-0000-0300-000058880000}"/>
                  </a:ext>
                </a:extLst>
              </xdr:cNvPr>
              <xdr:cNvSpPr/>
            </xdr:nvSpPr>
            <xdr:spPr bwMode="auto">
              <a:xfrm>
                <a:off x="7058018"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73</xdr:row>
          <xdr:rowOff>66675</xdr:rowOff>
        </xdr:from>
        <xdr:to>
          <xdr:col>9</xdr:col>
          <xdr:colOff>424815</xdr:colOff>
          <xdr:row>73</xdr:row>
          <xdr:rowOff>158115</xdr:rowOff>
        </xdr:to>
        <xdr:grpSp>
          <xdr:nvGrpSpPr>
            <xdr:cNvPr id="13" name="Group 12">
              <a:extLst>
                <a:ext uri="{FF2B5EF4-FFF2-40B4-BE49-F238E27FC236}">
                  <a16:creationId xmlns:a16="http://schemas.microsoft.com/office/drawing/2014/main" id="{00000000-0008-0000-0300-00000D000000}"/>
                </a:ext>
              </a:extLst>
            </xdr:cNvPr>
            <xdr:cNvGrpSpPr/>
          </xdr:nvGrpSpPr>
          <xdr:grpSpPr>
            <a:xfrm>
              <a:off x="14811375" y="21240750"/>
              <a:ext cx="1234440" cy="91440"/>
              <a:chOff x="6353170" y="1647741"/>
              <a:chExt cx="1474702" cy="209556"/>
            </a:xfrm>
          </xdr:grpSpPr>
          <xdr:sp macro="" textlink="">
            <xdr:nvSpPr>
              <xdr:cNvPr id="34907" name="Check Box 91" hidden="1">
                <a:extLst>
                  <a:ext uri="{63B3BB69-23CF-44E3-9099-C40C66FF867C}">
                    <a14:compatExt spid="_x0000_s34907"/>
                  </a:ext>
                  <a:ext uri="{FF2B5EF4-FFF2-40B4-BE49-F238E27FC236}">
                    <a16:creationId xmlns:a16="http://schemas.microsoft.com/office/drawing/2014/main" id="{00000000-0008-0000-0300-00005B880000}"/>
                  </a:ext>
                </a:extLst>
              </xdr:cNvPr>
              <xdr:cNvSpPr/>
            </xdr:nvSpPr>
            <xdr:spPr bwMode="auto">
              <a:xfrm>
                <a:off x="6353170" y="1647748"/>
                <a:ext cx="684327"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08" name="Check Box 92" hidden="1">
                <a:extLst>
                  <a:ext uri="{63B3BB69-23CF-44E3-9099-C40C66FF867C}">
                    <a14:compatExt spid="_x0000_s34908"/>
                  </a:ext>
                  <a:ext uri="{FF2B5EF4-FFF2-40B4-BE49-F238E27FC236}">
                    <a16:creationId xmlns:a16="http://schemas.microsoft.com/office/drawing/2014/main" id="{00000000-0008-0000-0300-00005C880000}"/>
                  </a:ext>
                </a:extLst>
              </xdr:cNvPr>
              <xdr:cNvSpPr/>
            </xdr:nvSpPr>
            <xdr:spPr bwMode="auto">
              <a:xfrm>
                <a:off x="7058008" y="1647741"/>
                <a:ext cx="769864"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75</xdr:row>
          <xdr:rowOff>57150</xdr:rowOff>
        </xdr:from>
        <xdr:to>
          <xdr:col>9</xdr:col>
          <xdr:colOff>424815</xdr:colOff>
          <xdr:row>75</xdr:row>
          <xdr:rowOff>148590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14811375" y="21688425"/>
              <a:ext cx="1234440" cy="91440"/>
              <a:chOff x="12049096" y="11400848"/>
              <a:chExt cx="1188736" cy="137182"/>
            </a:xfrm>
          </xdr:grpSpPr>
          <xdr:sp macro="" textlink="">
            <xdr:nvSpPr>
              <xdr:cNvPr id="34909" name="Check Box 93" hidden="1">
                <a:extLst>
                  <a:ext uri="{63B3BB69-23CF-44E3-9099-C40C66FF867C}">
                    <a14:compatExt spid="_x0000_s34909"/>
                  </a:ext>
                  <a:ext uri="{FF2B5EF4-FFF2-40B4-BE49-F238E27FC236}">
                    <a16:creationId xmlns:a16="http://schemas.microsoft.com/office/drawing/2014/main" id="{00000000-0008-0000-0300-00005D880000}"/>
                  </a:ext>
                </a:extLst>
              </xdr:cNvPr>
              <xdr:cNvSpPr/>
            </xdr:nvSpPr>
            <xdr:spPr bwMode="auto">
              <a:xfrm>
                <a:off x="12049096" y="11400871"/>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10" name="Check Box 94" hidden="1">
                <a:extLst>
                  <a:ext uri="{63B3BB69-23CF-44E3-9099-C40C66FF867C}">
                    <a14:compatExt spid="_x0000_s34910"/>
                  </a:ext>
                  <a:ext uri="{FF2B5EF4-FFF2-40B4-BE49-F238E27FC236}">
                    <a16:creationId xmlns:a16="http://schemas.microsoft.com/office/drawing/2014/main" id="{00000000-0008-0000-0300-00005E880000}"/>
                  </a:ext>
                </a:extLst>
              </xdr:cNvPr>
              <xdr:cNvSpPr/>
            </xdr:nvSpPr>
            <xdr:spPr bwMode="auto">
              <a:xfrm>
                <a:off x="12617271" y="11400848"/>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79</xdr:row>
          <xdr:rowOff>76200</xdr:rowOff>
        </xdr:from>
        <xdr:to>
          <xdr:col>9</xdr:col>
          <xdr:colOff>424815</xdr:colOff>
          <xdr:row>79</xdr:row>
          <xdr:rowOff>167640</xdr:rowOff>
        </xdr:to>
        <xdr:grpSp>
          <xdr:nvGrpSpPr>
            <xdr:cNvPr id="6" name="Group 5">
              <a:extLst>
                <a:ext uri="{FF2B5EF4-FFF2-40B4-BE49-F238E27FC236}">
                  <a16:creationId xmlns:a16="http://schemas.microsoft.com/office/drawing/2014/main" id="{00000000-0008-0000-0300-000006000000}"/>
                </a:ext>
              </a:extLst>
            </xdr:cNvPr>
            <xdr:cNvGrpSpPr/>
          </xdr:nvGrpSpPr>
          <xdr:grpSpPr>
            <a:xfrm>
              <a:off x="14811375" y="22621875"/>
              <a:ext cx="1234440" cy="91440"/>
              <a:chOff x="12049096" y="12544398"/>
              <a:chExt cx="1188736" cy="137324"/>
            </a:xfrm>
          </xdr:grpSpPr>
          <xdr:sp macro="" textlink="">
            <xdr:nvSpPr>
              <xdr:cNvPr id="34915" name="Check Box 99" hidden="1">
                <a:extLst>
                  <a:ext uri="{63B3BB69-23CF-44E3-9099-C40C66FF867C}">
                    <a14:compatExt spid="_x0000_s34915"/>
                  </a:ext>
                  <a:ext uri="{FF2B5EF4-FFF2-40B4-BE49-F238E27FC236}">
                    <a16:creationId xmlns:a16="http://schemas.microsoft.com/office/drawing/2014/main" id="{00000000-0008-0000-0300-000063880000}"/>
                  </a:ext>
                </a:extLst>
              </xdr:cNvPr>
              <xdr:cNvSpPr/>
            </xdr:nvSpPr>
            <xdr:spPr bwMode="auto">
              <a:xfrm>
                <a:off x="12049096" y="12544563"/>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16" name="Check Box 100" hidden="1">
                <a:extLst>
                  <a:ext uri="{63B3BB69-23CF-44E3-9099-C40C66FF867C}">
                    <a14:compatExt spid="_x0000_s34916"/>
                  </a:ext>
                  <a:ext uri="{FF2B5EF4-FFF2-40B4-BE49-F238E27FC236}">
                    <a16:creationId xmlns:a16="http://schemas.microsoft.com/office/drawing/2014/main" id="{00000000-0008-0000-0300-000064880000}"/>
                  </a:ext>
                </a:extLst>
              </xdr:cNvPr>
              <xdr:cNvSpPr/>
            </xdr:nvSpPr>
            <xdr:spPr bwMode="auto">
              <a:xfrm>
                <a:off x="12617271" y="12544398"/>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78</xdr:row>
          <xdr:rowOff>76200</xdr:rowOff>
        </xdr:from>
        <xdr:to>
          <xdr:col>9</xdr:col>
          <xdr:colOff>424815</xdr:colOff>
          <xdr:row>78</xdr:row>
          <xdr:rowOff>167640</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14811375" y="22393275"/>
              <a:ext cx="1234440" cy="91440"/>
              <a:chOff x="12049096" y="12315591"/>
              <a:chExt cx="1188736" cy="137231"/>
            </a:xfrm>
          </xdr:grpSpPr>
          <xdr:sp macro="" textlink="">
            <xdr:nvSpPr>
              <xdr:cNvPr id="34917" name="Check Box 101" hidden="1">
                <a:extLst>
                  <a:ext uri="{63B3BB69-23CF-44E3-9099-C40C66FF867C}">
                    <a14:compatExt spid="_x0000_s34917"/>
                  </a:ext>
                  <a:ext uri="{FF2B5EF4-FFF2-40B4-BE49-F238E27FC236}">
                    <a16:creationId xmlns:a16="http://schemas.microsoft.com/office/drawing/2014/main" id="{00000000-0008-0000-0300-000065880000}"/>
                  </a:ext>
                </a:extLst>
              </xdr:cNvPr>
              <xdr:cNvSpPr/>
            </xdr:nvSpPr>
            <xdr:spPr bwMode="auto">
              <a:xfrm>
                <a:off x="12049096" y="12315663"/>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18" name="Check Box 102" hidden="1">
                <a:extLst>
                  <a:ext uri="{63B3BB69-23CF-44E3-9099-C40C66FF867C}">
                    <a14:compatExt spid="_x0000_s34918"/>
                  </a:ext>
                  <a:ext uri="{FF2B5EF4-FFF2-40B4-BE49-F238E27FC236}">
                    <a16:creationId xmlns:a16="http://schemas.microsoft.com/office/drawing/2014/main" id="{00000000-0008-0000-0300-000066880000}"/>
                  </a:ext>
                </a:extLst>
              </xdr:cNvPr>
              <xdr:cNvSpPr/>
            </xdr:nvSpPr>
            <xdr:spPr bwMode="auto">
              <a:xfrm>
                <a:off x="12617271" y="12315591"/>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84</xdr:row>
          <xdr:rowOff>66675</xdr:rowOff>
        </xdr:from>
        <xdr:to>
          <xdr:col>9</xdr:col>
          <xdr:colOff>424815</xdr:colOff>
          <xdr:row>84</xdr:row>
          <xdr:rowOff>158115</xdr:rowOff>
        </xdr:to>
        <xdr:grpSp>
          <xdr:nvGrpSpPr>
            <xdr:cNvPr id="7" name="Group 6">
              <a:extLst>
                <a:ext uri="{FF2B5EF4-FFF2-40B4-BE49-F238E27FC236}">
                  <a16:creationId xmlns:a16="http://schemas.microsoft.com/office/drawing/2014/main" id="{00000000-0008-0000-0300-000007000000}"/>
                </a:ext>
              </a:extLst>
            </xdr:cNvPr>
            <xdr:cNvGrpSpPr/>
          </xdr:nvGrpSpPr>
          <xdr:grpSpPr>
            <a:xfrm>
              <a:off x="14811375" y="23755350"/>
              <a:ext cx="1234440" cy="91440"/>
              <a:chOff x="12049096" y="13687141"/>
              <a:chExt cx="1188736" cy="137383"/>
            </a:xfrm>
          </xdr:grpSpPr>
          <xdr:sp macro="" textlink="">
            <xdr:nvSpPr>
              <xdr:cNvPr id="34919" name="Check Box 103" hidden="1">
                <a:extLst>
                  <a:ext uri="{63B3BB69-23CF-44E3-9099-C40C66FF867C}">
                    <a14:compatExt spid="_x0000_s34919"/>
                  </a:ext>
                  <a:ext uri="{FF2B5EF4-FFF2-40B4-BE49-F238E27FC236}">
                    <a16:creationId xmlns:a16="http://schemas.microsoft.com/office/drawing/2014/main" id="{00000000-0008-0000-0300-000067880000}"/>
                  </a:ext>
                </a:extLst>
              </xdr:cNvPr>
              <xdr:cNvSpPr/>
            </xdr:nvSpPr>
            <xdr:spPr bwMode="auto">
              <a:xfrm>
                <a:off x="12049096" y="13687365"/>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20" name="Check Box 104" hidden="1">
                <a:extLst>
                  <a:ext uri="{63B3BB69-23CF-44E3-9099-C40C66FF867C}">
                    <a14:compatExt spid="_x0000_s34920"/>
                  </a:ext>
                  <a:ext uri="{FF2B5EF4-FFF2-40B4-BE49-F238E27FC236}">
                    <a16:creationId xmlns:a16="http://schemas.microsoft.com/office/drawing/2014/main" id="{00000000-0008-0000-0300-000068880000}"/>
                  </a:ext>
                </a:extLst>
              </xdr:cNvPr>
              <xdr:cNvSpPr/>
            </xdr:nvSpPr>
            <xdr:spPr bwMode="auto">
              <a:xfrm>
                <a:off x="12617271" y="13687141"/>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86</xdr:row>
          <xdr:rowOff>57150</xdr:rowOff>
        </xdr:from>
        <xdr:to>
          <xdr:col>9</xdr:col>
          <xdr:colOff>424815</xdr:colOff>
          <xdr:row>86</xdr:row>
          <xdr:rowOff>148590</xdr:rowOff>
        </xdr:to>
        <xdr:grpSp>
          <xdr:nvGrpSpPr>
            <xdr:cNvPr id="8" name="Group 7">
              <a:extLst>
                <a:ext uri="{FF2B5EF4-FFF2-40B4-BE49-F238E27FC236}">
                  <a16:creationId xmlns:a16="http://schemas.microsoft.com/office/drawing/2014/main" id="{00000000-0008-0000-0300-000008000000}"/>
                </a:ext>
              </a:extLst>
            </xdr:cNvPr>
            <xdr:cNvGrpSpPr/>
          </xdr:nvGrpSpPr>
          <xdr:grpSpPr>
            <a:xfrm>
              <a:off x="14811375" y="24203025"/>
              <a:ext cx="1234440" cy="91440"/>
              <a:chOff x="12049096" y="13915204"/>
              <a:chExt cx="1188736" cy="137179"/>
            </a:xfrm>
          </xdr:grpSpPr>
          <xdr:sp macro="" textlink="">
            <xdr:nvSpPr>
              <xdr:cNvPr id="34921" name="Check Box 105" hidden="1">
                <a:extLst>
                  <a:ext uri="{63B3BB69-23CF-44E3-9099-C40C66FF867C}">
                    <a14:compatExt spid="_x0000_s34921"/>
                  </a:ext>
                  <a:ext uri="{FF2B5EF4-FFF2-40B4-BE49-F238E27FC236}">
                    <a16:creationId xmlns:a16="http://schemas.microsoft.com/office/drawing/2014/main" id="{00000000-0008-0000-0300-000069880000}"/>
                  </a:ext>
                </a:extLst>
              </xdr:cNvPr>
              <xdr:cNvSpPr/>
            </xdr:nvSpPr>
            <xdr:spPr bwMode="auto">
              <a:xfrm>
                <a:off x="12049096" y="13915224"/>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22" name="Check Box 106" hidden="1">
                <a:extLst>
                  <a:ext uri="{63B3BB69-23CF-44E3-9099-C40C66FF867C}">
                    <a14:compatExt spid="_x0000_s34922"/>
                  </a:ext>
                  <a:ext uri="{FF2B5EF4-FFF2-40B4-BE49-F238E27FC236}">
                    <a16:creationId xmlns:a16="http://schemas.microsoft.com/office/drawing/2014/main" id="{00000000-0008-0000-0300-00006A880000}"/>
                  </a:ext>
                </a:extLst>
              </xdr:cNvPr>
              <xdr:cNvSpPr/>
            </xdr:nvSpPr>
            <xdr:spPr bwMode="auto">
              <a:xfrm>
                <a:off x="12617271" y="13915204"/>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90</xdr:row>
          <xdr:rowOff>76200</xdr:rowOff>
        </xdr:from>
        <xdr:to>
          <xdr:col>9</xdr:col>
          <xdr:colOff>424815</xdr:colOff>
          <xdr:row>90</xdr:row>
          <xdr:rowOff>167640</xdr:rowOff>
        </xdr:to>
        <xdr:grpSp>
          <xdr:nvGrpSpPr>
            <xdr:cNvPr id="12" name="Group 11">
              <a:extLst>
                <a:ext uri="{FF2B5EF4-FFF2-40B4-BE49-F238E27FC236}">
                  <a16:creationId xmlns:a16="http://schemas.microsoft.com/office/drawing/2014/main" id="{00000000-0008-0000-0300-00000C000000}"/>
                </a:ext>
              </a:extLst>
            </xdr:cNvPr>
            <xdr:cNvGrpSpPr/>
          </xdr:nvGrpSpPr>
          <xdr:grpSpPr>
            <a:xfrm>
              <a:off x="14811375" y="25136475"/>
              <a:ext cx="1234440" cy="91440"/>
              <a:chOff x="12049096" y="15058979"/>
              <a:chExt cx="1188736" cy="137216"/>
            </a:xfrm>
          </xdr:grpSpPr>
          <xdr:sp macro="" textlink="">
            <xdr:nvSpPr>
              <xdr:cNvPr id="34927" name="Check Box 111" hidden="1">
                <a:extLst>
                  <a:ext uri="{63B3BB69-23CF-44E3-9099-C40C66FF867C}">
                    <a14:compatExt spid="_x0000_s34927"/>
                  </a:ext>
                  <a:ext uri="{FF2B5EF4-FFF2-40B4-BE49-F238E27FC236}">
                    <a16:creationId xmlns:a16="http://schemas.microsoft.com/office/drawing/2014/main" id="{00000000-0008-0000-0300-00006F880000}"/>
                  </a:ext>
                </a:extLst>
              </xdr:cNvPr>
              <xdr:cNvSpPr/>
            </xdr:nvSpPr>
            <xdr:spPr bwMode="auto">
              <a:xfrm>
                <a:off x="12049096" y="15059036"/>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28" name="Check Box 112" hidden="1">
                <a:extLst>
                  <a:ext uri="{63B3BB69-23CF-44E3-9099-C40C66FF867C}">
                    <a14:compatExt spid="_x0000_s34928"/>
                  </a:ext>
                  <a:ext uri="{FF2B5EF4-FFF2-40B4-BE49-F238E27FC236}">
                    <a16:creationId xmlns:a16="http://schemas.microsoft.com/office/drawing/2014/main" id="{00000000-0008-0000-0300-000070880000}"/>
                  </a:ext>
                </a:extLst>
              </xdr:cNvPr>
              <xdr:cNvSpPr/>
            </xdr:nvSpPr>
            <xdr:spPr bwMode="auto">
              <a:xfrm>
                <a:off x="12617271" y="15058979"/>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89</xdr:row>
          <xdr:rowOff>76200</xdr:rowOff>
        </xdr:from>
        <xdr:to>
          <xdr:col>9</xdr:col>
          <xdr:colOff>424815</xdr:colOff>
          <xdr:row>89</xdr:row>
          <xdr:rowOff>167640</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14811375" y="24907875"/>
              <a:ext cx="1234440" cy="91440"/>
              <a:chOff x="12049096" y="14830181"/>
              <a:chExt cx="1188736" cy="137608"/>
            </a:xfrm>
          </xdr:grpSpPr>
          <xdr:sp macro="" textlink="">
            <xdr:nvSpPr>
              <xdr:cNvPr id="34929" name="Check Box 113" hidden="1">
                <a:extLst>
                  <a:ext uri="{63B3BB69-23CF-44E3-9099-C40C66FF867C}">
                    <a14:compatExt spid="_x0000_s34929"/>
                  </a:ext>
                  <a:ext uri="{FF2B5EF4-FFF2-40B4-BE49-F238E27FC236}">
                    <a16:creationId xmlns:a16="http://schemas.microsoft.com/office/drawing/2014/main" id="{00000000-0008-0000-0300-000071880000}"/>
                  </a:ext>
                </a:extLst>
              </xdr:cNvPr>
              <xdr:cNvSpPr/>
            </xdr:nvSpPr>
            <xdr:spPr bwMode="auto">
              <a:xfrm>
                <a:off x="12049096" y="14830630"/>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30" name="Check Box 114" hidden="1">
                <a:extLst>
                  <a:ext uri="{63B3BB69-23CF-44E3-9099-C40C66FF867C}">
                    <a14:compatExt spid="_x0000_s34930"/>
                  </a:ext>
                  <a:ext uri="{FF2B5EF4-FFF2-40B4-BE49-F238E27FC236}">
                    <a16:creationId xmlns:a16="http://schemas.microsoft.com/office/drawing/2014/main" id="{00000000-0008-0000-0300-000072880000}"/>
                  </a:ext>
                </a:extLst>
              </xdr:cNvPr>
              <xdr:cNvSpPr/>
            </xdr:nvSpPr>
            <xdr:spPr bwMode="auto">
              <a:xfrm>
                <a:off x="12617271" y="14830181"/>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2619375</xdr:colOff>
          <xdr:row>5</xdr:row>
          <xdr:rowOff>228600</xdr:rowOff>
        </xdr:from>
        <xdr:to>
          <xdr:col>3</xdr:col>
          <xdr:colOff>3808095</xdr:colOff>
          <xdr:row>5</xdr:row>
          <xdr:rowOff>365760</xdr:rowOff>
        </xdr:to>
        <xdr:grpSp>
          <xdr:nvGrpSpPr>
            <xdr:cNvPr id="68" name="Group 67">
              <a:extLst>
                <a:ext uri="{FF2B5EF4-FFF2-40B4-BE49-F238E27FC236}">
                  <a16:creationId xmlns:a16="http://schemas.microsoft.com/office/drawing/2014/main" id="{00000000-0008-0000-0300-000044000000}"/>
                </a:ext>
              </a:extLst>
            </xdr:cNvPr>
            <xdr:cNvGrpSpPr/>
          </xdr:nvGrpSpPr>
          <xdr:grpSpPr>
            <a:xfrm>
              <a:off x="6429375" y="2124075"/>
              <a:ext cx="1188720" cy="137160"/>
              <a:chOff x="6353169" y="1647629"/>
              <a:chExt cx="1474714" cy="209551"/>
            </a:xfrm>
          </xdr:grpSpPr>
          <xdr:sp macro="" textlink="">
            <xdr:nvSpPr>
              <xdr:cNvPr id="34947" name="Check Box 131" hidden="1">
                <a:extLst>
                  <a:ext uri="{63B3BB69-23CF-44E3-9099-C40C66FF867C}">
                    <a14:compatExt spid="_x0000_s34947"/>
                  </a:ext>
                  <a:ext uri="{FF2B5EF4-FFF2-40B4-BE49-F238E27FC236}">
                    <a16:creationId xmlns:a16="http://schemas.microsoft.com/office/drawing/2014/main" id="{00000000-0008-0000-0300-000083880000}"/>
                  </a:ext>
                </a:extLst>
              </xdr:cNvPr>
              <xdr:cNvSpPr/>
            </xdr:nvSpPr>
            <xdr:spPr bwMode="auto">
              <a:xfrm>
                <a:off x="6353169" y="1647631"/>
                <a:ext cx="684322"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48" name="Check Box 132" hidden="1">
                <a:extLst>
                  <a:ext uri="{63B3BB69-23CF-44E3-9099-C40C66FF867C}">
                    <a14:compatExt spid="_x0000_s34948"/>
                  </a:ext>
                  <a:ext uri="{FF2B5EF4-FFF2-40B4-BE49-F238E27FC236}">
                    <a16:creationId xmlns:a16="http://schemas.microsoft.com/office/drawing/2014/main" id="{00000000-0008-0000-0300-000084880000}"/>
                  </a:ext>
                </a:extLst>
              </xdr:cNvPr>
              <xdr:cNvSpPr/>
            </xdr:nvSpPr>
            <xdr:spPr bwMode="auto">
              <a:xfrm>
                <a:off x="7058018"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36</xdr:row>
          <xdr:rowOff>47625</xdr:rowOff>
        </xdr:from>
        <xdr:to>
          <xdr:col>9</xdr:col>
          <xdr:colOff>350520</xdr:colOff>
          <xdr:row>36</xdr:row>
          <xdr:rowOff>184785</xdr:rowOff>
        </xdr:to>
        <xdr:grpSp>
          <xdr:nvGrpSpPr>
            <xdr:cNvPr id="64" name="Group 63">
              <a:extLst>
                <a:ext uri="{FF2B5EF4-FFF2-40B4-BE49-F238E27FC236}">
                  <a16:creationId xmlns:a16="http://schemas.microsoft.com/office/drawing/2014/main" id="{00000000-0008-0000-0300-000040000000}"/>
                </a:ext>
              </a:extLst>
            </xdr:cNvPr>
            <xdr:cNvGrpSpPr/>
          </xdr:nvGrpSpPr>
          <xdr:grpSpPr>
            <a:xfrm>
              <a:off x="14782800" y="12763500"/>
              <a:ext cx="1188720" cy="137160"/>
              <a:chOff x="6353154" y="1647629"/>
              <a:chExt cx="1474694" cy="209551"/>
            </a:xfrm>
          </xdr:grpSpPr>
          <xdr:sp macro="" textlink="">
            <xdr:nvSpPr>
              <xdr:cNvPr id="34955" name="Check Box 139" hidden="1">
                <a:extLst>
                  <a:ext uri="{63B3BB69-23CF-44E3-9099-C40C66FF867C}">
                    <a14:compatExt spid="_x0000_s34955"/>
                  </a:ext>
                  <a:ext uri="{FF2B5EF4-FFF2-40B4-BE49-F238E27FC236}">
                    <a16:creationId xmlns:a16="http://schemas.microsoft.com/office/drawing/2014/main" id="{00000000-0008-0000-0300-00008B880000}"/>
                  </a:ext>
                </a:extLst>
              </xdr:cNvPr>
              <xdr:cNvSpPr/>
            </xdr:nvSpPr>
            <xdr:spPr bwMode="auto">
              <a:xfrm>
                <a:off x="6353154" y="1647631"/>
                <a:ext cx="684319"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56" name="Check Box 140" hidden="1">
                <a:extLst>
                  <a:ext uri="{63B3BB69-23CF-44E3-9099-C40C66FF867C}">
                    <a14:compatExt spid="_x0000_s34956"/>
                  </a:ext>
                  <a:ext uri="{FF2B5EF4-FFF2-40B4-BE49-F238E27FC236}">
                    <a16:creationId xmlns:a16="http://schemas.microsoft.com/office/drawing/2014/main" id="{00000000-0008-0000-0300-00008C880000}"/>
                  </a:ext>
                </a:extLst>
              </xdr:cNvPr>
              <xdr:cNvSpPr/>
            </xdr:nvSpPr>
            <xdr:spPr bwMode="auto">
              <a:xfrm>
                <a:off x="7057984" y="1647629"/>
                <a:ext cx="769864"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37</xdr:row>
          <xdr:rowOff>47625</xdr:rowOff>
        </xdr:from>
        <xdr:to>
          <xdr:col>9</xdr:col>
          <xdr:colOff>350520</xdr:colOff>
          <xdr:row>37</xdr:row>
          <xdr:rowOff>184785</xdr:rowOff>
        </xdr:to>
        <xdr:grpSp>
          <xdr:nvGrpSpPr>
            <xdr:cNvPr id="67" name="Group 66">
              <a:extLst>
                <a:ext uri="{FF2B5EF4-FFF2-40B4-BE49-F238E27FC236}">
                  <a16:creationId xmlns:a16="http://schemas.microsoft.com/office/drawing/2014/main" id="{00000000-0008-0000-0300-000043000000}"/>
                </a:ext>
              </a:extLst>
            </xdr:cNvPr>
            <xdr:cNvGrpSpPr/>
          </xdr:nvGrpSpPr>
          <xdr:grpSpPr>
            <a:xfrm>
              <a:off x="14782800" y="12992100"/>
              <a:ext cx="1188720" cy="137160"/>
              <a:chOff x="6353154" y="1647629"/>
              <a:chExt cx="1474694" cy="209551"/>
            </a:xfrm>
          </xdr:grpSpPr>
          <xdr:sp macro="" textlink="">
            <xdr:nvSpPr>
              <xdr:cNvPr id="34957" name="Check Box 141" hidden="1">
                <a:extLst>
                  <a:ext uri="{63B3BB69-23CF-44E3-9099-C40C66FF867C}">
                    <a14:compatExt spid="_x0000_s34957"/>
                  </a:ext>
                  <a:ext uri="{FF2B5EF4-FFF2-40B4-BE49-F238E27FC236}">
                    <a16:creationId xmlns:a16="http://schemas.microsoft.com/office/drawing/2014/main" id="{00000000-0008-0000-0300-00008D880000}"/>
                  </a:ext>
                </a:extLst>
              </xdr:cNvPr>
              <xdr:cNvSpPr/>
            </xdr:nvSpPr>
            <xdr:spPr bwMode="auto">
              <a:xfrm>
                <a:off x="6353154" y="1647631"/>
                <a:ext cx="684319"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58" name="Check Box 142" hidden="1">
                <a:extLst>
                  <a:ext uri="{63B3BB69-23CF-44E3-9099-C40C66FF867C}">
                    <a14:compatExt spid="_x0000_s34958"/>
                  </a:ext>
                  <a:ext uri="{FF2B5EF4-FFF2-40B4-BE49-F238E27FC236}">
                    <a16:creationId xmlns:a16="http://schemas.microsoft.com/office/drawing/2014/main" id="{00000000-0008-0000-0300-00008E880000}"/>
                  </a:ext>
                </a:extLst>
              </xdr:cNvPr>
              <xdr:cNvSpPr/>
            </xdr:nvSpPr>
            <xdr:spPr bwMode="auto">
              <a:xfrm>
                <a:off x="7057984" y="1647629"/>
                <a:ext cx="769864"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38</xdr:row>
          <xdr:rowOff>47625</xdr:rowOff>
        </xdr:from>
        <xdr:to>
          <xdr:col>9</xdr:col>
          <xdr:colOff>350520</xdr:colOff>
          <xdr:row>38</xdr:row>
          <xdr:rowOff>184785</xdr:rowOff>
        </xdr:to>
        <xdr:grpSp>
          <xdr:nvGrpSpPr>
            <xdr:cNvPr id="70" name="Group 69">
              <a:extLst>
                <a:ext uri="{FF2B5EF4-FFF2-40B4-BE49-F238E27FC236}">
                  <a16:creationId xmlns:a16="http://schemas.microsoft.com/office/drawing/2014/main" id="{00000000-0008-0000-0300-000046000000}"/>
                </a:ext>
              </a:extLst>
            </xdr:cNvPr>
            <xdr:cNvGrpSpPr/>
          </xdr:nvGrpSpPr>
          <xdr:grpSpPr>
            <a:xfrm>
              <a:off x="14782800" y="13220700"/>
              <a:ext cx="1188720" cy="137160"/>
              <a:chOff x="6353154" y="1647629"/>
              <a:chExt cx="1474694" cy="209551"/>
            </a:xfrm>
          </xdr:grpSpPr>
          <xdr:sp macro="" textlink="">
            <xdr:nvSpPr>
              <xdr:cNvPr id="34959" name="Check Box 143" hidden="1">
                <a:extLst>
                  <a:ext uri="{63B3BB69-23CF-44E3-9099-C40C66FF867C}">
                    <a14:compatExt spid="_x0000_s34959"/>
                  </a:ext>
                  <a:ext uri="{FF2B5EF4-FFF2-40B4-BE49-F238E27FC236}">
                    <a16:creationId xmlns:a16="http://schemas.microsoft.com/office/drawing/2014/main" id="{00000000-0008-0000-0300-00008F880000}"/>
                  </a:ext>
                </a:extLst>
              </xdr:cNvPr>
              <xdr:cNvSpPr/>
            </xdr:nvSpPr>
            <xdr:spPr bwMode="auto">
              <a:xfrm>
                <a:off x="6353154" y="1647631"/>
                <a:ext cx="684319"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60" name="Check Box 144" hidden="1">
                <a:extLst>
                  <a:ext uri="{63B3BB69-23CF-44E3-9099-C40C66FF867C}">
                    <a14:compatExt spid="_x0000_s34960"/>
                  </a:ext>
                  <a:ext uri="{FF2B5EF4-FFF2-40B4-BE49-F238E27FC236}">
                    <a16:creationId xmlns:a16="http://schemas.microsoft.com/office/drawing/2014/main" id="{00000000-0008-0000-0300-000090880000}"/>
                  </a:ext>
                </a:extLst>
              </xdr:cNvPr>
              <xdr:cNvSpPr/>
            </xdr:nvSpPr>
            <xdr:spPr bwMode="auto">
              <a:xfrm>
                <a:off x="7057984" y="1647629"/>
                <a:ext cx="769864"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49</xdr:row>
          <xdr:rowOff>47625</xdr:rowOff>
        </xdr:from>
        <xdr:to>
          <xdr:col>9</xdr:col>
          <xdr:colOff>350520</xdr:colOff>
          <xdr:row>49</xdr:row>
          <xdr:rowOff>184785</xdr:rowOff>
        </xdr:to>
        <xdr:grpSp>
          <xdr:nvGrpSpPr>
            <xdr:cNvPr id="73" name="Group 72">
              <a:extLst>
                <a:ext uri="{FF2B5EF4-FFF2-40B4-BE49-F238E27FC236}">
                  <a16:creationId xmlns:a16="http://schemas.microsoft.com/office/drawing/2014/main" id="{00000000-0008-0000-0300-000049000000}"/>
                </a:ext>
              </a:extLst>
            </xdr:cNvPr>
            <xdr:cNvGrpSpPr/>
          </xdr:nvGrpSpPr>
          <xdr:grpSpPr>
            <a:xfrm>
              <a:off x="14782800" y="15735300"/>
              <a:ext cx="1188720" cy="137160"/>
              <a:chOff x="6353155" y="1647629"/>
              <a:chExt cx="1474724" cy="209551"/>
            </a:xfrm>
          </xdr:grpSpPr>
          <xdr:sp macro="" textlink="">
            <xdr:nvSpPr>
              <xdr:cNvPr id="34967" name="Check Box 151" hidden="1">
                <a:extLst>
                  <a:ext uri="{63B3BB69-23CF-44E3-9099-C40C66FF867C}">
                    <a14:compatExt spid="_x0000_s34967"/>
                  </a:ext>
                  <a:ext uri="{FF2B5EF4-FFF2-40B4-BE49-F238E27FC236}">
                    <a16:creationId xmlns:a16="http://schemas.microsoft.com/office/drawing/2014/main" id="{00000000-0008-0000-0300-000097880000}"/>
                  </a:ext>
                </a:extLst>
              </xdr:cNvPr>
              <xdr:cNvSpPr/>
            </xdr:nvSpPr>
            <xdr:spPr bwMode="auto">
              <a:xfrm>
                <a:off x="6353155" y="1647631"/>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68" name="Check Box 152" hidden="1">
                <a:extLst>
                  <a:ext uri="{63B3BB69-23CF-44E3-9099-C40C66FF867C}">
                    <a14:compatExt spid="_x0000_s34968"/>
                  </a:ext>
                  <a:ext uri="{FF2B5EF4-FFF2-40B4-BE49-F238E27FC236}">
                    <a16:creationId xmlns:a16="http://schemas.microsoft.com/office/drawing/2014/main" id="{00000000-0008-0000-0300-000098880000}"/>
                  </a:ext>
                </a:extLst>
              </xdr:cNvPr>
              <xdr:cNvSpPr/>
            </xdr:nvSpPr>
            <xdr:spPr bwMode="auto">
              <a:xfrm>
                <a:off x="7058014"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50</xdr:row>
          <xdr:rowOff>47625</xdr:rowOff>
        </xdr:from>
        <xdr:to>
          <xdr:col>9</xdr:col>
          <xdr:colOff>350520</xdr:colOff>
          <xdr:row>50</xdr:row>
          <xdr:rowOff>184785</xdr:rowOff>
        </xdr:to>
        <xdr:grpSp>
          <xdr:nvGrpSpPr>
            <xdr:cNvPr id="76" name="Group 75">
              <a:extLst>
                <a:ext uri="{FF2B5EF4-FFF2-40B4-BE49-F238E27FC236}">
                  <a16:creationId xmlns:a16="http://schemas.microsoft.com/office/drawing/2014/main" id="{00000000-0008-0000-0300-00004C000000}"/>
                </a:ext>
              </a:extLst>
            </xdr:cNvPr>
            <xdr:cNvGrpSpPr/>
          </xdr:nvGrpSpPr>
          <xdr:grpSpPr>
            <a:xfrm>
              <a:off x="14782800" y="15963900"/>
              <a:ext cx="1188720" cy="137160"/>
              <a:chOff x="6353155" y="1647629"/>
              <a:chExt cx="1474724" cy="209551"/>
            </a:xfrm>
          </xdr:grpSpPr>
          <xdr:sp macro="" textlink="">
            <xdr:nvSpPr>
              <xdr:cNvPr id="34969" name="Check Box 153" hidden="1">
                <a:extLst>
                  <a:ext uri="{63B3BB69-23CF-44E3-9099-C40C66FF867C}">
                    <a14:compatExt spid="_x0000_s34969"/>
                  </a:ext>
                  <a:ext uri="{FF2B5EF4-FFF2-40B4-BE49-F238E27FC236}">
                    <a16:creationId xmlns:a16="http://schemas.microsoft.com/office/drawing/2014/main" id="{00000000-0008-0000-0300-000099880000}"/>
                  </a:ext>
                </a:extLst>
              </xdr:cNvPr>
              <xdr:cNvSpPr/>
            </xdr:nvSpPr>
            <xdr:spPr bwMode="auto">
              <a:xfrm>
                <a:off x="6353155" y="1647631"/>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70" name="Check Box 154" hidden="1">
                <a:extLst>
                  <a:ext uri="{63B3BB69-23CF-44E3-9099-C40C66FF867C}">
                    <a14:compatExt spid="_x0000_s34970"/>
                  </a:ext>
                  <a:ext uri="{FF2B5EF4-FFF2-40B4-BE49-F238E27FC236}">
                    <a16:creationId xmlns:a16="http://schemas.microsoft.com/office/drawing/2014/main" id="{00000000-0008-0000-0300-00009A880000}"/>
                  </a:ext>
                </a:extLst>
              </xdr:cNvPr>
              <xdr:cNvSpPr/>
            </xdr:nvSpPr>
            <xdr:spPr bwMode="auto">
              <a:xfrm>
                <a:off x="7058014"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51</xdr:row>
          <xdr:rowOff>47625</xdr:rowOff>
        </xdr:from>
        <xdr:to>
          <xdr:col>9</xdr:col>
          <xdr:colOff>350520</xdr:colOff>
          <xdr:row>51</xdr:row>
          <xdr:rowOff>184785</xdr:rowOff>
        </xdr:to>
        <xdr:grpSp>
          <xdr:nvGrpSpPr>
            <xdr:cNvPr id="79" name="Group 78">
              <a:extLst>
                <a:ext uri="{FF2B5EF4-FFF2-40B4-BE49-F238E27FC236}">
                  <a16:creationId xmlns:a16="http://schemas.microsoft.com/office/drawing/2014/main" id="{00000000-0008-0000-0300-00004F000000}"/>
                </a:ext>
              </a:extLst>
            </xdr:cNvPr>
            <xdr:cNvGrpSpPr/>
          </xdr:nvGrpSpPr>
          <xdr:grpSpPr>
            <a:xfrm>
              <a:off x="14782800" y="16192500"/>
              <a:ext cx="1188720" cy="137160"/>
              <a:chOff x="6353155" y="1647629"/>
              <a:chExt cx="1474724" cy="209551"/>
            </a:xfrm>
          </xdr:grpSpPr>
          <xdr:sp macro="" textlink="">
            <xdr:nvSpPr>
              <xdr:cNvPr id="34971" name="Check Box 155" hidden="1">
                <a:extLst>
                  <a:ext uri="{63B3BB69-23CF-44E3-9099-C40C66FF867C}">
                    <a14:compatExt spid="_x0000_s34971"/>
                  </a:ext>
                  <a:ext uri="{FF2B5EF4-FFF2-40B4-BE49-F238E27FC236}">
                    <a16:creationId xmlns:a16="http://schemas.microsoft.com/office/drawing/2014/main" id="{00000000-0008-0000-0300-00009B880000}"/>
                  </a:ext>
                </a:extLst>
              </xdr:cNvPr>
              <xdr:cNvSpPr/>
            </xdr:nvSpPr>
            <xdr:spPr bwMode="auto">
              <a:xfrm>
                <a:off x="6353155" y="1647631"/>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72" name="Check Box 156" hidden="1">
                <a:extLst>
                  <a:ext uri="{63B3BB69-23CF-44E3-9099-C40C66FF867C}">
                    <a14:compatExt spid="_x0000_s34972"/>
                  </a:ext>
                  <a:ext uri="{FF2B5EF4-FFF2-40B4-BE49-F238E27FC236}">
                    <a16:creationId xmlns:a16="http://schemas.microsoft.com/office/drawing/2014/main" id="{00000000-0008-0000-0300-00009C880000}"/>
                  </a:ext>
                </a:extLst>
              </xdr:cNvPr>
              <xdr:cNvSpPr/>
            </xdr:nvSpPr>
            <xdr:spPr bwMode="auto">
              <a:xfrm>
                <a:off x="7058014"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62</xdr:row>
          <xdr:rowOff>47625</xdr:rowOff>
        </xdr:from>
        <xdr:to>
          <xdr:col>9</xdr:col>
          <xdr:colOff>350520</xdr:colOff>
          <xdr:row>62</xdr:row>
          <xdr:rowOff>184785</xdr:rowOff>
        </xdr:to>
        <xdr:grpSp>
          <xdr:nvGrpSpPr>
            <xdr:cNvPr id="82" name="Group 81">
              <a:extLst>
                <a:ext uri="{FF2B5EF4-FFF2-40B4-BE49-F238E27FC236}">
                  <a16:creationId xmlns:a16="http://schemas.microsoft.com/office/drawing/2014/main" id="{00000000-0008-0000-0300-000052000000}"/>
                </a:ext>
              </a:extLst>
            </xdr:cNvPr>
            <xdr:cNvGrpSpPr/>
          </xdr:nvGrpSpPr>
          <xdr:grpSpPr>
            <a:xfrm>
              <a:off x="14782800" y="18707100"/>
              <a:ext cx="1188720" cy="137160"/>
              <a:chOff x="6353155" y="1647629"/>
              <a:chExt cx="1474724" cy="209551"/>
            </a:xfrm>
          </xdr:grpSpPr>
          <xdr:sp macro="" textlink="">
            <xdr:nvSpPr>
              <xdr:cNvPr id="34973" name="Check Box 157" hidden="1">
                <a:extLst>
                  <a:ext uri="{63B3BB69-23CF-44E3-9099-C40C66FF867C}">
                    <a14:compatExt spid="_x0000_s34973"/>
                  </a:ext>
                  <a:ext uri="{FF2B5EF4-FFF2-40B4-BE49-F238E27FC236}">
                    <a16:creationId xmlns:a16="http://schemas.microsoft.com/office/drawing/2014/main" id="{00000000-0008-0000-0300-00009D880000}"/>
                  </a:ext>
                </a:extLst>
              </xdr:cNvPr>
              <xdr:cNvSpPr/>
            </xdr:nvSpPr>
            <xdr:spPr bwMode="auto">
              <a:xfrm>
                <a:off x="6353155" y="1647631"/>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74" name="Check Box 158" hidden="1">
                <a:extLst>
                  <a:ext uri="{63B3BB69-23CF-44E3-9099-C40C66FF867C}">
                    <a14:compatExt spid="_x0000_s34974"/>
                  </a:ext>
                  <a:ext uri="{FF2B5EF4-FFF2-40B4-BE49-F238E27FC236}">
                    <a16:creationId xmlns:a16="http://schemas.microsoft.com/office/drawing/2014/main" id="{00000000-0008-0000-0300-00009E880000}"/>
                  </a:ext>
                </a:extLst>
              </xdr:cNvPr>
              <xdr:cNvSpPr/>
            </xdr:nvSpPr>
            <xdr:spPr bwMode="auto">
              <a:xfrm>
                <a:off x="7058014"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63</xdr:row>
          <xdr:rowOff>47625</xdr:rowOff>
        </xdr:from>
        <xdr:to>
          <xdr:col>9</xdr:col>
          <xdr:colOff>350520</xdr:colOff>
          <xdr:row>63</xdr:row>
          <xdr:rowOff>184785</xdr:rowOff>
        </xdr:to>
        <xdr:grpSp>
          <xdr:nvGrpSpPr>
            <xdr:cNvPr id="85" name="Group 84">
              <a:extLst>
                <a:ext uri="{FF2B5EF4-FFF2-40B4-BE49-F238E27FC236}">
                  <a16:creationId xmlns:a16="http://schemas.microsoft.com/office/drawing/2014/main" id="{00000000-0008-0000-0300-000055000000}"/>
                </a:ext>
              </a:extLst>
            </xdr:cNvPr>
            <xdr:cNvGrpSpPr/>
          </xdr:nvGrpSpPr>
          <xdr:grpSpPr>
            <a:xfrm>
              <a:off x="14782800" y="18935700"/>
              <a:ext cx="1188720" cy="137160"/>
              <a:chOff x="6353155" y="1647629"/>
              <a:chExt cx="1474724" cy="209551"/>
            </a:xfrm>
          </xdr:grpSpPr>
          <xdr:sp macro="" textlink="">
            <xdr:nvSpPr>
              <xdr:cNvPr id="34975" name="Check Box 159" hidden="1">
                <a:extLst>
                  <a:ext uri="{63B3BB69-23CF-44E3-9099-C40C66FF867C}">
                    <a14:compatExt spid="_x0000_s34975"/>
                  </a:ext>
                  <a:ext uri="{FF2B5EF4-FFF2-40B4-BE49-F238E27FC236}">
                    <a16:creationId xmlns:a16="http://schemas.microsoft.com/office/drawing/2014/main" id="{00000000-0008-0000-0300-00009F880000}"/>
                  </a:ext>
                </a:extLst>
              </xdr:cNvPr>
              <xdr:cNvSpPr/>
            </xdr:nvSpPr>
            <xdr:spPr bwMode="auto">
              <a:xfrm>
                <a:off x="6353155" y="1647631"/>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76" name="Check Box 160" hidden="1">
                <a:extLst>
                  <a:ext uri="{63B3BB69-23CF-44E3-9099-C40C66FF867C}">
                    <a14:compatExt spid="_x0000_s34976"/>
                  </a:ext>
                  <a:ext uri="{FF2B5EF4-FFF2-40B4-BE49-F238E27FC236}">
                    <a16:creationId xmlns:a16="http://schemas.microsoft.com/office/drawing/2014/main" id="{00000000-0008-0000-0300-0000A0880000}"/>
                  </a:ext>
                </a:extLst>
              </xdr:cNvPr>
              <xdr:cNvSpPr/>
            </xdr:nvSpPr>
            <xdr:spPr bwMode="auto">
              <a:xfrm>
                <a:off x="7058014"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381000</xdr:colOff>
          <xdr:row>64</xdr:row>
          <xdr:rowOff>47625</xdr:rowOff>
        </xdr:from>
        <xdr:to>
          <xdr:col>9</xdr:col>
          <xdr:colOff>350520</xdr:colOff>
          <xdr:row>64</xdr:row>
          <xdr:rowOff>184785</xdr:rowOff>
        </xdr:to>
        <xdr:grpSp>
          <xdr:nvGrpSpPr>
            <xdr:cNvPr id="88" name="Group 87">
              <a:extLst>
                <a:ext uri="{FF2B5EF4-FFF2-40B4-BE49-F238E27FC236}">
                  <a16:creationId xmlns:a16="http://schemas.microsoft.com/office/drawing/2014/main" id="{00000000-0008-0000-0300-000058000000}"/>
                </a:ext>
              </a:extLst>
            </xdr:cNvPr>
            <xdr:cNvGrpSpPr/>
          </xdr:nvGrpSpPr>
          <xdr:grpSpPr>
            <a:xfrm>
              <a:off x="14782800" y="19164300"/>
              <a:ext cx="1188720" cy="137160"/>
              <a:chOff x="6353155" y="1647629"/>
              <a:chExt cx="1474724" cy="209551"/>
            </a:xfrm>
          </xdr:grpSpPr>
          <xdr:sp macro="" textlink="">
            <xdr:nvSpPr>
              <xdr:cNvPr id="34977" name="Check Box 161" hidden="1">
                <a:extLst>
                  <a:ext uri="{63B3BB69-23CF-44E3-9099-C40C66FF867C}">
                    <a14:compatExt spid="_x0000_s34977"/>
                  </a:ext>
                  <a:ext uri="{FF2B5EF4-FFF2-40B4-BE49-F238E27FC236}">
                    <a16:creationId xmlns:a16="http://schemas.microsoft.com/office/drawing/2014/main" id="{00000000-0008-0000-0300-0000A1880000}"/>
                  </a:ext>
                </a:extLst>
              </xdr:cNvPr>
              <xdr:cNvSpPr/>
            </xdr:nvSpPr>
            <xdr:spPr bwMode="auto">
              <a:xfrm>
                <a:off x="6353155" y="1647631"/>
                <a:ext cx="684318"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78" name="Check Box 162" hidden="1">
                <a:extLst>
                  <a:ext uri="{63B3BB69-23CF-44E3-9099-C40C66FF867C}">
                    <a14:compatExt spid="_x0000_s34978"/>
                  </a:ext>
                  <a:ext uri="{FF2B5EF4-FFF2-40B4-BE49-F238E27FC236}">
                    <a16:creationId xmlns:a16="http://schemas.microsoft.com/office/drawing/2014/main" id="{00000000-0008-0000-0300-0000A2880000}"/>
                  </a:ext>
                </a:extLst>
              </xdr:cNvPr>
              <xdr:cNvSpPr/>
            </xdr:nvSpPr>
            <xdr:spPr bwMode="auto">
              <a:xfrm>
                <a:off x="7058014"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95</xdr:row>
          <xdr:rowOff>66675</xdr:rowOff>
        </xdr:from>
        <xdr:to>
          <xdr:col>9</xdr:col>
          <xdr:colOff>424815</xdr:colOff>
          <xdr:row>95</xdr:row>
          <xdr:rowOff>158115</xdr:rowOff>
        </xdr:to>
        <xdr:grpSp>
          <xdr:nvGrpSpPr>
            <xdr:cNvPr id="98" name="Group 97">
              <a:extLst>
                <a:ext uri="{FF2B5EF4-FFF2-40B4-BE49-F238E27FC236}">
                  <a16:creationId xmlns:a16="http://schemas.microsoft.com/office/drawing/2014/main" id="{00000000-0008-0000-0300-000062000000}"/>
                </a:ext>
              </a:extLst>
            </xdr:cNvPr>
            <xdr:cNvGrpSpPr/>
          </xdr:nvGrpSpPr>
          <xdr:grpSpPr>
            <a:xfrm>
              <a:off x="14811375" y="26269950"/>
              <a:ext cx="1234440" cy="91440"/>
              <a:chOff x="12049122" y="13915764"/>
              <a:chExt cx="1188732" cy="137171"/>
            </a:xfrm>
          </xdr:grpSpPr>
          <xdr:sp macro="" textlink="">
            <xdr:nvSpPr>
              <xdr:cNvPr id="34984" name="Check Box 168" hidden="1">
                <a:extLst>
                  <a:ext uri="{63B3BB69-23CF-44E3-9099-C40C66FF867C}">
                    <a14:compatExt spid="_x0000_s34984"/>
                  </a:ext>
                  <a:ext uri="{FF2B5EF4-FFF2-40B4-BE49-F238E27FC236}">
                    <a16:creationId xmlns:a16="http://schemas.microsoft.com/office/drawing/2014/main" id="{00000000-0008-0000-0300-0000A8880000}"/>
                  </a:ext>
                </a:extLst>
              </xdr:cNvPr>
              <xdr:cNvSpPr/>
            </xdr:nvSpPr>
            <xdr:spPr bwMode="auto">
              <a:xfrm>
                <a:off x="12049122" y="13915764"/>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85" name="Check Box 169" hidden="1">
                <a:extLst>
                  <a:ext uri="{63B3BB69-23CF-44E3-9099-C40C66FF867C}">
                    <a14:compatExt spid="_x0000_s34985"/>
                  </a:ext>
                  <a:ext uri="{FF2B5EF4-FFF2-40B4-BE49-F238E27FC236}">
                    <a16:creationId xmlns:a16="http://schemas.microsoft.com/office/drawing/2014/main" id="{00000000-0008-0000-0300-0000A9880000}"/>
                  </a:ext>
                </a:extLst>
              </xdr:cNvPr>
              <xdr:cNvSpPr/>
            </xdr:nvSpPr>
            <xdr:spPr bwMode="auto">
              <a:xfrm>
                <a:off x="12617293" y="13915776"/>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97</xdr:row>
          <xdr:rowOff>66675</xdr:rowOff>
        </xdr:from>
        <xdr:to>
          <xdr:col>9</xdr:col>
          <xdr:colOff>424815</xdr:colOff>
          <xdr:row>97</xdr:row>
          <xdr:rowOff>158115</xdr:rowOff>
        </xdr:to>
        <xdr:grpSp>
          <xdr:nvGrpSpPr>
            <xdr:cNvPr id="101" name="Group 100">
              <a:extLst>
                <a:ext uri="{FF2B5EF4-FFF2-40B4-BE49-F238E27FC236}">
                  <a16:creationId xmlns:a16="http://schemas.microsoft.com/office/drawing/2014/main" id="{00000000-0008-0000-0300-000065000000}"/>
                </a:ext>
              </a:extLst>
            </xdr:cNvPr>
            <xdr:cNvGrpSpPr/>
          </xdr:nvGrpSpPr>
          <xdr:grpSpPr>
            <a:xfrm>
              <a:off x="14811375" y="26727150"/>
              <a:ext cx="1234440" cy="91440"/>
              <a:chOff x="12049122" y="13915764"/>
              <a:chExt cx="1188732" cy="137171"/>
            </a:xfrm>
          </xdr:grpSpPr>
          <xdr:sp macro="" textlink="">
            <xdr:nvSpPr>
              <xdr:cNvPr id="34986" name="Check Box 170" hidden="1">
                <a:extLst>
                  <a:ext uri="{63B3BB69-23CF-44E3-9099-C40C66FF867C}">
                    <a14:compatExt spid="_x0000_s34986"/>
                  </a:ext>
                  <a:ext uri="{FF2B5EF4-FFF2-40B4-BE49-F238E27FC236}">
                    <a16:creationId xmlns:a16="http://schemas.microsoft.com/office/drawing/2014/main" id="{00000000-0008-0000-0300-0000AA880000}"/>
                  </a:ext>
                </a:extLst>
              </xdr:cNvPr>
              <xdr:cNvSpPr/>
            </xdr:nvSpPr>
            <xdr:spPr bwMode="auto">
              <a:xfrm>
                <a:off x="12049122" y="13915764"/>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87" name="Check Box 171" hidden="1">
                <a:extLst>
                  <a:ext uri="{63B3BB69-23CF-44E3-9099-C40C66FF867C}">
                    <a14:compatExt spid="_x0000_s34987"/>
                  </a:ext>
                  <a:ext uri="{FF2B5EF4-FFF2-40B4-BE49-F238E27FC236}">
                    <a16:creationId xmlns:a16="http://schemas.microsoft.com/office/drawing/2014/main" id="{00000000-0008-0000-0300-0000AB880000}"/>
                  </a:ext>
                </a:extLst>
              </xdr:cNvPr>
              <xdr:cNvSpPr/>
            </xdr:nvSpPr>
            <xdr:spPr bwMode="auto">
              <a:xfrm>
                <a:off x="12617293" y="13915776"/>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100</xdr:row>
          <xdr:rowOff>95250</xdr:rowOff>
        </xdr:from>
        <xdr:to>
          <xdr:col>9</xdr:col>
          <xdr:colOff>424815</xdr:colOff>
          <xdr:row>100</xdr:row>
          <xdr:rowOff>186690</xdr:rowOff>
        </xdr:to>
        <xdr:grpSp>
          <xdr:nvGrpSpPr>
            <xdr:cNvPr id="104" name="Group 103">
              <a:extLst>
                <a:ext uri="{FF2B5EF4-FFF2-40B4-BE49-F238E27FC236}">
                  <a16:creationId xmlns:a16="http://schemas.microsoft.com/office/drawing/2014/main" id="{00000000-0008-0000-0300-000068000000}"/>
                </a:ext>
              </a:extLst>
            </xdr:cNvPr>
            <xdr:cNvGrpSpPr/>
          </xdr:nvGrpSpPr>
          <xdr:grpSpPr>
            <a:xfrm>
              <a:off x="14811375" y="27441525"/>
              <a:ext cx="1234440" cy="91440"/>
              <a:chOff x="12049122" y="13915774"/>
              <a:chExt cx="1188732" cy="137159"/>
            </a:xfrm>
          </xdr:grpSpPr>
          <xdr:sp macro="" textlink="">
            <xdr:nvSpPr>
              <xdr:cNvPr id="34988" name="Check Box 172" hidden="1">
                <a:extLst>
                  <a:ext uri="{63B3BB69-23CF-44E3-9099-C40C66FF867C}">
                    <a14:compatExt spid="_x0000_s34988"/>
                  </a:ext>
                  <a:ext uri="{FF2B5EF4-FFF2-40B4-BE49-F238E27FC236}">
                    <a16:creationId xmlns:a16="http://schemas.microsoft.com/office/drawing/2014/main" id="{00000000-0008-0000-0300-0000AC880000}"/>
                  </a:ext>
                </a:extLst>
              </xdr:cNvPr>
              <xdr:cNvSpPr/>
            </xdr:nvSpPr>
            <xdr:spPr bwMode="auto">
              <a:xfrm>
                <a:off x="12049122" y="13915774"/>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89" name="Check Box 173" hidden="1">
                <a:extLst>
                  <a:ext uri="{63B3BB69-23CF-44E3-9099-C40C66FF867C}">
                    <a14:compatExt spid="_x0000_s34989"/>
                  </a:ext>
                  <a:ext uri="{FF2B5EF4-FFF2-40B4-BE49-F238E27FC236}">
                    <a16:creationId xmlns:a16="http://schemas.microsoft.com/office/drawing/2014/main" id="{00000000-0008-0000-0300-0000AD880000}"/>
                  </a:ext>
                </a:extLst>
              </xdr:cNvPr>
              <xdr:cNvSpPr/>
            </xdr:nvSpPr>
            <xdr:spPr bwMode="auto">
              <a:xfrm>
                <a:off x="12617293" y="13915774"/>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409575</xdr:colOff>
          <xdr:row>101</xdr:row>
          <xdr:rowOff>66675</xdr:rowOff>
        </xdr:from>
        <xdr:to>
          <xdr:col>9</xdr:col>
          <xdr:colOff>424815</xdr:colOff>
          <xdr:row>101</xdr:row>
          <xdr:rowOff>158115</xdr:rowOff>
        </xdr:to>
        <xdr:grpSp>
          <xdr:nvGrpSpPr>
            <xdr:cNvPr id="107" name="Group 106">
              <a:extLst>
                <a:ext uri="{FF2B5EF4-FFF2-40B4-BE49-F238E27FC236}">
                  <a16:creationId xmlns:a16="http://schemas.microsoft.com/office/drawing/2014/main" id="{00000000-0008-0000-0300-00006B000000}"/>
                </a:ext>
              </a:extLst>
            </xdr:cNvPr>
            <xdr:cNvGrpSpPr/>
          </xdr:nvGrpSpPr>
          <xdr:grpSpPr>
            <a:xfrm>
              <a:off x="14811375" y="27641550"/>
              <a:ext cx="1234440" cy="91440"/>
              <a:chOff x="12049122" y="13915764"/>
              <a:chExt cx="1188732" cy="137171"/>
            </a:xfrm>
          </xdr:grpSpPr>
          <xdr:sp macro="" textlink="">
            <xdr:nvSpPr>
              <xdr:cNvPr id="34990" name="Check Box 174" hidden="1">
                <a:extLst>
                  <a:ext uri="{63B3BB69-23CF-44E3-9099-C40C66FF867C}">
                    <a14:compatExt spid="_x0000_s34990"/>
                  </a:ext>
                  <a:ext uri="{FF2B5EF4-FFF2-40B4-BE49-F238E27FC236}">
                    <a16:creationId xmlns:a16="http://schemas.microsoft.com/office/drawing/2014/main" id="{00000000-0008-0000-0300-0000AE880000}"/>
                  </a:ext>
                </a:extLst>
              </xdr:cNvPr>
              <xdr:cNvSpPr/>
            </xdr:nvSpPr>
            <xdr:spPr bwMode="auto">
              <a:xfrm>
                <a:off x="12049122" y="13915764"/>
                <a:ext cx="551605"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91" name="Check Box 175" hidden="1">
                <a:extLst>
                  <a:ext uri="{63B3BB69-23CF-44E3-9099-C40C66FF867C}">
                    <a14:compatExt spid="_x0000_s34991"/>
                  </a:ext>
                  <a:ext uri="{FF2B5EF4-FFF2-40B4-BE49-F238E27FC236}">
                    <a16:creationId xmlns:a16="http://schemas.microsoft.com/office/drawing/2014/main" id="{00000000-0008-0000-0300-0000AF880000}"/>
                  </a:ext>
                </a:extLst>
              </xdr:cNvPr>
              <xdr:cNvSpPr/>
            </xdr:nvSpPr>
            <xdr:spPr bwMode="auto">
              <a:xfrm>
                <a:off x="12617293" y="13915776"/>
                <a:ext cx="620561" cy="1371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2619375</xdr:colOff>
          <xdr:row>3</xdr:row>
          <xdr:rowOff>247650</xdr:rowOff>
        </xdr:from>
        <xdr:to>
          <xdr:col>3</xdr:col>
          <xdr:colOff>3808095</xdr:colOff>
          <xdr:row>3</xdr:row>
          <xdr:rowOff>384810</xdr:rowOff>
        </xdr:to>
        <xdr:grpSp>
          <xdr:nvGrpSpPr>
            <xdr:cNvPr id="110" name="Group 109">
              <a:extLst>
                <a:ext uri="{FF2B5EF4-FFF2-40B4-BE49-F238E27FC236}">
                  <a16:creationId xmlns:a16="http://schemas.microsoft.com/office/drawing/2014/main" id="{00000000-0008-0000-0300-00006E000000}"/>
                </a:ext>
              </a:extLst>
            </xdr:cNvPr>
            <xdr:cNvGrpSpPr/>
          </xdr:nvGrpSpPr>
          <xdr:grpSpPr>
            <a:xfrm>
              <a:off x="6429375" y="1304925"/>
              <a:ext cx="1188720" cy="137160"/>
              <a:chOff x="6353169" y="1647629"/>
              <a:chExt cx="1474714" cy="209551"/>
            </a:xfrm>
          </xdr:grpSpPr>
          <xdr:sp macro="" textlink="">
            <xdr:nvSpPr>
              <xdr:cNvPr id="34997" name="Check Box 181" hidden="1">
                <a:extLst>
                  <a:ext uri="{63B3BB69-23CF-44E3-9099-C40C66FF867C}">
                    <a14:compatExt spid="_x0000_s34997"/>
                  </a:ext>
                  <a:ext uri="{FF2B5EF4-FFF2-40B4-BE49-F238E27FC236}">
                    <a16:creationId xmlns:a16="http://schemas.microsoft.com/office/drawing/2014/main" id="{00000000-0008-0000-0300-0000B5880000}"/>
                  </a:ext>
                </a:extLst>
              </xdr:cNvPr>
              <xdr:cNvSpPr/>
            </xdr:nvSpPr>
            <xdr:spPr bwMode="auto">
              <a:xfrm>
                <a:off x="6353169" y="1647631"/>
                <a:ext cx="684322"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98" name="Check Box 182" hidden="1">
                <a:extLst>
                  <a:ext uri="{63B3BB69-23CF-44E3-9099-C40C66FF867C}">
                    <a14:compatExt spid="_x0000_s34998"/>
                  </a:ext>
                  <a:ext uri="{FF2B5EF4-FFF2-40B4-BE49-F238E27FC236}">
                    <a16:creationId xmlns:a16="http://schemas.microsoft.com/office/drawing/2014/main" id="{00000000-0008-0000-0300-0000B6880000}"/>
                  </a:ext>
                </a:extLst>
              </xdr:cNvPr>
              <xdr:cNvSpPr/>
            </xdr:nvSpPr>
            <xdr:spPr bwMode="auto">
              <a:xfrm>
                <a:off x="7058018" y="1647629"/>
                <a:ext cx="769865"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editAs="oneCell">
    <xdr:from>
      <xdr:col>0</xdr:col>
      <xdr:colOff>9525</xdr:colOff>
      <xdr:row>23</xdr:row>
      <xdr:rowOff>19050</xdr:rowOff>
    </xdr:from>
    <xdr:to>
      <xdr:col>0</xdr:col>
      <xdr:colOff>781050</xdr:colOff>
      <xdr:row>23</xdr:row>
      <xdr:rowOff>742559</xdr:rowOff>
    </xdr:to>
    <xdr:pic>
      <xdr:nvPicPr>
        <xdr:cNvPr id="3" name="Picture 2" descr="Graphical user interface, text&#10;&#10;Description automatically generated with medium confidenc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9525" y="8963025"/>
          <a:ext cx="771525" cy="72350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85025</xdr:colOff>
      <xdr:row>31</xdr:row>
      <xdr:rowOff>0</xdr:rowOff>
    </xdr:from>
    <xdr:to>
      <xdr:col>11</xdr:col>
      <xdr:colOff>754855</xdr:colOff>
      <xdr:row>31</xdr:row>
      <xdr:rowOff>704850</xdr:rowOff>
    </xdr:to>
    <xdr:grpSp>
      <xdr:nvGrpSpPr>
        <xdr:cNvPr id="12" name="Group 11">
          <a:extLst>
            <a:ext uri="{FF2B5EF4-FFF2-40B4-BE49-F238E27FC236}">
              <a16:creationId xmlns:a16="http://schemas.microsoft.com/office/drawing/2014/main" id="{00000000-0008-0000-0400-00000C000000}"/>
            </a:ext>
          </a:extLst>
        </xdr:cNvPr>
        <xdr:cNvGrpSpPr/>
      </xdr:nvGrpSpPr>
      <xdr:grpSpPr>
        <a:xfrm>
          <a:off x="780350" y="9639300"/>
          <a:ext cx="10756805" cy="704850"/>
          <a:chOff x="780350" y="0"/>
          <a:chExt cx="10756805" cy="704850"/>
        </a:xfrm>
      </xdr:grpSpPr>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780350" y="0"/>
            <a:ext cx="1075680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15" name="Elbow Connector 14">
            <a:extLst>
              <a:ext uri="{FF2B5EF4-FFF2-40B4-BE49-F238E27FC236}">
                <a16:creationId xmlns:a16="http://schemas.microsoft.com/office/drawing/2014/main" id="{00000000-0008-0000-0400-00000F000000}"/>
              </a:ext>
            </a:extLst>
          </xdr:cNvPr>
          <xdr:cNvCxnSpPr/>
        </xdr:nvCxnSpPr>
        <xdr:spPr>
          <a:xfrm flipV="1">
            <a:off x="806522" y="16669"/>
            <a:ext cx="1072591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6" name="Elbow Connector 15">
            <a:extLst>
              <a:ext uri="{FF2B5EF4-FFF2-40B4-BE49-F238E27FC236}">
                <a16:creationId xmlns:a16="http://schemas.microsoft.com/office/drawing/2014/main" id="{00000000-0008-0000-0400-000010000000}"/>
              </a:ext>
            </a:extLst>
          </xdr:cNvPr>
          <xdr:cNvCxnSpPr/>
        </xdr:nvCxnSpPr>
        <xdr:spPr>
          <a:xfrm flipV="1">
            <a:off x="882654" y="92871"/>
            <a:ext cx="10579608"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31</xdr:row>
      <xdr:rowOff>19050</xdr:rowOff>
    </xdr:from>
    <xdr:to>
      <xdr:col>1</xdr:col>
      <xdr:colOff>95250</xdr:colOff>
      <xdr:row>31</xdr:row>
      <xdr:rowOff>742559</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9658350"/>
          <a:ext cx="771525" cy="72350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780351</xdr:colOff>
      <xdr:row>8</xdr:row>
      <xdr:rowOff>0</xdr:rowOff>
    </xdr:from>
    <xdr:to>
      <xdr:col>1</xdr:col>
      <xdr:colOff>4927473</xdr:colOff>
      <xdr:row>8</xdr:row>
      <xdr:rowOff>704850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780351" y="2390775"/>
          <a:ext cx="6461697" cy="704850"/>
          <a:chOff x="800100" y="19050"/>
          <a:chExt cx="6467475" cy="704850"/>
        </a:xfrm>
      </xdr:grpSpPr>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6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6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8</xdr:row>
      <xdr:rowOff>19050</xdr:rowOff>
    </xdr:from>
    <xdr:to>
      <xdr:col>0</xdr:col>
      <xdr:colOff>790575</xdr:colOff>
      <xdr:row>8</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409825"/>
          <a:ext cx="771525" cy="723509"/>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782322</xdr:colOff>
      <xdr:row>3</xdr:row>
      <xdr:rowOff>247649</xdr:rowOff>
    </xdr:from>
    <xdr:to>
      <xdr:col>4</xdr:col>
      <xdr:colOff>1535811</xdr:colOff>
      <xdr:row>4</xdr:row>
      <xdr:rowOff>730561</xdr:rowOff>
    </xdr:to>
    <xdr:grpSp>
      <xdr:nvGrpSpPr>
        <xdr:cNvPr id="27" name="Group 26">
          <a:extLst>
            <a:ext uri="{FF2B5EF4-FFF2-40B4-BE49-F238E27FC236}">
              <a16:creationId xmlns:a16="http://schemas.microsoft.com/office/drawing/2014/main" id="{00000000-0008-0000-0700-00001B000000}"/>
            </a:ext>
          </a:extLst>
        </xdr:cNvPr>
        <xdr:cNvGrpSpPr/>
      </xdr:nvGrpSpPr>
      <xdr:grpSpPr>
        <a:xfrm>
          <a:off x="782322" y="1590674"/>
          <a:ext cx="6478014" cy="730562"/>
          <a:chOff x="800100" y="19050"/>
          <a:chExt cx="6467475" cy="704850"/>
        </a:xfrm>
      </xdr:grpSpPr>
      <xdr:sp macro="" textlink="">
        <xdr:nvSpPr>
          <xdr:cNvPr id="29" name="TextBox 28">
            <a:extLst>
              <a:ext uri="{FF2B5EF4-FFF2-40B4-BE49-F238E27FC236}">
                <a16:creationId xmlns:a16="http://schemas.microsoft.com/office/drawing/2014/main" id="{00000000-0008-0000-0700-00001D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30" name="Elbow Connector 29">
            <a:extLst>
              <a:ext uri="{FF2B5EF4-FFF2-40B4-BE49-F238E27FC236}">
                <a16:creationId xmlns:a16="http://schemas.microsoft.com/office/drawing/2014/main" id="{00000000-0008-0000-0700-00001E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31" name="Elbow Connector 30">
            <a:extLst>
              <a:ext uri="{FF2B5EF4-FFF2-40B4-BE49-F238E27FC236}">
                <a16:creationId xmlns:a16="http://schemas.microsoft.com/office/drawing/2014/main" id="{00000000-0008-0000-0700-00001F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4</xdr:row>
      <xdr:rowOff>19050</xdr:rowOff>
    </xdr:from>
    <xdr:to>
      <xdr:col>0</xdr:col>
      <xdr:colOff>790575</xdr:colOff>
      <xdr:row>4</xdr:row>
      <xdr:rowOff>742559</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609725"/>
          <a:ext cx="771525" cy="723509"/>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822103</xdr:colOff>
      <xdr:row>5</xdr:row>
      <xdr:rowOff>0</xdr:rowOff>
    </xdr:from>
    <xdr:to>
      <xdr:col>6</xdr:col>
      <xdr:colOff>1066800</xdr:colOff>
      <xdr:row>5</xdr:row>
      <xdr:rowOff>704850</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822103" y="2028825"/>
          <a:ext cx="6807422" cy="704850"/>
          <a:chOff x="800100" y="19050"/>
          <a:chExt cx="6467475" cy="704850"/>
        </a:xfrm>
      </xdr:grpSpPr>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8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8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5</xdr:row>
      <xdr:rowOff>19050</xdr:rowOff>
    </xdr:from>
    <xdr:to>
      <xdr:col>0</xdr:col>
      <xdr:colOff>790575</xdr:colOff>
      <xdr:row>5</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47875"/>
          <a:ext cx="771525" cy="723509"/>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114300</xdr:colOff>
      <xdr:row>72</xdr:row>
      <xdr:rowOff>0</xdr:rowOff>
    </xdr:from>
    <xdr:to>
      <xdr:col>14</xdr:col>
      <xdr:colOff>687706</xdr:colOff>
      <xdr:row>72</xdr:row>
      <xdr:rowOff>704850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781050" y="22698075"/>
          <a:ext cx="11060431" cy="704850"/>
          <a:chOff x="732498" y="12534900"/>
          <a:chExt cx="10726077" cy="704850"/>
        </a:xfrm>
      </xdr:grpSpPr>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a:t>
            </a:r>
            <a:r>
              <a:rPr lang="en-US" sz="1100" b="1" baseline="0">
                <a:solidFill>
                  <a:schemeClr val="dk1"/>
                </a:solidFill>
                <a:effectLst/>
                <a:latin typeface="+mn-lt"/>
                <a:ea typeface="+mn-ea"/>
                <a:cs typeface="+mn-cs"/>
              </a:rPr>
              <a:t>Asphalt Plant &amp; Reclaim</a:t>
            </a:r>
            <a:endParaRPr lang="en-US" sz="1100" b="1" baseline="0"/>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9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9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28</xdr:col>
          <xdr:colOff>38100</xdr:colOff>
          <xdr:row>146</xdr:row>
          <xdr:rowOff>104775</xdr:rowOff>
        </xdr:from>
        <xdr:to>
          <xdr:col>30</xdr:col>
          <xdr:colOff>390525</xdr:colOff>
          <xdr:row>147</xdr:row>
          <xdr:rowOff>190500</xdr:rowOff>
        </xdr:to>
        <xdr:sp macro="" textlink="">
          <xdr:nvSpPr>
            <xdr:cNvPr id="39943" name="Object 7" hidden="1">
              <a:extLst>
                <a:ext uri="{63B3BB69-23CF-44E3-9099-C40C66FF867C}">
                  <a14:compatExt spid="_x0000_s39943"/>
                </a:ext>
                <a:ext uri="{FF2B5EF4-FFF2-40B4-BE49-F238E27FC236}">
                  <a16:creationId xmlns:a16="http://schemas.microsoft.com/office/drawing/2014/main" id="{00000000-0008-0000-0900-0000079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155</xdr:row>
          <xdr:rowOff>0</xdr:rowOff>
        </xdr:from>
        <xdr:to>
          <xdr:col>30</xdr:col>
          <xdr:colOff>390525</xdr:colOff>
          <xdr:row>157</xdr:row>
          <xdr:rowOff>28575</xdr:rowOff>
        </xdr:to>
        <xdr:sp macro="" textlink="">
          <xdr:nvSpPr>
            <xdr:cNvPr id="39944" name="Object 8" hidden="1">
              <a:extLst>
                <a:ext uri="{63B3BB69-23CF-44E3-9099-C40C66FF867C}">
                  <a14:compatExt spid="_x0000_s39944"/>
                </a:ext>
                <a:ext uri="{FF2B5EF4-FFF2-40B4-BE49-F238E27FC236}">
                  <a16:creationId xmlns:a16="http://schemas.microsoft.com/office/drawing/2014/main" id="{00000000-0008-0000-0900-0000089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19050</xdr:colOff>
      <xdr:row>72</xdr:row>
      <xdr:rowOff>19050</xdr:rowOff>
    </xdr:from>
    <xdr:to>
      <xdr:col>1</xdr:col>
      <xdr:colOff>123825</xdr:colOff>
      <xdr:row>72</xdr:row>
      <xdr:rowOff>742559</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717125"/>
          <a:ext cx="771525" cy="723509"/>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image" Target="../media/image4.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oleObject" Target="../embeddings/oleObject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image" Target="../media/image4.emf"/><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oleObject" Target="../embeddings/oleObject4.bin"/><Relationship Id="rId5" Type="http://schemas.openxmlformats.org/officeDocument/2006/relationships/image" Target="../media/image3.emf"/><Relationship Id="rId4" Type="http://schemas.openxmlformats.org/officeDocument/2006/relationships/oleObject" Target="../embeddings/oleObject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43.xml"/><Relationship Id="rId13" Type="http://schemas.openxmlformats.org/officeDocument/2006/relationships/ctrlProp" Target="../ctrlProps/ctrlProp148.xml"/><Relationship Id="rId3" Type="http://schemas.openxmlformats.org/officeDocument/2006/relationships/vmlDrawing" Target="../drawings/vmlDrawing7.vml"/><Relationship Id="rId7" Type="http://schemas.openxmlformats.org/officeDocument/2006/relationships/ctrlProp" Target="../ctrlProps/ctrlProp142.xml"/><Relationship Id="rId12" Type="http://schemas.openxmlformats.org/officeDocument/2006/relationships/ctrlProp" Target="../ctrlProps/ctrlProp147.xml"/><Relationship Id="rId2" Type="http://schemas.openxmlformats.org/officeDocument/2006/relationships/drawing" Target="../drawings/drawing14.xml"/><Relationship Id="rId1" Type="http://schemas.openxmlformats.org/officeDocument/2006/relationships/printerSettings" Target="../printerSettings/printerSettings15.bin"/><Relationship Id="rId6" Type="http://schemas.openxmlformats.org/officeDocument/2006/relationships/ctrlProp" Target="../ctrlProps/ctrlProp141.xml"/><Relationship Id="rId11" Type="http://schemas.openxmlformats.org/officeDocument/2006/relationships/ctrlProp" Target="../ctrlProps/ctrlProp146.xml"/><Relationship Id="rId5" Type="http://schemas.openxmlformats.org/officeDocument/2006/relationships/ctrlProp" Target="../ctrlProps/ctrlProp140.xml"/><Relationship Id="rId15" Type="http://schemas.openxmlformats.org/officeDocument/2006/relationships/ctrlProp" Target="../ctrlProps/ctrlProp150.xml"/><Relationship Id="rId10" Type="http://schemas.openxmlformats.org/officeDocument/2006/relationships/ctrlProp" Target="../ctrlProps/ctrlProp145.xml"/><Relationship Id="rId4" Type="http://schemas.openxmlformats.org/officeDocument/2006/relationships/ctrlProp" Target="../ctrlProps/ctrlProp139.xml"/><Relationship Id="rId9" Type="http://schemas.openxmlformats.org/officeDocument/2006/relationships/ctrlProp" Target="../ctrlProps/ctrlProp144.xml"/><Relationship Id="rId14" Type="http://schemas.openxmlformats.org/officeDocument/2006/relationships/ctrlProp" Target="../ctrlProps/ctrlProp14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154.xml"/><Relationship Id="rId2" Type="http://schemas.openxmlformats.org/officeDocument/2006/relationships/drawing" Target="../drawings/drawing16.xml"/><Relationship Id="rId1" Type="http://schemas.openxmlformats.org/officeDocument/2006/relationships/printerSettings" Target="../printerSettings/printerSettings17.bin"/><Relationship Id="rId6" Type="http://schemas.openxmlformats.org/officeDocument/2006/relationships/ctrlProp" Target="../ctrlProps/ctrlProp153.xml"/><Relationship Id="rId5" Type="http://schemas.openxmlformats.org/officeDocument/2006/relationships/ctrlProp" Target="../ctrlProps/ctrlProp152.xml"/><Relationship Id="rId4" Type="http://schemas.openxmlformats.org/officeDocument/2006/relationships/ctrlProp" Target="../ctrlProps/ctrlProp15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image" Target="../media/image4.emf"/><Relationship Id="rId2" Type="http://schemas.openxmlformats.org/officeDocument/2006/relationships/drawing" Target="../drawings/drawing17.xml"/><Relationship Id="rId1" Type="http://schemas.openxmlformats.org/officeDocument/2006/relationships/printerSettings" Target="../printerSettings/printerSettings18.bin"/><Relationship Id="rId6" Type="http://schemas.openxmlformats.org/officeDocument/2006/relationships/oleObject" Target="../embeddings/oleObject6.bin"/><Relationship Id="rId5" Type="http://schemas.openxmlformats.org/officeDocument/2006/relationships/image" Target="../media/image3.emf"/><Relationship Id="rId4" Type="http://schemas.openxmlformats.org/officeDocument/2006/relationships/oleObject" Target="../embeddings/oleObject5.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image" Target="../media/image4.emf"/><Relationship Id="rId2" Type="http://schemas.openxmlformats.org/officeDocument/2006/relationships/drawing" Target="../drawings/drawing18.xml"/><Relationship Id="rId1" Type="http://schemas.openxmlformats.org/officeDocument/2006/relationships/printerSettings" Target="../printerSettings/printerSettings19.bin"/><Relationship Id="rId6" Type="http://schemas.openxmlformats.org/officeDocument/2006/relationships/oleObject" Target="../embeddings/oleObject8.bin"/><Relationship Id="rId5" Type="http://schemas.openxmlformats.org/officeDocument/2006/relationships/image" Target="../media/image3.emf"/><Relationship Id="rId4" Type="http://schemas.openxmlformats.org/officeDocument/2006/relationships/oleObject" Target="../embeddings/oleObject7.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26" Type="http://schemas.openxmlformats.org/officeDocument/2006/relationships/ctrlProp" Target="../ctrlProps/ctrlProp38.xml"/><Relationship Id="rId39" Type="http://schemas.openxmlformats.org/officeDocument/2006/relationships/ctrlProp" Target="../ctrlProps/ctrlProp51.xml"/><Relationship Id="rId3" Type="http://schemas.openxmlformats.org/officeDocument/2006/relationships/drawing" Target="../drawings/drawing2.xml"/><Relationship Id="rId21" Type="http://schemas.openxmlformats.org/officeDocument/2006/relationships/ctrlProp" Target="../ctrlProps/ctrlProp33.xml"/><Relationship Id="rId34" Type="http://schemas.openxmlformats.org/officeDocument/2006/relationships/ctrlProp" Target="../ctrlProps/ctrlProp46.xml"/><Relationship Id="rId42" Type="http://schemas.openxmlformats.org/officeDocument/2006/relationships/ctrlProp" Target="../ctrlProps/ctrlProp54.x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5" Type="http://schemas.openxmlformats.org/officeDocument/2006/relationships/ctrlProp" Target="../ctrlProps/ctrlProp37.xml"/><Relationship Id="rId33" Type="http://schemas.openxmlformats.org/officeDocument/2006/relationships/ctrlProp" Target="../ctrlProps/ctrlProp45.xml"/><Relationship Id="rId38" Type="http://schemas.openxmlformats.org/officeDocument/2006/relationships/ctrlProp" Target="../ctrlProps/ctrlProp50.xml"/><Relationship Id="rId2" Type="http://schemas.openxmlformats.org/officeDocument/2006/relationships/printerSettings" Target="../printerSettings/printerSettings2.bin"/><Relationship Id="rId16" Type="http://schemas.openxmlformats.org/officeDocument/2006/relationships/ctrlProp" Target="../ctrlProps/ctrlProp28.xml"/><Relationship Id="rId20" Type="http://schemas.openxmlformats.org/officeDocument/2006/relationships/ctrlProp" Target="../ctrlProps/ctrlProp32.xml"/><Relationship Id="rId29" Type="http://schemas.openxmlformats.org/officeDocument/2006/relationships/ctrlProp" Target="../ctrlProps/ctrlProp41.xml"/><Relationship Id="rId41" Type="http://schemas.openxmlformats.org/officeDocument/2006/relationships/ctrlProp" Target="../ctrlProps/ctrlProp53.xml"/><Relationship Id="rId1" Type="http://schemas.openxmlformats.org/officeDocument/2006/relationships/hyperlink" Target="http://www.census.gov/eos/www/naics/" TargetMode="External"/><Relationship Id="rId6" Type="http://schemas.openxmlformats.org/officeDocument/2006/relationships/ctrlProp" Target="../ctrlProps/ctrlProp18.xml"/><Relationship Id="rId11" Type="http://schemas.openxmlformats.org/officeDocument/2006/relationships/ctrlProp" Target="../ctrlProps/ctrlProp23.xml"/><Relationship Id="rId24" Type="http://schemas.openxmlformats.org/officeDocument/2006/relationships/ctrlProp" Target="../ctrlProps/ctrlProp36.xml"/><Relationship Id="rId32" Type="http://schemas.openxmlformats.org/officeDocument/2006/relationships/ctrlProp" Target="../ctrlProps/ctrlProp44.xml"/><Relationship Id="rId37" Type="http://schemas.openxmlformats.org/officeDocument/2006/relationships/ctrlProp" Target="../ctrlProps/ctrlProp49.xml"/><Relationship Id="rId40" Type="http://schemas.openxmlformats.org/officeDocument/2006/relationships/ctrlProp" Target="../ctrlProps/ctrlProp52.xml"/><Relationship Id="rId5" Type="http://schemas.openxmlformats.org/officeDocument/2006/relationships/ctrlProp" Target="../ctrlProps/ctrlProp17.xml"/><Relationship Id="rId15" Type="http://schemas.openxmlformats.org/officeDocument/2006/relationships/ctrlProp" Target="../ctrlProps/ctrlProp27.xml"/><Relationship Id="rId23" Type="http://schemas.openxmlformats.org/officeDocument/2006/relationships/ctrlProp" Target="../ctrlProps/ctrlProp35.xml"/><Relationship Id="rId28" Type="http://schemas.openxmlformats.org/officeDocument/2006/relationships/ctrlProp" Target="../ctrlProps/ctrlProp40.xml"/><Relationship Id="rId36" Type="http://schemas.openxmlformats.org/officeDocument/2006/relationships/ctrlProp" Target="../ctrlProps/ctrlProp48.xml"/><Relationship Id="rId10" Type="http://schemas.openxmlformats.org/officeDocument/2006/relationships/ctrlProp" Target="../ctrlProps/ctrlProp22.xml"/><Relationship Id="rId19" Type="http://schemas.openxmlformats.org/officeDocument/2006/relationships/ctrlProp" Target="../ctrlProps/ctrlProp31.xml"/><Relationship Id="rId31" Type="http://schemas.openxmlformats.org/officeDocument/2006/relationships/ctrlProp" Target="../ctrlProps/ctrlProp43.xml"/><Relationship Id="rId4" Type="http://schemas.openxmlformats.org/officeDocument/2006/relationships/vmlDrawing" Target="../drawings/vmlDrawing2.vml"/><Relationship Id="rId9" Type="http://schemas.openxmlformats.org/officeDocument/2006/relationships/ctrlProp" Target="../ctrlProps/ctrlProp21.xml"/><Relationship Id="rId14" Type="http://schemas.openxmlformats.org/officeDocument/2006/relationships/ctrlProp" Target="../ctrlProps/ctrlProp26.xml"/><Relationship Id="rId22" Type="http://schemas.openxmlformats.org/officeDocument/2006/relationships/ctrlProp" Target="../ctrlProps/ctrlProp34.xml"/><Relationship Id="rId27" Type="http://schemas.openxmlformats.org/officeDocument/2006/relationships/ctrlProp" Target="../ctrlProps/ctrlProp39.xml"/><Relationship Id="rId30" Type="http://schemas.openxmlformats.org/officeDocument/2006/relationships/ctrlProp" Target="../ctrlProps/ctrlProp42.xml"/><Relationship Id="rId35" Type="http://schemas.openxmlformats.org/officeDocument/2006/relationships/ctrlProp" Target="../ctrlProps/ctrlProp47.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157.xml"/><Relationship Id="rId13" Type="http://schemas.openxmlformats.org/officeDocument/2006/relationships/ctrlProp" Target="../ctrlProps/ctrlProp162.xml"/><Relationship Id="rId18" Type="http://schemas.openxmlformats.org/officeDocument/2006/relationships/ctrlProp" Target="../ctrlProps/ctrlProp167.xml"/><Relationship Id="rId26" Type="http://schemas.openxmlformats.org/officeDocument/2006/relationships/ctrlProp" Target="../ctrlProps/ctrlProp175.xml"/><Relationship Id="rId3" Type="http://schemas.openxmlformats.org/officeDocument/2006/relationships/printerSettings" Target="../printerSettings/printerSettings23.bin"/><Relationship Id="rId21" Type="http://schemas.openxmlformats.org/officeDocument/2006/relationships/ctrlProp" Target="../ctrlProps/ctrlProp170.xml"/><Relationship Id="rId34" Type="http://schemas.openxmlformats.org/officeDocument/2006/relationships/ctrlProp" Target="../ctrlProps/ctrlProp183.xml"/><Relationship Id="rId7" Type="http://schemas.openxmlformats.org/officeDocument/2006/relationships/ctrlProp" Target="../ctrlProps/ctrlProp156.xml"/><Relationship Id="rId12" Type="http://schemas.openxmlformats.org/officeDocument/2006/relationships/ctrlProp" Target="../ctrlProps/ctrlProp161.xml"/><Relationship Id="rId17" Type="http://schemas.openxmlformats.org/officeDocument/2006/relationships/ctrlProp" Target="../ctrlProps/ctrlProp166.xml"/><Relationship Id="rId25" Type="http://schemas.openxmlformats.org/officeDocument/2006/relationships/ctrlProp" Target="../ctrlProps/ctrlProp174.xml"/><Relationship Id="rId33" Type="http://schemas.openxmlformats.org/officeDocument/2006/relationships/ctrlProp" Target="../ctrlProps/ctrlProp182.xml"/><Relationship Id="rId2" Type="http://schemas.openxmlformats.org/officeDocument/2006/relationships/hyperlink" Target="http://www.ecfr.gov/cgi-bin/text-idx?SID=7b552cbdc55eaecff28257405e00005e&amp;tpl=/ecfrbrowse/Title40/40tab_02.tpl" TargetMode="External"/><Relationship Id="rId16" Type="http://schemas.openxmlformats.org/officeDocument/2006/relationships/ctrlProp" Target="../ctrlProps/ctrlProp165.xml"/><Relationship Id="rId20" Type="http://schemas.openxmlformats.org/officeDocument/2006/relationships/ctrlProp" Target="../ctrlProps/ctrlProp169.xml"/><Relationship Id="rId29" Type="http://schemas.openxmlformats.org/officeDocument/2006/relationships/ctrlProp" Target="../ctrlProps/ctrlProp178.xml"/><Relationship Id="rId1" Type="http://schemas.openxmlformats.org/officeDocument/2006/relationships/hyperlink" Target="http://www.lincoln.ne.gov/city/health/environ/air/regulations.htm" TargetMode="External"/><Relationship Id="rId6" Type="http://schemas.openxmlformats.org/officeDocument/2006/relationships/ctrlProp" Target="../ctrlProps/ctrlProp155.xml"/><Relationship Id="rId11" Type="http://schemas.openxmlformats.org/officeDocument/2006/relationships/ctrlProp" Target="../ctrlProps/ctrlProp160.xml"/><Relationship Id="rId24" Type="http://schemas.openxmlformats.org/officeDocument/2006/relationships/ctrlProp" Target="../ctrlProps/ctrlProp173.xml"/><Relationship Id="rId32" Type="http://schemas.openxmlformats.org/officeDocument/2006/relationships/ctrlProp" Target="../ctrlProps/ctrlProp181.xml"/><Relationship Id="rId37" Type="http://schemas.openxmlformats.org/officeDocument/2006/relationships/ctrlProp" Target="../ctrlProps/ctrlProp186.xml"/><Relationship Id="rId5" Type="http://schemas.openxmlformats.org/officeDocument/2006/relationships/vmlDrawing" Target="../drawings/vmlDrawing11.vml"/><Relationship Id="rId15" Type="http://schemas.openxmlformats.org/officeDocument/2006/relationships/ctrlProp" Target="../ctrlProps/ctrlProp164.xml"/><Relationship Id="rId23" Type="http://schemas.openxmlformats.org/officeDocument/2006/relationships/ctrlProp" Target="../ctrlProps/ctrlProp172.xml"/><Relationship Id="rId28" Type="http://schemas.openxmlformats.org/officeDocument/2006/relationships/ctrlProp" Target="../ctrlProps/ctrlProp177.xml"/><Relationship Id="rId36" Type="http://schemas.openxmlformats.org/officeDocument/2006/relationships/ctrlProp" Target="../ctrlProps/ctrlProp185.xml"/><Relationship Id="rId10" Type="http://schemas.openxmlformats.org/officeDocument/2006/relationships/ctrlProp" Target="../ctrlProps/ctrlProp159.xml"/><Relationship Id="rId19" Type="http://schemas.openxmlformats.org/officeDocument/2006/relationships/ctrlProp" Target="../ctrlProps/ctrlProp168.xml"/><Relationship Id="rId31" Type="http://schemas.openxmlformats.org/officeDocument/2006/relationships/ctrlProp" Target="../ctrlProps/ctrlProp180.xml"/><Relationship Id="rId4" Type="http://schemas.openxmlformats.org/officeDocument/2006/relationships/drawing" Target="../drawings/drawing22.xml"/><Relationship Id="rId9" Type="http://schemas.openxmlformats.org/officeDocument/2006/relationships/ctrlProp" Target="../ctrlProps/ctrlProp158.xml"/><Relationship Id="rId14" Type="http://schemas.openxmlformats.org/officeDocument/2006/relationships/ctrlProp" Target="../ctrlProps/ctrlProp163.xml"/><Relationship Id="rId22" Type="http://schemas.openxmlformats.org/officeDocument/2006/relationships/ctrlProp" Target="../ctrlProps/ctrlProp171.xml"/><Relationship Id="rId27" Type="http://schemas.openxmlformats.org/officeDocument/2006/relationships/ctrlProp" Target="../ctrlProps/ctrlProp176.xml"/><Relationship Id="rId30" Type="http://schemas.openxmlformats.org/officeDocument/2006/relationships/ctrlProp" Target="../ctrlProps/ctrlProp179.xml"/><Relationship Id="rId35" Type="http://schemas.openxmlformats.org/officeDocument/2006/relationships/ctrlProp" Target="../ctrlProps/ctrlProp184.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3.xml"/><Relationship Id="rId1" Type="http://schemas.openxmlformats.org/officeDocument/2006/relationships/printerSettings" Target="../printerSettings/printerSettings24.bin"/><Relationship Id="rId5" Type="http://schemas.openxmlformats.org/officeDocument/2006/relationships/ctrlProp" Target="../ctrlProps/ctrlProp188.xml"/><Relationship Id="rId4" Type="http://schemas.openxmlformats.org/officeDocument/2006/relationships/ctrlProp" Target="../ctrlProps/ctrlProp187.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198.xml"/><Relationship Id="rId18" Type="http://schemas.openxmlformats.org/officeDocument/2006/relationships/ctrlProp" Target="../ctrlProps/ctrlProp203.xml"/><Relationship Id="rId26" Type="http://schemas.openxmlformats.org/officeDocument/2006/relationships/ctrlProp" Target="../ctrlProps/ctrlProp211.xml"/><Relationship Id="rId39" Type="http://schemas.openxmlformats.org/officeDocument/2006/relationships/ctrlProp" Target="../ctrlProps/ctrlProp224.xml"/><Relationship Id="rId21" Type="http://schemas.openxmlformats.org/officeDocument/2006/relationships/ctrlProp" Target="../ctrlProps/ctrlProp206.xml"/><Relationship Id="rId34" Type="http://schemas.openxmlformats.org/officeDocument/2006/relationships/ctrlProp" Target="../ctrlProps/ctrlProp219.xml"/><Relationship Id="rId42" Type="http://schemas.openxmlformats.org/officeDocument/2006/relationships/ctrlProp" Target="../ctrlProps/ctrlProp227.xml"/><Relationship Id="rId47" Type="http://schemas.openxmlformats.org/officeDocument/2006/relationships/ctrlProp" Target="../ctrlProps/ctrlProp232.xml"/><Relationship Id="rId50" Type="http://schemas.openxmlformats.org/officeDocument/2006/relationships/ctrlProp" Target="../ctrlProps/ctrlProp235.xml"/><Relationship Id="rId55" Type="http://schemas.openxmlformats.org/officeDocument/2006/relationships/ctrlProp" Target="../ctrlProps/ctrlProp240.xml"/><Relationship Id="rId7" Type="http://schemas.openxmlformats.org/officeDocument/2006/relationships/ctrlProp" Target="../ctrlProps/ctrlProp192.xml"/><Relationship Id="rId12" Type="http://schemas.openxmlformats.org/officeDocument/2006/relationships/ctrlProp" Target="../ctrlProps/ctrlProp197.xml"/><Relationship Id="rId17" Type="http://schemas.openxmlformats.org/officeDocument/2006/relationships/ctrlProp" Target="../ctrlProps/ctrlProp202.xml"/><Relationship Id="rId25" Type="http://schemas.openxmlformats.org/officeDocument/2006/relationships/ctrlProp" Target="../ctrlProps/ctrlProp210.xml"/><Relationship Id="rId33" Type="http://schemas.openxmlformats.org/officeDocument/2006/relationships/ctrlProp" Target="../ctrlProps/ctrlProp218.xml"/><Relationship Id="rId38" Type="http://schemas.openxmlformats.org/officeDocument/2006/relationships/ctrlProp" Target="../ctrlProps/ctrlProp223.xml"/><Relationship Id="rId46" Type="http://schemas.openxmlformats.org/officeDocument/2006/relationships/ctrlProp" Target="../ctrlProps/ctrlProp231.xml"/><Relationship Id="rId2" Type="http://schemas.openxmlformats.org/officeDocument/2006/relationships/drawing" Target="../drawings/drawing25.xml"/><Relationship Id="rId16" Type="http://schemas.openxmlformats.org/officeDocument/2006/relationships/ctrlProp" Target="../ctrlProps/ctrlProp201.xml"/><Relationship Id="rId20" Type="http://schemas.openxmlformats.org/officeDocument/2006/relationships/ctrlProp" Target="../ctrlProps/ctrlProp205.xml"/><Relationship Id="rId29" Type="http://schemas.openxmlformats.org/officeDocument/2006/relationships/ctrlProp" Target="../ctrlProps/ctrlProp214.xml"/><Relationship Id="rId41" Type="http://schemas.openxmlformats.org/officeDocument/2006/relationships/ctrlProp" Target="../ctrlProps/ctrlProp226.xml"/><Relationship Id="rId54" Type="http://schemas.openxmlformats.org/officeDocument/2006/relationships/ctrlProp" Target="../ctrlProps/ctrlProp239.xml"/><Relationship Id="rId1" Type="http://schemas.openxmlformats.org/officeDocument/2006/relationships/printerSettings" Target="../printerSettings/printerSettings26.bin"/><Relationship Id="rId6" Type="http://schemas.openxmlformats.org/officeDocument/2006/relationships/ctrlProp" Target="../ctrlProps/ctrlProp191.xml"/><Relationship Id="rId11" Type="http://schemas.openxmlformats.org/officeDocument/2006/relationships/ctrlProp" Target="../ctrlProps/ctrlProp196.xml"/><Relationship Id="rId24" Type="http://schemas.openxmlformats.org/officeDocument/2006/relationships/ctrlProp" Target="../ctrlProps/ctrlProp209.xml"/><Relationship Id="rId32" Type="http://schemas.openxmlformats.org/officeDocument/2006/relationships/ctrlProp" Target="../ctrlProps/ctrlProp217.xml"/><Relationship Id="rId37" Type="http://schemas.openxmlformats.org/officeDocument/2006/relationships/ctrlProp" Target="../ctrlProps/ctrlProp222.xml"/><Relationship Id="rId40" Type="http://schemas.openxmlformats.org/officeDocument/2006/relationships/ctrlProp" Target="../ctrlProps/ctrlProp225.xml"/><Relationship Id="rId45" Type="http://schemas.openxmlformats.org/officeDocument/2006/relationships/ctrlProp" Target="../ctrlProps/ctrlProp230.xml"/><Relationship Id="rId53" Type="http://schemas.openxmlformats.org/officeDocument/2006/relationships/ctrlProp" Target="../ctrlProps/ctrlProp238.xml"/><Relationship Id="rId5" Type="http://schemas.openxmlformats.org/officeDocument/2006/relationships/ctrlProp" Target="../ctrlProps/ctrlProp190.xml"/><Relationship Id="rId15" Type="http://schemas.openxmlformats.org/officeDocument/2006/relationships/ctrlProp" Target="../ctrlProps/ctrlProp200.xml"/><Relationship Id="rId23" Type="http://schemas.openxmlformats.org/officeDocument/2006/relationships/ctrlProp" Target="../ctrlProps/ctrlProp208.xml"/><Relationship Id="rId28" Type="http://schemas.openxmlformats.org/officeDocument/2006/relationships/ctrlProp" Target="../ctrlProps/ctrlProp213.xml"/><Relationship Id="rId36" Type="http://schemas.openxmlformats.org/officeDocument/2006/relationships/ctrlProp" Target="../ctrlProps/ctrlProp221.xml"/><Relationship Id="rId49" Type="http://schemas.openxmlformats.org/officeDocument/2006/relationships/ctrlProp" Target="../ctrlProps/ctrlProp234.xml"/><Relationship Id="rId10" Type="http://schemas.openxmlformats.org/officeDocument/2006/relationships/ctrlProp" Target="../ctrlProps/ctrlProp195.xml"/><Relationship Id="rId19" Type="http://schemas.openxmlformats.org/officeDocument/2006/relationships/ctrlProp" Target="../ctrlProps/ctrlProp204.xml"/><Relationship Id="rId31" Type="http://schemas.openxmlformats.org/officeDocument/2006/relationships/ctrlProp" Target="../ctrlProps/ctrlProp216.xml"/><Relationship Id="rId44" Type="http://schemas.openxmlformats.org/officeDocument/2006/relationships/ctrlProp" Target="../ctrlProps/ctrlProp229.xml"/><Relationship Id="rId52" Type="http://schemas.openxmlformats.org/officeDocument/2006/relationships/ctrlProp" Target="../ctrlProps/ctrlProp237.xml"/><Relationship Id="rId4" Type="http://schemas.openxmlformats.org/officeDocument/2006/relationships/ctrlProp" Target="../ctrlProps/ctrlProp189.xml"/><Relationship Id="rId9" Type="http://schemas.openxmlformats.org/officeDocument/2006/relationships/ctrlProp" Target="../ctrlProps/ctrlProp194.xml"/><Relationship Id="rId14" Type="http://schemas.openxmlformats.org/officeDocument/2006/relationships/ctrlProp" Target="../ctrlProps/ctrlProp199.xml"/><Relationship Id="rId22" Type="http://schemas.openxmlformats.org/officeDocument/2006/relationships/ctrlProp" Target="../ctrlProps/ctrlProp207.xml"/><Relationship Id="rId27" Type="http://schemas.openxmlformats.org/officeDocument/2006/relationships/ctrlProp" Target="../ctrlProps/ctrlProp212.xml"/><Relationship Id="rId30" Type="http://schemas.openxmlformats.org/officeDocument/2006/relationships/ctrlProp" Target="../ctrlProps/ctrlProp215.xml"/><Relationship Id="rId35" Type="http://schemas.openxmlformats.org/officeDocument/2006/relationships/ctrlProp" Target="../ctrlProps/ctrlProp220.xml"/><Relationship Id="rId43" Type="http://schemas.openxmlformats.org/officeDocument/2006/relationships/ctrlProp" Target="../ctrlProps/ctrlProp228.xml"/><Relationship Id="rId48" Type="http://schemas.openxmlformats.org/officeDocument/2006/relationships/ctrlProp" Target="../ctrlProps/ctrlProp233.xml"/><Relationship Id="rId8" Type="http://schemas.openxmlformats.org/officeDocument/2006/relationships/ctrlProp" Target="../ctrlProps/ctrlProp193.xml"/><Relationship Id="rId51" Type="http://schemas.openxmlformats.org/officeDocument/2006/relationships/ctrlProp" Target="../ctrlProps/ctrlProp236.xml"/><Relationship Id="rId3" Type="http://schemas.openxmlformats.org/officeDocument/2006/relationships/vmlDrawing" Target="../drawings/vmlDrawing13.v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 Type="http://schemas.openxmlformats.org/officeDocument/2006/relationships/vmlDrawing" Target="../drawings/vmlDrawing3.vml"/><Relationship Id="rId21" Type="http://schemas.openxmlformats.org/officeDocument/2006/relationships/ctrlProp" Target="../ctrlProps/ctrlProp72.xml"/><Relationship Id="rId34" Type="http://schemas.openxmlformats.org/officeDocument/2006/relationships/ctrlProp" Target="../ctrlProps/ctrlProp85.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2" Type="http://schemas.openxmlformats.org/officeDocument/2006/relationships/drawing" Target="../drawings/drawing3.xm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1" Type="http://schemas.openxmlformats.org/officeDocument/2006/relationships/printerSettings" Target="../printerSettings/printerSettings3.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37" Type="http://schemas.openxmlformats.org/officeDocument/2006/relationships/ctrlProp" Target="../ctrlProps/ctrlProp88.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36" Type="http://schemas.openxmlformats.org/officeDocument/2006/relationships/ctrlProp" Target="../ctrlProps/ctrlProp87.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35" Type="http://schemas.openxmlformats.org/officeDocument/2006/relationships/ctrlProp" Target="../ctrlProps/ctrlProp86.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98.xml"/><Relationship Id="rId18" Type="http://schemas.openxmlformats.org/officeDocument/2006/relationships/ctrlProp" Target="../ctrlProps/ctrlProp103.xml"/><Relationship Id="rId26" Type="http://schemas.openxmlformats.org/officeDocument/2006/relationships/ctrlProp" Target="../ctrlProps/ctrlProp111.xml"/><Relationship Id="rId39" Type="http://schemas.openxmlformats.org/officeDocument/2006/relationships/ctrlProp" Target="../ctrlProps/ctrlProp124.xml"/><Relationship Id="rId3" Type="http://schemas.openxmlformats.org/officeDocument/2006/relationships/vmlDrawing" Target="../drawings/vmlDrawing4.vml"/><Relationship Id="rId21" Type="http://schemas.openxmlformats.org/officeDocument/2006/relationships/ctrlProp" Target="../ctrlProps/ctrlProp106.xml"/><Relationship Id="rId34" Type="http://schemas.openxmlformats.org/officeDocument/2006/relationships/ctrlProp" Target="../ctrlProps/ctrlProp119.xml"/><Relationship Id="rId42" Type="http://schemas.openxmlformats.org/officeDocument/2006/relationships/ctrlProp" Target="../ctrlProps/ctrlProp127.xml"/><Relationship Id="rId47" Type="http://schemas.openxmlformats.org/officeDocument/2006/relationships/ctrlProp" Target="../ctrlProps/ctrlProp132.xml"/><Relationship Id="rId50" Type="http://schemas.openxmlformats.org/officeDocument/2006/relationships/ctrlProp" Target="../ctrlProps/ctrlProp135.xml"/><Relationship Id="rId7" Type="http://schemas.openxmlformats.org/officeDocument/2006/relationships/ctrlProp" Target="../ctrlProps/ctrlProp92.xml"/><Relationship Id="rId12" Type="http://schemas.openxmlformats.org/officeDocument/2006/relationships/ctrlProp" Target="../ctrlProps/ctrlProp97.xml"/><Relationship Id="rId17" Type="http://schemas.openxmlformats.org/officeDocument/2006/relationships/ctrlProp" Target="../ctrlProps/ctrlProp102.xml"/><Relationship Id="rId25" Type="http://schemas.openxmlformats.org/officeDocument/2006/relationships/ctrlProp" Target="../ctrlProps/ctrlProp110.xml"/><Relationship Id="rId33" Type="http://schemas.openxmlformats.org/officeDocument/2006/relationships/ctrlProp" Target="../ctrlProps/ctrlProp118.xml"/><Relationship Id="rId38" Type="http://schemas.openxmlformats.org/officeDocument/2006/relationships/ctrlProp" Target="../ctrlProps/ctrlProp123.xml"/><Relationship Id="rId46" Type="http://schemas.openxmlformats.org/officeDocument/2006/relationships/ctrlProp" Target="../ctrlProps/ctrlProp131.xml"/><Relationship Id="rId2" Type="http://schemas.openxmlformats.org/officeDocument/2006/relationships/drawing" Target="../drawings/drawing4.xml"/><Relationship Id="rId16" Type="http://schemas.openxmlformats.org/officeDocument/2006/relationships/ctrlProp" Target="../ctrlProps/ctrlProp101.xml"/><Relationship Id="rId20" Type="http://schemas.openxmlformats.org/officeDocument/2006/relationships/ctrlProp" Target="../ctrlProps/ctrlProp105.xml"/><Relationship Id="rId29" Type="http://schemas.openxmlformats.org/officeDocument/2006/relationships/ctrlProp" Target="../ctrlProps/ctrlProp114.xml"/><Relationship Id="rId41" Type="http://schemas.openxmlformats.org/officeDocument/2006/relationships/ctrlProp" Target="../ctrlProps/ctrlProp126.xml"/><Relationship Id="rId1" Type="http://schemas.openxmlformats.org/officeDocument/2006/relationships/printerSettings" Target="../printerSettings/printerSettings4.bin"/><Relationship Id="rId6" Type="http://schemas.openxmlformats.org/officeDocument/2006/relationships/ctrlProp" Target="../ctrlProps/ctrlProp91.xml"/><Relationship Id="rId11" Type="http://schemas.openxmlformats.org/officeDocument/2006/relationships/ctrlProp" Target="../ctrlProps/ctrlProp96.xml"/><Relationship Id="rId24" Type="http://schemas.openxmlformats.org/officeDocument/2006/relationships/ctrlProp" Target="../ctrlProps/ctrlProp109.xml"/><Relationship Id="rId32" Type="http://schemas.openxmlformats.org/officeDocument/2006/relationships/ctrlProp" Target="../ctrlProps/ctrlProp117.xml"/><Relationship Id="rId37" Type="http://schemas.openxmlformats.org/officeDocument/2006/relationships/ctrlProp" Target="../ctrlProps/ctrlProp122.xml"/><Relationship Id="rId40" Type="http://schemas.openxmlformats.org/officeDocument/2006/relationships/ctrlProp" Target="../ctrlProps/ctrlProp125.xml"/><Relationship Id="rId45" Type="http://schemas.openxmlformats.org/officeDocument/2006/relationships/ctrlProp" Target="../ctrlProps/ctrlProp130.xml"/><Relationship Id="rId53" Type="http://schemas.openxmlformats.org/officeDocument/2006/relationships/ctrlProp" Target="../ctrlProps/ctrlProp138.xml"/><Relationship Id="rId5" Type="http://schemas.openxmlformats.org/officeDocument/2006/relationships/ctrlProp" Target="../ctrlProps/ctrlProp90.xml"/><Relationship Id="rId15" Type="http://schemas.openxmlformats.org/officeDocument/2006/relationships/ctrlProp" Target="../ctrlProps/ctrlProp100.xml"/><Relationship Id="rId23" Type="http://schemas.openxmlformats.org/officeDocument/2006/relationships/ctrlProp" Target="../ctrlProps/ctrlProp108.xml"/><Relationship Id="rId28" Type="http://schemas.openxmlformats.org/officeDocument/2006/relationships/ctrlProp" Target="../ctrlProps/ctrlProp113.xml"/><Relationship Id="rId36" Type="http://schemas.openxmlformats.org/officeDocument/2006/relationships/ctrlProp" Target="../ctrlProps/ctrlProp121.xml"/><Relationship Id="rId49" Type="http://schemas.openxmlformats.org/officeDocument/2006/relationships/ctrlProp" Target="../ctrlProps/ctrlProp134.xml"/><Relationship Id="rId10" Type="http://schemas.openxmlformats.org/officeDocument/2006/relationships/ctrlProp" Target="../ctrlProps/ctrlProp95.xml"/><Relationship Id="rId19" Type="http://schemas.openxmlformats.org/officeDocument/2006/relationships/ctrlProp" Target="../ctrlProps/ctrlProp104.xml"/><Relationship Id="rId31" Type="http://schemas.openxmlformats.org/officeDocument/2006/relationships/ctrlProp" Target="../ctrlProps/ctrlProp116.xml"/><Relationship Id="rId44" Type="http://schemas.openxmlformats.org/officeDocument/2006/relationships/ctrlProp" Target="../ctrlProps/ctrlProp129.xml"/><Relationship Id="rId52" Type="http://schemas.openxmlformats.org/officeDocument/2006/relationships/ctrlProp" Target="../ctrlProps/ctrlProp137.xml"/><Relationship Id="rId4" Type="http://schemas.openxmlformats.org/officeDocument/2006/relationships/ctrlProp" Target="../ctrlProps/ctrlProp89.xml"/><Relationship Id="rId9" Type="http://schemas.openxmlformats.org/officeDocument/2006/relationships/ctrlProp" Target="../ctrlProps/ctrlProp94.xml"/><Relationship Id="rId14" Type="http://schemas.openxmlformats.org/officeDocument/2006/relationships/ctrlProp" Target="../ctrlProps/ctrlProp99.xml"/><Relationship Id="rId22" Type="http://schemas.openxmlformats.org/officeDocument/2006/relationships/ctrlProp" Target="../ctrlProps/ctrlProp107.xml"/><Relationship Id="rId27" Type="http://schemas.openxmlformats.org/officeDocument/2006/relationships/ctrlProp" Target="../ctrlProps/ctrlProp112.xml"/><Relationship Id="rId30" Type="http://schemas.openxmlformats.org/officeDocument/2006/relationships/ctrlProp" Target="../ctrlProps/ctrlProp115.xml"/><Relationship Id="rId35" Type="http://schemas.openxmlformats.org/officeDocument/2006/relationships/ctrlProp" Target="../ctrlProps/ctrlProp120.xml"/><Relationship Id="rId43" Type="http://schemas.openxmlformats.org/officeDocument/2006/relationships/ctrlProp" Target="../ctrlProps/ctrlProp128.xml"/><Relationship Id="rId48" Type="http://schemas.openxmlformats.org/officeDocument/2006/relationships/ctrlProp" Target="../ctrlProps/ctrlProp133.xml"/><Relationship Id="rId8" Type="http://schemas.openxmlformats.org/officeDocument/2006/relationships/ctrlProp" Target="../ctrlProps/ctrlProp93.xml"/><Relationship Id="rId51" Type="http://schemas.openxmlformats.org/officeDocument/2006/relationships/ctrlProp" Target="../ctrlProps/ctrlProp13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rgb="FFC00000"/>
    <pageSetUpPr fitToPage="1"/>
  </sheetPr>
  <dimension ref="B1:AB71"/>
  <sheetViews>
    <sheetView zoomScaleNormal="100" workbookViewId="0"/>
  </sheetViews>
  <sheetFormatPr defaultColWidth="9.140625" defaultRowHeight="15" x14ac:dyDescent="0.25"/>
  <cols>
    <col min="1" max="1" width="3" style="68" customWidth="1"/>
    <col min="2" max="11" width="9.140625" style="68" customWidth="1"/>
    <col min="12" max="16384" width="9.140625" style="68"/>
  </cols>
  <sheetData>
    <row r="1" spans="2:28" ht="15.75" thickBot="1" x14ac:dyDescent="0.3"/>
    <row r="2" spans="2:28" ht="24.95" customHeight="1" thickBot="1" x14ac:dyDescent="0.3">
      <c r="B2" s="858" t="s">
        <v>2492</v>
      </c>
      <c r="C2" s="859"/>
      <c r="D2" s="859"/>
      <c r="E2" s="859"/>
      <c r="F2" s="859"/>
      <c r="G2" s="859"/>
      <c r="H2" s="859"/>
      <c r="I2" s="859"/>
      <c r="J2" s="859"/>
      <c r="K2" s="860"/>
      <c r="M2" s="870" t="s">
        <v>2531</v>
      </c>
      <c r="N2" s="871"/>
      <c r="O2" s="872"/>
    </row>
    <row r="3" spans="2:28" ht="20.100000000000001" customHeight="1" thickBot="1" x14ac:dyDescent="0.3">
      <c r="B3" s="855" t="s">
        <v>1441</v>
      </c>
      <c r="C3" s="856"/>
      <c r="D3" s="856"/>
      <c r="E3" s="856"/>
      <c r="F3" s="856"/>
      <c r="G3" s="856"/>
      <c r="H3" s="856"/>
      <c r="I3" s="856"/>
      <c r="J3" s="856"/>
      <c r="K3" s="857"/>
      <c r="M3" s="873">
        <v>45664</v>
      </c>
      <c r="N3" s="874"/>
      <c r="O3" s="875"/>
      <c r="P3" s="537"/>
      <c r="Q3" s="537"/>
      <c r="R3" s="537"/>
      <c r="S3" s="537"/>
      <c r="T3" s="537"/>
      <c r="U3" s="537"/>
      <c r="V3" s="537"/>
      <c r="W3" s="537"/>
      <c r="X3" s="537"/>
      <c r="Y3" s="537"/>
      <c r="Z3" s="537"/>
      <c r="AA3" s="537"/>
      <c r="AB3" s="537"/>
    </row>
    <row r="4" spans="2:28" x14ac:dyDescent="0.25">
      <c r="B4" s="87"/>
      <c r="C4" s="88"/>
      <c r="D4" s="88"/>
      <c r="E4" s="88"/>
      <c r="F4" s="88"/>
      <c r="G4" s="88"/>
      <c r="H4" s="88"/>
      <c r="I4" s="88"/>
      <c r="J4" s="88"/>
      <c r="K4" s="89"/>
      <c r="M4" s="537"/>
      <c r="N4" s="537"/>
      <c r="O4" s="537"/>
      <c r="P4" s="537"/>
      <c r="Q4" s="537"/>
      <c r="R4" s="537"/>
      <c r="S4" s="537"/>
      <c r="T4" s="537"/>
      <c r="U4" s="537"/>
      <c r="V4" s="537"/>
      <c r="W4" s="537"/>
      <c r="X4" s="537"/>
      <c r="Y4" s="537"/>
      <c r="Z4" s="537"/>
      <c r="AA4" s="537"/>
      <c r="AB4" s="537"/>
    </row>
    <row r="5" spans="2:28" ht="91.5" customHeight="1" x14ac:dyDescent="0.25">
      <c r="B5" s="852" t="s">
        <v>1910</v>
      </c>
      <c r="C5" s="853"/>
      <c r="D5" s="853"/>
      <c r="E5" s="853"/>
      <c r="F5" s="853"/>
      <c r="G5" s="853"/>
      <c r="H5" s="853"/>
      <c r="I5" s="853"/>
      <c r="J5" s="853"/>
      <c r="K5" s="854"/>
      <c r="M5" s="537"/>
      <c r="N5" s="537"/>
      <c r="O5" s="537"/>
      <c r="P5" s="537"/>
      <c r="Q5" s="537"/>
      <c r="R5" s="537"/>
      <c r="S5" s="537"/>
      <c r="T5" s="537"/>
      <c r="U5" s="537"/>
      <c r="V5" s="537"/>
      <c r="W5" s="537"/>
      <c r="X5" s="537"/>
      <c r="Y5" s="537"/>
      <c r="Z5" s="537"/>
      <c r="AA5" s="537"/>
      <c r="AB5" s="537"/>
    </row>
    <row r="6" spans="2:28" ht="83.25" customHeight="1" x14ac:dyDescent="0.25">
      <c r="B6" s="852" t="s">
        <v>2493</v>
      </c>
      <c r="C6" s="853"/>
      <c r="D6" s="853"/>
      <c r="E6" s="853"/>
      <c r="F6" s="853"/>
      <c r="G6" s="853"/>
      <c r="H6" s="853"/>
      <c r="I6" s="853"/>
      <c r="J6" s="853"/>
      <c r="K6" s="854"/>
      <c r="M6" s="537"/>
      <c r="N6" s="537"/>
      <c r="O6" s="537"/>
      <c r="P6" s="537"/>
      <c r="Q6" s="537"/>
      <c r="R6" s="537"/>
      <c r="S6" s="537"/>
      <c r="T6" s="537"/>
      <c r="U6" s="537"/>
      <c r="V6" s="537"/>
      <c r="W6" s="537"/>
      <c r="X6" s="537"/>
      <c r="Y6" s="537"/>
      <c r="Z6" s="537"/>
      <c r="AA6" s="537"/>
      <c r="AB6" s="537"/>
    </row>
    <row r="7" spans="2:28" ht="55.5" customHeight="1" x14ac:dyDescent="0.25">
      <c r="B7" s="852" t="s">
        <v>1851</v>
      </c>
      <c r="C7" s="853"/>
      <c r="D7" s="853"/>
      <c r="E7" s="853"/>
      <c r="F7" s="853"/>
      <c r="G7" s="853"/>
      <c r="H7" s="853"/>
      <c r="I7" s="853"/>
      <c r="J7" s="853"/>
      <c r="K7" s="854"/>
      <c r="M7" s="537"/>
      <c r="N7" s="537"/>
      <c r="O7" s="537"/>
      <c r="P7" s="537"/>
      <c r="Q7" s="537"/>
      <c r="R7" s="537"/>
      <c r="S7" s="537"/>
      <c r="T7" s="537"/>
      <c r="U7" s="537"/>
      <c r="V7" s="537"/>
      <c r="W7" s="537"/>
      <c r="X7" s="537"/>
      <c r="Y7" s="537"/>
      <c r="Z7" s="537"/>
      <c r="AA7" s="537"/>
      <c r="AB7" s="537"/>
    </row>
    <row r="8" spans="2:28" ht="85.5" customHeight="1" thickBot="1" x14ac:dyDescent="0.3">
      <c r="B8" s="852" t="s">
        <v>1654</v>
      </c>
      <c r="C8" s="853"/>
      <c r="D8" s="853"/>
      <c r="E8" s="853"/>
      <c r="F8" s="853"/>
      <c r="G8" s="853"/>
      <c r="H8" s="853"/>
      <c r="I8" s="853"/>
      <c r="J8" s="853"/>
      <c r="K8" s="854"/>
      <c r="M8" s="537"/>
      <c r="N8" s="537"/>
      <c r="O8" s="537"/>
      <c r="P8" s="537"/>
      <c r="Q8" s="537"/>
      <c r="R8" s="537"/>
      <c r="S8" s="537"/>
      <c r="T8" s="537"/>
      <c r="U8" s="537"/>
      <c r="V8" s="537"/>
      <c r="W8" s="537"/>
      <c r="X8" s="537"/>
      <c r="Y8" s="537"/>
      <c r="Z8" s="537"/>
      <c r="AA8" s="537"/>
      <c r="AB8" s="537"/>
    </row>
    <row r="9" spans="2:28" ht="15.75" thickBot="1" x14ac:dyDescent="0.3">
      <c r="B9" s="861" t="s">
        <v>1364</v>
      </c>
      <c r="C9" s="862"/>
      <c r="D9" s="863"/>
      <c r="E9" s="884"/>
      <c r="F9" s="885"/>
      <c r="G9" s="885"/>
      <c r="H9" s="885"/>
      <c r="I9" s="885"/>
      <c r="J9" s="885"/>
      <c r="K9" s="895"/>
      <c r="M9" s="537"/>
      <c r="N9" s="537"/>
      <c r="O9" s="537"/>
      <c r="P9" s="537"/>
      <c r="Q9" s="537"/>
      <c r="R9" s="537"/>
      <c r="S9" s="537"/>
      <c r="T9" s="537"/>
      <c r="U9" s="537"/>
      <c r="V9" s="537"/>
      <c r="W9" s="537"/>
      <c r="X9" s="537"/>
      <c r="Y9" s="537"/>
      <c r="Z9" s="537"/>
      <c r="AA9" s="537"/>
      <c r="AB9" s="537"/>
    </row>
    <row r="10" spans="2:28" ht="52.5" customHeight="1" thickBot="1" x14ac:dyDescent="0.3">
      <c r="B10" s="864" t="s">
        <v>1442</v>
      </c>
      <c r="C10" s="865"/>
      <c r="D10" s="865"/>
      <c r="E10" s="865"/>
      <c r="F10" s="865"/>
      <c r="G10" s="865"/>
      <c r="H10" s="865"/>
      <c r="I10" s="865"/>
      <c r="J10" s="865"/>
      <c r="K10" s="866"/>
      <c r="M10" s="537"/>
      <c r="N10" s="537"/>
      <c r="O10" s="537"/>
      <c r="P10" s="537"/>
      <c r="Q10" s="537"/>
      <c r="R10" s="537"/>
      <c r="S10" s="537"/>
      <c r="T10" s="537"/>
      <c r="U10" s="537"/>
      <c r="V10" s="537"/>
      <c r="W10" s="537"/>
      <c r="X10" s="537"/>
      <c r="Y10" s="537"/>
      <c r="Z10" s="537"/>
      <c r="AA10" s="537"/>
      <c r="AB10" s="537"/>
    </row>
    <row r="11" spans="2:28" ht="15.75" thickBot="1" x14ac:dyDescent="0.3">
      <c r="B11" s="861" t="s">
        <v>1364</v>
      </c>
      <c r="C11" s="862"/>
      <c r="D11" s="863"/>
      <c r="E11" s="867" t="s">
        <v>1443</v>
      </c>
      <c r="F11" s="868"/>
      <c r="G11" s="868"/>
      <c r="H11" s="868"/>
      <c r="I11" s="868"/>
      <c r="J11" s="868"/>
      <c r="K11" s="869"/>
    </row>
    <row r="12" spans="2:28" ht="45.75" customHeight="1" thickBot="1" x14ac:dyDescent="0.3">
      <c r="B12" s="864" t="s">
        <v>1444</v>
      </c>
      <c r="C12" s="865"/>
      <c r="D12" s="865"/>
      <c r="E12" s="865"/>
      <c r="F12" s="865"/>
      <c r="G12" s="865"/>
      <c r="H12" s="865"/>
      <c r="I12" s="865"/>
      <c r="J12" s="865"/>
      <c r="K12" s="866"/>
    </row>
    <row r="13" spans="2:28" ht="64.5" customHeight="1" thickBot="1" x14ac:dyDescent="0.3">
      <c r="B13" s="887" t="s">
        <v>1419</v>
      </c>
      <c r="C13" s="888"/>
      <c r="D13" s="884"/>
      <c r="E13" s="885"/>
      <c r="F13" s="886"/>
      <c r="G13" s="882" t="s">
        <v>1445</v>
      </c>
      <c r="H13" s="882"/>
      <c r="I13" s="882"/>
      <c r="J13" s="882"/>
      <c r="K13" s="883"/>
      <c r="N13" s="86"/>
      <c r="O13" s="86"/>
      <c r="S13" s="86" t="b">
        <v>1</v>
      </c>
      <c r="T13" s="86" t="b">
        <v>1</v>
      </c>
    </row>
    <row r="14" spans="2:28" ht="63.75" customHeight="1" thickBot="1" x14ac:dyDescent="0.3">
      <c r="B14" s="864" t="s">
        <v>1446</v>
      </c>
      <c r="C14" s="865"/>
      <c r="D14" s="865"/>
      <c r="E14" s="865"/>
      <c r="F14" s="865"/>
      <c r="G14" s="865"/>
      <c r="H14" s="865"/>
      <c r="I14" s="865"/>
      <c r="J14" s="865"/>
      <c r="K14" s="866"/>
    </row>
    <row r="15" spans="2:28" ht="66.75" customHeight="1" thickBot="1" x14ac:dyDescent="0.3">
      <c r="B15" s="887" t="s">
        <v>1419</v>
      </c>
      <c r="C15" s="888"/>
      <c r="D15" s="867"/>
      <c r="E15" s="868"/>
      <c r="F15" s="892"/>
      <c r="G15" s="893"/>
      <c r="H15" s="893"/>
      <c r="I15" s="893"/>
      <c r="J15" s="893"/>
      <c r="K15" s="894"/>
      <c r="N15" s="86"/>
      <c r="O15" s="86"/>
    </row>
    <row r="16" spans="2:28" ht="43.5" customHeight="1" thickBot="1" x14ac:dyDescent="0.3">
      <c r="B16" s="889"/>
      <c r="C16" s="890"/>
      <c r="D16" s="890"/>
      <c r="E16" s="890"/>
      <c r="F16" s="890"/>
      <c r="G16" s="890"/>
      <c r="H16" s="890"/>
      <c r="I16" s="890"/>
      <c r="J16" s="890"/>
      <c r="K16" s="891"/>
    </row>
    <row r="17" spans="2:11" ht="48" customHeight="1" x14ac:dyDescent="0.25">
      <c r="B17" s="852" t="s">
        <v>1655</v>
      </c>
      <c r="C17" s="853"/>
      <c r="D17" s="853"/>
      <c r="E17" s="853"/>
      <c r="F17" s="853"/>
      <c r="G17" s="853"/>
      <c r="H17" s="853"/>
      <c r="I17" s="853"/>
      <c r="J17" s="853"/>
      <c r="K17" s="854"/>
    </row>
    <row r="18" spans="2:11" ht="66" customHeight="1" x14ac:dyDescent="0.25">
      <c r="B18" s="852" t="s">
        <v>1447</v>
      </c>
      <c r="C18" s="853"/>
      <c r="D18" s="853"/>
      <c r="E18" s="853"/>
      <c r="F18" s="853"/>
      <c r="G18" s="853"/>
      <c r="H18" s="853"/>
      <c r="I18" s="853"/>
      <c r="J18" s="853"/>
      <c r="K18" s="854"/>
    </row>
    <row r="19" spans="2:11" ht="66" customHeight="1" x14ac:dyDescent="0.25">
      <c r="B19" s="876" t="s">
        <v>1798</v>
      </c>
      <c r="C19" s="877"/>
      <c r="D19" s="877"/>
      <c r="E19" s="877"/>
      <c r="F19" s="877"/>
      <c r="G19" s="877"/>
      <c r="H19" s="877"/>
      <c r="I19" s="877"/>
      <c r="J19" s="877"/>
      <c r="K19" s="878"/>
    </row>
    <row r="20" spans="2:11" ht="63" customHeight="1" thickBot="1" x14ac:dyDescent="0.3">
      <c r="B20" s="879" t="s">
        <v>2529</v>
      </c>
      <c r="C20" s="880"/>
      <c r="D20" s="880"/>
      <c r="E20" s="880"/>
      <c r="F20" s="880"/>
      <c r="G20" s="880"/>
      <c r="H20" s="880"/>
      <c r="I20" s="880"/>
      <c r="J20" s="880"/>
      <c r="K20" s="881"/>
    </row>
    <row r="21" spans="2:11" ht="15.75" thickTop="1" x14ac:dyDescent="0.25">
      <c r="B21" s="78"/>
      <c r="C21" s="78"/>
      <c r="D21" s="78"/>
      <c r="E21" s="78"/>
      <c r="F21" s="78"/>
      <c r="G21" s="78"/>
      <c r="H21" s="78"/>
      <c r="I21" s="78"/>
      <c r="J21" s="78"/>
      <c r="K21" s="78"/>
    </row>
    <row r="22" spans="2:11" x14ac:dyDescent="0.25">
      <c r="B22" s="78"/>
      <c r="C22" s="78"/>
      <c r="D22" s="78"/>
      <c r="E22" s="78"/>
      <c r="F22" s="78"/>
      <c r="G22" s="78"/>
      <c r="H22" s="78"/>
      <c r="I22" s="78"/>
      <c r="J22" s="78"/>
      <c r="K22" s="78"/>
    </row>
    <row r="23" spans="2:11" x14ac:dyDescent="0.25">
      <c r="B23" s="78"/>
      <c r="C23" s="78"/>
      <c r="D23" s="78"/>
      <c r="E23" s="78"/>
      <c r="F23" s="78"/>
      <c r="G23" s="78"/>
      <c r="H23" s="78"/>
      <c r="I23" s="78"/>
      <c r="J23" s="78"/>
      <c r="K23" s="78"/>
    </row>
    <row r="24" spans="2:11" x14ac:dyDescent="0.25">
      <c r="B24" s="78"/>
      <c r="C24" s="78"/>
      <c r="D24" s="78"/>
      <c r="E24" s="78"/>
      <c r="F24" s="78"/>
      <c r="G24" s="78"/>
      <c r="H24" s="78"/>
      <c r="I24" s="78"/>
      <c r="J24" s="78"/>
      <c r="K24" s="78"/>
    </row>
    <row r="25" spans="2:11" x14ac:dyDescent="0.25">
      <c r="B25" s="78"/>
      <c r="C25" s="78"/>
      <c r="D25" s="78"/>
      <c r="E25" s="78"/>
      <c r="F25" s="78"/>
      <c r="G25" s="78"/>
      <c r="H25" s="78"/>
      <c r="I25" s="78"/>
      <c r="J25" s="78"/>
      <c r="K25" s="78"/>
    </row>
    <row r="26" spans="2:11" x14ac:dyDescent="0.25">
      <c r="B26" s="78"/>
      <c r="C26" s="78"/>
      <c r="D26" s="78"/>
      <c r="E26" s="78"/>
      <c r="F26" s="78"/>
      <c r="G26" s="78"/>
      <c r="H26" s="78"/>
      <c r="I26" s="78"/>
      <c r="J26" s="78"/>
      <c r="K26" s="78"/>
    </row>
    <row r="27" spans="2:11" x14ac:dyDescent="0.25">
      <c r="B27" s="78"/>
      <c r="C27" s="78"/>
      <c r="D27" s="78"/>
      <c r="E27" s="78"/>
      <c r="F27" s="78"/>
      <c r="G27" s="78"/>
      <c r="H27" s="78"/>
      <c r="I27" s="78"/>
      <c r="J27" s="78"/>
      <c r="K27" s="78"/>
    </row>
    <row r="28" spans="2:11" x14ac:dyDescent="0.25">
      <c r="B28" s="78"/>
      <c r="C28" s="78"/>
      <c r="D28" s="78"/>
      <c r="E28" s="78"/>
      <c r="F28" s="78"/>
      <c r="G28" s="78"/>
      <c r="H28" s="78"/>
      <c r="I28" s="78"/>
      <c r="J28" s="78"/>
      <c r="K28" s="78"/>
    </row>
    <row r="29" spans="2:11" x14ac:dyDescent="0.25">
      <c r="B29" s="78"/>
      <c r="C29" s="78"/>
      <c r="D29" s="78"/>
      <c r="E29" s="78"/>
      <c r="F29" s="78"/>
      <c r="G29" s="78"/>
      <c r="H29" s="78"/>
      <c r="I29" s="78"/>
      <c r="J29" s="78"/>
      <c r="K29" s="78"/>
    </row>
    <row r="30" spans="2:11" x14ac:dyDescent="0.25">
      <c r="B30" s="78"/>
      <c r="C30" s="78"/>
      <c r="D30" s="78"/>
      <c r="E30" s="78"/>
      <c r="F30" s="78"/>
      <c r="G30" s="78"/>
      <c r="H30" s="78"/>
      <c r="I30" s="78"/>
      <c r="J30" s="78"/>
      <c r="K30" s="78"/>
    </row>
    <row r="31" spans="2:11" x14ac:dyDescent="0.25">
      <c r="B31" s="78"/>
      <c r="C31" s="78"/>
      <c r="D31" s="78"/>
      <c r="E31" s="78"/>
      <c r="F31" s="78"/>
      <c r="G31" s="78"/>
      <c r="H31" s="78"/>
      <c r="I31" s="78"/>
      <c r="J31" s="78"/>
      <c r="K31" s="78"/>
    </row>
    <row r="32" spans="2:11" x14ac:dyDescent="0.25">
      <c r="B32" s="78"/>
      <c r="C32" s="78"/>
      <c r="D32" s="78"/>
      <c r="E32" s="78"/>
      <c r="F32" s="78"/>
      <c r="G32" s="78"/>
      <c r="H32" s="78"/>
      <c r="I32" s="78"/>
      <c r="J32" s="78"/>
      <c r="K32" s="78"/>
    </row>
    <row r="33" spans="2:11" x14ac:dyDescent="0.25">
      <c r="B33" s="78"/>
      <c r="C33" s="78"/>
      <c r="D33" s="78"/>
      <c r="E33" s="78"/>
      <c r="F33" s="78"/>
      <c r="G33" s="78"/>
      <c r="H33" s="78"/>
      <c r="I33" s="78"/>
      <c r="J33" s="78"/>
      <c r="K33" s="78"/>
    </row>
    <row r="34" spans="2:11" x14ac:dyDescent="0.25">
      <c r="B34" s="78"/>
      <c r="C34" s="78"/>
      <c r="D34" s="78"/>
      <c r="E34" s="78"/>
      <c r="F34" s="78"/>
      <c r="G34" s="78"/>
      <c r="H34" s="78"/>
      <c r="I34" s="78"/>
      <c r="J34" s="78"/>
      <c r="K34" s="78"/>
    </row>
    <row r="35" spans="2:11" x14ac:dyDescent="0.25">
      <c r="B35" s="78"/>
      <c r="C35" s="78"/>
      <c r="D35" s="78"/>
      <c r="E35" s="78"/>
      <c r="F35" s="78"/>
      <c r="G35" s="78"/>
      <c r="H35" s="78"/>
      <c r="I35" s="78"/>
      <c r="J35" s="78"/>
      <c r="K35" s="78"/>
    </row>
    <row r="36" spans="2:11" x14ac:dyDescent="0.25">
      <c r="B36" s="78"/>
      <c r="C36" s="78"/>
      <c r="D36" s="78"/>
      <c r="E36" s="78"/>
      <c r="F36" s="78"/>
      <c r="G36" s="78"/>
      <c r="H36" s="78"/>
      <c r="I36" s="78"/>
      <c r="J36" s="78"/>
      <c r="K36" s="78"/>
    </row>
    <row r="37" spans="2:11" x14ac:dyDescent="0.25">
      <c r="B37" s="78"/>
      <c r="C37" s="78"/>
      <c r="D37" s="78"/>
      <c r="E37" s="78"/>
      <c r="F37" s="78"/>
      <c r="G37" s="78"/>
      <c r="H37" s="78"/>
      <c r="I37" s="78"/>
      <c r="J37" s="78"/>
      <c r="K37" s="78"/>
    </row>
    <row r="38" spans="2:11" x14ac:dyDescent="0.25">
      <c r="B38" s="78"/>
      <c r="C38" s="78"/>
      <c r="D38" s="78"/>
      <c r="E38" s="78"/>
      <c r="F38" s="78"/>
      <c r="G38" s="78"/>
      <c r="H38" s="78"/>
      <c r="I38" s="78"/>
      <c r="J38" s="78"/>
      <c r="K38" s="78"/>
    </row>
    <row r="39" spans="2:11" x14ac:dyDescent="0.25">
      <c r="B39" s="78"/>
      <c r="C39" s="78"/>
      <c r="D39" s="78"/>
      <c r="E39" s="78"/>
      <c r="F39" s="78"/>
      <c r="G39" s="78"/>
      <c r="H39" s="78"/>
      <c r="I39" s="78"/>
      <c r="J39" s="78"/>
      <c r="K39" s="78"/>
    </row>
    <row r="40" spans="2:11" x14ac:dyDescent="0.25">
      <c r="B40" s="78"/>
      <c r="C40" s="78"/>
      <c r="D40" s="78"/>
      <c r="E40" s="78"/>
      <c r="F40" s="78"/>
      <c r="G40" s="78"/>
      <c r="H40" s="78"/>
      <c r="I40" s="78"/>
      <c r="J40" s="78"/>
      <c r="K40" s="78"/>
    </row>
    <row r="41" spans="2:11" x14ac:dyDescent="0.25">
      <c r="B41" s="78"/>
      <c r="C41" s="78"/>
      <c r="D41" s="78"/>
      <c r="E41" s="78"/>
      <c r="F41" s="78"/>
      <c r="G41" s="78"/>
      <c r="H41" s="78"/>
      <c r="I41" s="78"/>
      <c r="J41" s="78"/>
      <c r="K41" s="78"/>
    </row>
    <row r="42" spans="2:11" x14ac:dyDescent="0.25">
      <c r="B42" s="78"/>
      <c r="C42" s="78"/>
      <c r="D42" s="78"/>
      <c r="E42" s="78"/>
      <c r="F42" s="78"/>
      <c r="G42" s="78"/>
      <c r="H42" s="78"/>
      <c r="I42" s="78"/>
      <c r="J42" s="78"/>
      <c r="K42" s="78"/>
    </row>
    <row r="43" spans="2:11" x14ac:dyDescent="0.25">
      <c r="B43" s="78"/>
      <c r="C43" s="78"/>
      <c r="D43" s="78"/>
      <c r="E43" s="78"/>
      <c r="F43" s="78"/>
      <c r="G43" s="78"/>
      <c r="H43" s="78"/>
      <c r="I43" s="78"/>
      <c r="J43" s="78"/>
      <c r="K43" s="78"/>
    </row>
    <row r="44" spans="2:11" x14ac:dyDescent="0.25">
      <c r="B44" s="78"/>
      <c r="C44" s="78"/>
      <c r="D44" s="78"/>
      <c r="E44" s="78"/>
      <c r="F44" s="78"/>
      <c r="G44" s="78"/>
      <c r="H44" s="78"/>
      <c r="I44" s="78"/>
      <c r="J44" s="78"/>
      <c r="K44" s="78"/>
    </row>
    <row r="45" spans="2:11" x14ac:dyDescent="0.25">
      <c r="B45" s="78"/>
      <c r="C45" s="78"/>
      <c r="D45" s="78"/>
      <c r="E45" s="78"/>
      <c r="F45" s="78"/>
      <c r="G45" s="78"/>
      <c r="H45" s="78"/>
      <c r="I45" s="78"/>
      <c r="J45" s="78"/>
      <c r="K45" s="78"/>
    </row>
    <row r="46" spans="2:11" x14ac:dyDescent="0.25">
      <c r="B46" s="78"/>
      <c r="C46" s="78"/>
      <c r="D46" s="78"/>
      <c r="E46" s="78"/>
      <c r="F46" s="78"/>
      <c r="G46" s="78"/>
      <c r="H46" s="78"/>
      <c r="I46" s="78"/>
      <c r="J46" s="78"/>
      <c r="K46" s="78"/>
    </row>
    <row r="47" spans="2:11" x14ac:dyDescent="0.25">
      <c r="B47" s="78"/>
      <c r="C47" s="78"/>
      <c r="D47" s="78"/>
      <c r="E47" s="78"/>
      <c r="F47" s="78"/>
      <c r="G47" s="78"/>
      <c r="H47" s="78"/>
      <c r="I47" s="78"/>
      <c r="J47" s="78"/>
      <c r="K47" s="78"/>
    </row>
    <row r="48" spans="2:11" x14ac:dyDescent="0.25">
      <c r="B48" s="78"/>
      <c r="C48" s="78"/>
      <c r="D48" s="78"/>
      <c r="E48" s="78"/>
      <c r="F48" s="78"/>
      <c r="G48" s="78"/>
      <c r="H48" s="78"/>
      <c r="I48" s="78"/>
      <c r="J48" s="78"/>
      <c r="K48" s="78"/>
    </row>
    <row r="49" spans="2:11" x14ac:dyDescent="0.25">
      <c r="B49" s="78"/>
      <c r="C49" s="78"/>
      <c r="D49" s="78"/>
      <c r="E49" s="78"/>
      <c r="F49" s="78"/>
      <c r="G49" s="78"/>
      <c r="H49" s="78"/>
      <c r="I49" s="78"/>
      <c r="J49" s="78"/>
      <c r="K49" s="78"/>
    </row>
    <row r="50" spans="2:11" x14ac:dyDescent="0.25">
      <c r="B50" s="78"/>
      <c r="C50" s="78"/>
      <c r="D50" s="78"/>
      <c r="E50" s="78"/>
      <c r="F50" s="78"/>
      <c r="G50" s="78"/>
      <c r="H50" s="78"/>
      <c r="I50" s="78"/>
      <c r="J50" s="78"/>
      <c r="K50" s="78"/>
    </row>
    <row r="51" spans="2:11" x14ac:dyDescent="0.25">
      <c r="B51" s="78"/>
      <c r="C51" s="78"/>
      <c r="D51" s="78"/>
      <c r="E51" s="78"/>
      <c r="F51" s="78"/>
      <c r="G51" s="78"/>
      <c r="H51" s="78"/>
      <c r="I51" s="78"/>
      <c r="J51" s="78"/>
      <c r="K51" s="78"/>
    </row>
    <row r="52" spans="2:11" x14ac:dyDescent="0.25">
      <c r="B52" s="78"/>
      <c r="C52" s="78"/>
      <c r="D52" s="78"/>
      <c r="E52" s="78"/>
      <c r="F52" s="78"/>
      <c r="G52" s="78"/>
      <c r="H52" s="78"/>
      <c r="I52" s="78"/>
      <c r="J52" s="78"/>
      <c r="K52" s="78"/>
    </row>
    <row r="53" spans="2:11" x14ac:dyDescent="0.25">
      <c r="B53" s="78"/>
      <c r="C53" s="78"/>
      <c r="D53" s="78"/>
      <c r="E53" s="78"/>
      <c r="F53" s="78"/>
      <c r="G53" s="78"/>
      <c r="H53" s="78"/>
      <c r="I53" s="78"/>
      <c r="J53" s="78"/>
      <c r="K53" s="78"/>
    </row>
    <row r="54" spans="2:11" x14ac:dyDescent="0.25">
      <c r="B54" s="78"/>
      <c r="C54" s="78"/>
      <c r="D54" s="78"/>
      <c r="E54" s="78"/>
      <c r="F54" s="78"/>
      <c r="G54" s="78"/>
      <c r="H54" s="78"/>
      <c r="I54" s="78"/>
      <c r="J54" s="78"/>
      <c r="K54" s="78"/>
    </row>
    <row r="55" spans="2:11" x14ac:dyDescent="0.25">
      <c r="B55" s="78"/>
      <c r="C55" s="78"/>
      <c r="D55" s="78"/>
      <c r="E55" s="78"/>
      <c r="F55" s="78"/>
      <c r="G55" s="78"/>
      <c r="H55" s="78"/>
      <c r="I55" s="78"/>
      <c r="J55" s="78"/>
      <c r="K55" s="78"/>
    </row>
    <row r="56" spans="2:11" x14ac:dyDescent="0.25">
      <c r="B56" s="78"/>
      <c r="C56" s="78"/>
      <c r="D56" s="78"/>
      <c r="E56" s="78"/>
      <c r="F56" s="78"/>
      <c r="G56" s="78"/>
      <c r="H56" s="78"/>
      <c r="I56" s="78"/>
      <c r="J56" s="78"/>
      <c r="K56" s="78"/>
    </row>
    <row r="57" spans="2:11" x14ac:dyDescent="0.25">
      <c r="B57" s="78"/>
      <c r="C57" s="78"/>
      <c r="D57" s="78"/>
      <c r="E57" s="78"/>
      <c r="F57" s="78"/>
      <c r="G57" s="78"/>
      <c r="H57" s="78"/>
      <c r="I57" s="78"/>
      <c r="J57" s="78"/>
      <c r="K57" s="78"/>
    </row>
    <row r="58" spans="2:11" x14ac:dyDescent="0.25">
      <c r="B58" s="78"/>
      <c r="C58" s="78"/>
      <c r="D58" s="78"/>
      <c r="E58" s="78"/>
      <c r="F58" s="78"/>
      <c r="G58" s="78"/>
      <c r="H58" s="78"/>
      <c r="I58" s="78"/>
      <c r="J58" s="78"/>
      <c r="K58" s="78"/>
    </row>
    <row r="59" spans="2:11" x14ac:dyDescent="0.25">
      <c r="B59" s="78"/>
      <c r="C59" s="78"/>
      <c r="D59" s="78"/>
      <c r="E59" s="78"/>
      <c r="F59" s="78"/>
      <c r="G59" s="78"/>
      <c r="H59" s="78"/>
      <c r="I59" s="78"/>
      <c r="J59" s="78"/>
      <c r="K59" s="78"/>
    </row>
    <row r="60" spans="2:11" x14ac:dyDescent="0.25">
      <c r="B60" s="78"/>
      <c r="C60" s="78"/>
      <c r="D60" s="78"/>
      <c r="E60" s="78"/>
      <c r="F60" s="78"/>
      <c r="G60" s="78"/>
      <c r="H60" s="78"/>
      <c r="I60" s="78"/>
      <c r="J60" s="78"/>
      <c r="K60" s="78"/>
    </row>
    <row r="61" spans="2:11" x14ac:dyDescent="0.25">
      <c r="B61" s="78"/>
      <c r="C61" s="78"/>
      <c r="D61" s="78"/>
      <c r="E61" s="78"/>
      <c r="F61" s="78"/>
      <c r="G61" s="78"/>
      <c r="H61" s="78"/>
      <c r="I61" s="78"/>
      <c r="J61" s="78"/>
      <c r="K61" s="78"/>
    </row>
    <row r="62" spans="2:11" x14ac:dyDescent="0.25">
      <c r="B62" s="78"/>
      <c r="C62" s="78"/>
      <c r="D62" s="78"/>
      <c r="E62" s="78"/>
      <c r="F62" s="78"/>
      <c r="G62" s="78"/>
      <c r="H62" s="78"/>
      <c r="I62" s="78"/>
      <c r="J62" s="78"/>
      <c r="K62" s="78"/>
    </row>
    <row r="63" spans="2:11" x14ac:dyDescent="0.25">
      <c r="B63" s="78"/>
      <c r="C63" s="78"/>
      <c r="D63" s="78"/>
      <c r="E63" s="78"/>
      <c r="F63" s="78"/>
      <c r="G63" s="78"/>
      <c r="H63" s="78"/>
      <c r="I63" s="78"/>
      <c r="J63" s="78"/>
      <c r="K63" s="78"/>
    </row>
    <row r="64" spans="2:11" x14ac:dyDescent="0.25">
      <c r="B64" s="78"/>
      <c r="C64" s="78"/>
      <c r="D64" s="78"/>
      <c r="E64" s="78"/>
      <c r="F64" s="78"/>
      <c r="G64" s="78"/>
      <c r="H64" s="78"/>
      <c r="I64" s="78"/>
      <c r="J64" s="78"/>
      <c r="K64" s="78"/>
    </row>
    <row r="65" spans="2:11" x14ac:dyDescent="0.25">
      <c r="B65" s="78"/>
      <c r="C65" s="78"/>
      <c r="D65" s="78"/>
      <c r="E65" s="78"/>
      <c r="F65" s="78"/>
      <c r="G65" s="78"/>
      <c r="H65" s="78"/>
      <c r="I65" s="78"/>
      <c r="J65" s="78"/>
      <c r="K65" s="78"/>
    </row>
    <row r="66" spans="2:11" x14ac:dyDescent="0.25">
      <c r="B66" s="78"/>
      <c r="C66" s="78"/>
      <c r="D66" s="78"/>
      <c r="E66" s="78"/>
      <c r="F66" s="78"/>
      <c r="G66" s="78"/>
      <c r="H66" s="78"/>
      <c r="I66" s="78"/>
      <c r="J66" s="78"/>
      <c r="K66" s="78"/>
    </row>
    <row r="67" spans="2:11" x14ac:dyDescent="0.25">
      <c r="B67" s="78"/>
      <c r="C67" s="78"/>
      <c r="D67" s="78"/>
      <c r="E67" s="78"/>
      <c r="F67" s="78"/>
      <c r="G67" s="78"/>
      <c r="H67" s="78"/>
      <c r="I67" s="78"/>
      <c r="J67" s="78"/>
      <c r="K67" s="78"/>
    </row>
    <row r="68" spans="2:11" x14ac:dyDescent="0.25">
      <c r="B68" s="78"/>
      <c r="C68" s="78"/>
      <c r="D68" s="78"/>
      <c r="E68" s="78"/>
      <c r="F68" s="78"/>
      <c r="G68" s="78"/>
      <c r="H68" s="78"/>
      <c r="I68" s="78"/>
      <c r="J68" s="78"/>
      <c r="K68" s="78"/>
    </row>
    <row r="69" spans="2:11" x14ac:dyDescent="0.25">
      <c r="B69" s="78"/>
      <c r="C69" s="78"/>
      <c r="D69" s="78"/>
      <c r="E69" s="78"/>
      <c r="F69" s="78"/>
      <c r="G69" s="78"/>
      <c r="H69" s="78"/>
      <c r="I69" s="78"/>
      <c r="J69" s="78"/>
      <c r="K69" s="78"/>
    </row>
    <row r="70" spans="2:11" x14ac:dyDescent="0.25">
      <c r="B70" s="78"/>
      <c r="C70" s="78"/>
      <c r="D70" s="78"/>
      <c r="E70" s="78"/>
      <c r="F70" s="78"/>
      <c r="G70" s="78"/>
      <c r="H70" s="78"/>
      <c r="I70" s="78"/>
      <c r="J70" s="78"/>
      <c r="K70" s="78"/>
    </row>
    <row r="71" spans="2:11" x14ac:dyDescent="0.25">
      <c r="B71" s="78"/>
      <c r="C71" s="78"/>
      <c r="D71" s="78"/>
      <c r="E71" s="78"/>
      <c r="F71" s="78"/>
      <c r="G71" s="78"/>
      <c r="H71" s="78"/>
      <c r="I71" s="78"/>
      <c r="J71" s="78"/>
      <c r="K71" s="78"/>
    </row>
  </sheetData>
  <sheetProtection algorithmName="SHA-512" hashValue="HPoiKdpPJqB/dw9sr+ExcUWkKf3Ho6O6yiqhypLzE45vLO1DIY0G44Tgor+bnqpxHHf6nSdfB6JgmsOEi1NrnA==" saltValue="GfP+iPuTaE3Y+I9CDJkQzw==" spinCount="100000" sheet="1" objects="1" scenarios="1"/>
  <mergeCells count="26">
    <mergeCell ref="M2:O2"/>
    <mergeCell ref="M3:O3"/>
    <mergeCell ref="B19:K19"/>
    <mergeCell ref="B20:K20"/>
    <mergeCell ref="B12:K12"/>
    <mergeCell ref="G13:K13"/>
    <mergeCell ref="D13:F13"/>
    <mergeCell ref="B13:C13"/>
    <mergeCell ref="B14:K14"/>
    <mergeCell ref="B18:K18"/>
    <mergeCell ref="B16:K16"/>
    <mergeCell ref="B15:C15"/>
    <mergeCell ref="D15:F15"/>
    <mergeCell ref="G15:K15"/>
    <mergeCell ref="B17:K17"/>
    <mergeCell ref="E9:K9"/>
    <mergeCell ref="B9:D9"/>
    <mergeCell ref="B10:K10"/>
    <mergeCell ref="B11:D11"/>
    <mergeCell ref="E11:K11"/>
    <mergeCell ref="B8:K8"/>
    <mergeCell ref="B5:K5"/>
    <mergeCell ref="B3:K3"/>
    <mergeCell ref="B2:K2"/>
    <mergeCell ref="B7:K7"/>
    <mergeCell ref="B6:K6"/>
  </mergeCells>
  <pageMargins left="0.7" right="0.7" top="0.75" bottom="0.75" header="0.3" footer="0.3"/>
  <pageSetup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3</xdr:col>
                    <xdr:colOff>152400</xdr:colOff>
                    <xdr:row>12</xdr:row>
                    <xdr:rowOff>47625</xdr:rowOff>
                  </from>
                  <to>
                    <xdr:col>4</xdr:col>
                    <xdr:colOff>304800</xdr:colOff>
                    <xdr:row>12</xdr:row>
                    <xdr:rowOff>781050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4</xdr:col>
                    <xdr:colOff>361950</xdr:colOff>
                    <xdr:row>12</xdr:row>
                    <xdr:rowOff>47625</xdr:rowOff>
                  </from>
                  <to>
                    <xdr:col>6</xdr:col>
                    <xdr:colOff>0</xdr:colOff>
                    <xdr:row>12</xdr:row>
                    <xdr:rowOff>781050</xdr:rowOff>
                  </to>
                </anchor>
              </controlPr>
            </control>
          </mc:Choice>
        </mc:AlternateContent>
        <mc:AlternateContent xmlns:mc="http://schemas.openxmlformats.org/markup-compatibility/2006">
          <mc:Choice Requires="x14">
            <control shapeId="31759" r:id="rId6" name="Check Box 15">
              <controlPr defaultSize="0" autoFill="0" autoLine="0" autoPict="0">
                <anchor moveWithCells="1">
                  <from>
                    <xdr:col>1</xdr:col>
                    <xdr:colOff>0</xdr:colOff>
                    <xdr:row>15</xdr:row>
                    <xdr:rowOff>47625</xdr:rowOff>
                  </from>
                  <to>
                    <xdr:col>2</xdr:col>
                    <xdr:colOff>171450</xdr:colOff>
                    <xdr:row>15</xdr:row>
                    <xdr:rowOff>276225</xdr:rowOff>
                  </to>
                </anchor>
              </controlPr>
            </control>
          </mc:Choice>
        </mc:AlternateContent>
        <mc:AlternateContent xmlns:mc="http://schemas.openxmlformats.org/markup-compatibility/2006">
          <mc:Choice Requires="x14">
            <control shapeId="31760" r:id="rId7" name="Check Box 16">
              <controlPr defaultSize="0" autoFill="0" autoLine="0" autoPict="0">
                <anchor moveWithCells="1">
                  <from>
                    <xdr:col>1</xdr:col>
                    <xdr:colOff>0</xdr:colOff>
                    <xdr:row>15</xdr:row>
                    <xdr:rowOff>238125</xdr:rowOff>
                  </from>
                  <to>
                    <xdr:col>2</xdr:col>
                    <xdr:colOff>171450</xdr:colOff>
                    <xdr:row>15</xdr:row>
                    <xdr:rowOff>466725</xdr:rowOff>
                  </to>
                </anchor>
              </controlPr>
            </control>
          </mc:Choice>
        </mc:AlternateContent>
        <mc:AlternateContent xmlns:mc="http://schemas.openxmlformats.org/markup-compatibility/2006">
          <mc:Choice Requires="x14">
            <control shapeId="31761" r:id="rId8" name="Check Box 17">
              <controlPr defaultSize="0" autoFill="0" autoLine="0" autoPict="0">
                <anchor moveWithCells="1">
                  <from>
                    <xdr:col>2</xdr:col>
                    <xdr:colOff>466725</xdr:colOff>
                    <xdr:row>15</xdr:row>
                    <xdr:rowOff>47625</xdr:rowOff>
                  </from>
                  <to>
                    <xdr:col>4</xdr:col>
                    <xdr:colOff>171450</xdr:colOff>
                    <xdr:row>15</xdr:row>
                    <xdr:rowOff>276225</xdr:rowOff>
                  </to>
                </anchor>
              </controlPr>
            </control>
          </mc:Choice>
        </mc:AlternateContent>
        <mc:AlternateContent xmlns:mc="http://schemas.openxmlformats.org/markup-compatibility/2006">
          <mc:Choice Requires="x14">
            <control shapeId="31762" r:id="rId9" name="Check Box 18">
              <controlPr defaultSize="0" autoFill="0" autoLine="0" autoPict="0">
                <anchor moveWithCells="1">
                  <from>
                    <xdr:col>2</xdr:col>
                    <xdr:colOff>466725</xdr:colOff>
                    <xdr:row>15</xdr:row>
                    <xdr:rowOff>238125</xdr:rowOff>
                  </from>
                  <to>
                    <xdr:col>4</xdr:col>
                    <xdr:colOff>171450</xdr:colOff>
                    <xdr:row>15</xdr:row>
                    <xdr:rowOff>466725</xdr:rowOff>
                  </to>
                </anchor>
              </controlPr>
            </control>
          </mc:Choice>
        </mc:AlternateContent>
        <mc:AlternateContent xmlns:mc="http://schemas.openxmlformats.org/markup-compatibility/2006">
          <mc:Choice Requires="x14">
            <control shapeId="31763" r:id="rId10" name="Check Box 19">
              <controlPr defaultSize="0" autoFill="0" autoLine="0" autoPict="0">
                <anchor moveWithCells="1">
                  <from>
                    <xdr:col>4</xdr:col>
                    <xdr:colOff>333375</xdr:colOff>
                    <xdr:row>15</xdr:row>
                    <xdr:rowOff>47625</xdr:rowOff>
                  </from>
                  <to>
                    <xdr:col>5</xdr:col>
                    <xdr:colOff>590550</xdr:colOff>
                    <xdr:row>15</xdr:row>
                    <xdr:rowOff>276225</xdr:rowOff>
                  </to>
                </anchor>
              </controlPr>
            </control>
          </mc:Choice>
        </mc:AlternateContent>
        <mc:AlternateContent xmlns:mc="http://schemas.openxmlformats.org/markup-compatibility/2006">
          <mc:Choice Requires="x14">
            <control shapeId="31764" r:id="rId11" name="Check Box 20">
              <controlPr defaultSize="0" autoFill="0" autoLine="0" autoPict="0">
                <anchor moveWithCells="1">
                  <from>
                    <xdr:col>4</xdr:col>
                    <xdr:colOff>333375</xdr:colOff>
                    <xdr:row>15</xdr:row>
                    <xdr:rowOff>238125</xdr:rowOff>
                  </from>
                  <to>
                    <xdr:col>5</xdr:col>
                    <xdr:colOff>590550</xdr:colOff>
                    <xdr:row>15</xdr:row>
                    <xdr:rowOff>466725</xdr:rowOff>
                  </to>
                </anchor>
              </controlPr>
            </control>
          </mc:Choice>
        </mc:AlternateContent>
        <mc:AlternateContent xmlns:mc="http://schemas.openxmlformats.org/markup-compatibility/2006">
          <mc:Choice Requires="x14">
            <control shapeId="31765" r:id="rId12" name="Check Box 21">
              <controlPr defaultSize="0" autoFill="0" autoLine="0" autoPict="0">
                <anchor moveWithCells="1">
                  <from>
                    <xdr:col>6</xdr:col>
                    <xdr:colOff>66675</xdr:colOff>
                    <xdr:row>15</xdr:row>
                    <xdr:rowOff>47625</xdr:rowOff>
                  </from>
                  <to>
                    <xdr:col>7</xdr:col>
                    <xdr:colOff>323850</xdr:colOff>
                    <xdr:row>15</xdr:row>
                    <xdr:rowOff>276225</xdr:rowOff>
                  </to>
                </anchor>
              </controlPr>
            </control>
          </mc:Choice>
        </mc:AlternateContent>
        <mc:AlternateContent xmlns:mc="http://schemas.openxmlformats.org/markup-compatibility/2006">
          <mc:Choice Requires="x14">
            <control shapeId="31766" r:id="rId13" name="Check Box 22">
              <controlPr defaultSize="0" autoFill="0" autoLine="0" autoPict="0">
                <anchor moveWithCells="1">
                  <from>
                    <xdr:col>6</xdr:col>
                    <xdr:colOff>66675</xdr:colOff>
                    <xdr:row>15</xdr:row>
                    <xdr:rowOff>238125</xdr:rowOff>
                  </from>
                  <to>
                    <xdr:col>7</xdr:col>
                    <xdr:colOff>323850</xdr:colOff>
                    <xdr:row>15</xdr:row>
                    <xdr:rowOff>466725</xdr:rowOff>
                  </to>
                </anchor>
              </controlPr>
            </control>
          </mc:Choice>
        </mc:AlternateContent>
        <mc:AlternateContent xmlns:mc="http://schemas.openxmlformats.org/markup-compatibility/2006">
          <mc:Choice Requires="x14">
            <control shapeId="31767" r:id="rId14" name="Check Box 23">
              <controlPr defaultSize="0" autoFill="0" autoLine="0" autoPict="0">
                <anchor moveWithCells="1">
                  <from>
                    <xdr:col>7</xdr:col>
                    <xdr:colOff>466725</xdr:colOff>
                    <xdr:row>15</xdr:row>
                    <xdr:rowOff>47625</xdr:rowOff>
                  </from>
                  <to>
                    <xdr:col>9</xdr:col>
                    <xdr:colOff>114300</xdr:colOff>
                    <xdr:row>15</xdr:row>
                    <xdr:rowOff>276225</xdr:rowOff>
                  </to>
                </anchor>
              </controlPr>
            </control>
          </mc:Choice>
        </mc:AlternateContent>
        <mc:AlternateContent xmlns:mc="http://schemas.openxmlformats.org/markup-compatibility/2006">
          <mc:Choice Requires="x14">
            <control shapeId="31768" r:id="rId15" name="Check Box 24">
              <controlPr defaultSize="0" autoFill="0" autoLine="0" autoPict="0">
                <anchor moveWithCells="1">
                  <from>
                    <xdr:col>7</xdr:col>
                    <xdr:colOff>466725</xdr:colOff>
                    <xdr:row>15</xdr:row>
                    <xdr:rowOff>238125</xdr:rowOff>
                  </from>
                  <to>
                    <xdr:col>9</xdr:col>
                    <xdr:colOff>114300</xdr:colOff>
                    <xdr:row>15</xdr:row>
                    <xdr:rowOff>466725</xdr:rowOff>
                  </to>
                </anchor>
              </controlPr>
            </control>
          </mc:Choice>
        </mc:AlternateContent>
        <mc:AlternateContent xmlns:mc="http://schemas.openxmlformats.org/markup-compatibility/2006">
          <mc:Choice Requires="x14">
            <control shapeId="31769" r:id="rId16" name="Check Box 25">
              <controlPr defaultSize="0" autoFill="0" autoLine="0" autoPict="0">
                <anchor moveWithCells="1">
                  <from>
                    <xdr:col>9</xdr:col>
                    <xdr:colOff>333375</xdr:colOff>
                    <xdr:row>15</xdr:row>
                    <xdr:rowOff>47625</xdr:rowOff>
                  </from>
                  <to>
                    <xdr:col>10</xdr:col>
                    <xdr:colOff>590550</xdr:colOff>
                    <xdr:row>15</xdr:row>
                    <xdr:rowOff>276225</xdr:rowOff>
                  </to>
                </anchor>
              </controlPr>
            </control>
          </mc:Choice>
        </mc:AlternateContent>
        <mc:AlternateContent xmlns:mc="http://schemas.openxmlformats.org/markup-compatibility/2006">
          <mc:Choice Requires="x14">
            <control shapeId="31770" r:id="rId17" name="Check Box 26">
              <controlPr defaultSize="0" autoFill="0" autoLine="0" autoPict="0">
                <anchor moveWithCells="1">
                  <from>
                    <xdr:col>9</xdr:col>
                    <xdr:colOff>333375</xdr:colOff>
                    <xdr:row>15</xdr:row>
                    <xdr:rowOff>238125</xdr:rowOff>
                  </from>
                  <to>
                    <xdr:col>10</xdr:col>
                    <xdr:colOff>590550</xdr:colOff>
                    <xdr:row>15</xdr:row>
                    <xdr:rowOff>466725</xdr:rowOff>
                  </to>
                </anchor>
              </controlPr>
            </control>
          </mc:Choice>
        </mc:AlternateContent>
        <mc:AlternateContent xmlns:mc="http://schemas.openxmlformats.org/markup-compatibility/2006">
          <mc:Choice Requires="x14">
            <control shapeId="31771" r:id="rId18" name="Check Box 27">
              <controlPr defaultSize="0" autoFill="0" autoLine="0" autoPict="0">
                <anchor moveWithCells="1">
                  <from>
                    <xdr:col>3</xdr:col>
                    <xdr:colOff>152400</xdr:colOff>
                    <xdr:row>14</xdr:row>
                    <xdr:rowOff>47625</xdr:rowOff>
                  </from>
                  <to>
                    <xdr:col>4</xdr:col>
                    <xdr:colOff>304800</xdr:colOff>
                    <xdr:row>15</xdr:row>
                    <xdr:rowOff>0</xdr:rowOff>
                  </to>
                </anchor>
              </controlPr>
            </control>
          </mc:Choice>
        </mc:AlternateContent>
        <mc:AlternateContent xmlns:mc="http://schemas.openxmlformats.org/markup-compatibility/2006">
          <mc:Choice Requires="x14">
            <control shapeId="31772" r:id="rId19" name="Check Box 28">
              <controlPr defaultSize="0" autoFill="0" autoLine="0" autoPict="0">
                <anchor moveWithCells="1">
                  <from>
                    <xdr:col>4</xdr:col>
                    <xdr:colOff>361950</xdr:colOff>
                    <xdr:row>14</xdr:row>
                    <xdr:rowOff>47625</xdr:rowOff>
                  </from>
                  <to>
                    <xdr:col>6</xdr:col>
                    <xdr:colOff>0</xdr:colOff>
                    <xdr:row>15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002060"/>
    <pageSetUpPr fitToPage="1"/>
  </sheetPr>
  <dimension ref="A1:AZ180"/>
  <sheetViews>
    <sheetView showGridLines="0" zoomScaleNormal="100" workbookViewId="0">
      <selection sqref="A1:S1"/>
    </sheetView>
  </sheetViews>
  <sheetFormatPr defaultRowHeight="14.25" x14ac:dyDescent="0.25"/>
  <cols>
    <col min="1" max="1" width="10" style="130" customWidth="1"/>
    <col min="2" max="2" width="15.42578125" style="48" customWidth="1"/>
    <col min="3" max="3" width="12.140625" style="48" customWidth="1"/>
    <col min="4" max="4" width="11.28515625" style="48" customWidth="1"/>
    <col min="5" max="5" width="14.7109375" style="48" customWidth="1"/>
    <col min="6" max="6" width="14.5703125" style="48" customWidth="1"/>
    <col min="7" max="15" width="11.140625" style="48" customWidth="1"/>
    <col min="16" max="16" width="3.7109375" style="48" customWidth="1"/>
    <col min="17" max="19" width="9.140625" style="48"/>
    <col min="20" max="20" width="11.5703125" style="48" bestFit="1" customWidth="1"/>
    <col min="21" max="28" width="9.140625" style="48"/>
    <col min="29" max="29" width="11" style="48" bestFit="1" customWidth="1"/>
    <col min="30" max="30" width="12.28515625" style="48" customWidth="1"/>
    <col min="31" max="45" width="9.140625" style="48"/>
    <col min="46" max="46" width="12.28515625" style="48" customWidth="1"/>
    <col min="47" max="47" width="9.140625" style="48"/>
    <col min="48" max="48" width="10.28515625" style="48" customWidth="1"/>
    <col min="49" max="16384" width="9.140625" style="48"/>
  </cols>
  <sheetData>
    <row r="1" spans="1:41" s="69" customFormat="1" ht="26.25" customHeight="1" thickBot="1" x14ac:dyDescent="0.3">
      <c r="A1" s="1315" t="s">
        <v>2495</v>
      </c>
      <c r="B1" s="1315"/>
      <c r="C1" s="1315"/>
      <c r="D1" s="1315"/>
      <c r="E1" s="1315"/>
      <c r="F1" s="1315"/>
      <c r="G1" s="1315"/>
      <c r="H1" s="1315"/>
      <c r="I1" s="1315"/>
      <c r="J1" s="1315"/>
      <c r="K1" s="1315"/>
      <c r="L1" s="1315"/>
      <c r="M1" s="1315"/>
      <c r="N1" s="1315"/>
      <c r="O1" s="1315"/>
      <c r="P1" s="1315"/>
      <c r="Q1" s="1315"/>
      <c r="R1" s="1315"/>
      <c r="S1" s="1315"/>
    </row>
    <row r="2" spans="1:41" s="160" customFormat="1" ht="35.1" customHeight="1" thickBot="1" x14ac:dyDescent="0.3">
      <c r="A2" s="1448" t="s">
        <v>2338</v>
      </c>
      <c r="B2" s="1448"/>
      <c r="C2" s="1448"/>
      <c r="D2" s="1448"/>
      <c r="E2" s="1448"/>
      <c r="F2" s="1448"/>
      <c r="G2" s="1448"/>
      <c r="H2" s="1448"/>
      <c r="I2" s="1448"/>
      <c r="J2" s="1448"/>
      <c r="K2" s="1448"/>
      <c r="L2" s="1448"/>
      <c r="M2" s="1448"/>
      <c r="N2" s="1448"/>
      <c r="O2" s="1448"/>
    </row>
    <row r="3" spans="1:41" s="640" customFormat="1" ht="30" customHeight="1" thickBot="1" x14ac:dyDescent="0.3">
      <c r="A3" s="1427" t="s">
        <v>2211</v>
      </c>
      <c r="B3" s="1428"/>
      <c r="C3" s="1428"/>
      <c r="D3" s="1428"/>
      <c r="E3" s="1428"/>
      <c r="F3" s="1428"/>
      <c r="G3" s="1428"/>
      <c r="H3" s="1428"/>
      <c r="I3" s="1428"/>
      <c r="J3" s="1428"/>
      <c r="K3" s="1428"/>
      <c r="L3" s="1428"/>
      <c r="M3" s="1428"/>
      <c r="N3" s="1428"/>
      <c r="O3" s="1428"/>
    </row>
    <row r="4" spans="1:41" s="694" customFormat="1" ht="35.1" customHeight="1" thickBot="1" x14ac:dyDescent="0.3">
      <c r="A4" s="1439">
        <v>1</v>
      </c>
      <c r="B4" s="1441" t="s">
        <v>2433</v>
      </c>
      <c r="C4" s="1441"/>
      <c r="D4" s="1441"/>
      <c r="E4" s="1441"/>
      <c r="F4" s="1441"/>
      <c r="G4" s="1441"/>
      <c r="H4" s="1441"/>
      <c r="I4" s="1441"/>
      <c r="J4" s="695">
        <f>'Table 3-A| Emission Units'!$A$30</f>
        <v>0</v>
      </c>
      <c r="K4" s="695">
        <f>'Table 3-A| Emission Units'!$A$43</f>
        <v>0</v>
      </c>
      <c r="L4" s="695">
        <f>'Table 3-A| Emission Units'!$A$56</f>
        <v>0</v>
      </c>
      <c r="M4" s="1442" t="str">
        <f>IF(J4=0,"","&lt;&lt;&lt; Asphalt Plant Units")</f>
        <v/>
      </c>
      <c r="N4" s="1442"/>
      <c r="O4" s="1442"/>
      <c r="P4" s="68"/>
      <c r="T4" s="68"/>
      <c r="U4" s="68"/>
      <c r="V4" s="68"/>
      <c r="W4" s="68"/>
      <c r="X4" s="68"/>
      <c r="Y4" s="68"/>
      <c r="Z4" s="68"/>
      <c r="AA4" s="540">
        <f>J4</f>
        <v>0</v>
      </c>
      <c r="AB4" s="540">
        <f>K4</f>
        <v>0</v>
      </c>
      <c r="AC4" s="540">
        <f>L4</f>
        <v>0</v>
      </c>
      <c r="AD4" s="68"/>
      <c r="AE4" s="68"/>
      <c r="AF4" s="68"/>
      <c r="AG4" s="68"/>
      <c r="AH4" s="68"/>
      <c r="AI4" s="68"/>
      <c r="AJ4" s="68"/>
      <c r="AK4" s="68"/>
      <c r="AL4" s="68"/>
      <c r="AM4" s="68"/>
      <c r="AN4" s="68"/>
      <c r="AO4" s="68"/>
    </row>
    <row r="5" spans="1:41" s="68" customFormat="1" ht="20.100000000000001" customHeight="1" thickBot="1" x14ac:dyDescent="0.3">
      <c r="A5" s="1440"/>
      <c r="B5" s="1390"/>
      <c r="C5" s="1390"/>
      <c r="D5" s="1390"/>
      <c r="E5" s="1390"/>
      <c r="F5" s="1390"/>
      <c r="G5" s="1390"/>
      <c r="H5" s="1390"/>
      <c r="I5" s="1390"/>
      <c r="J5" s="689"/>
      <c r="K5" s="689"/>
      <c r="L5" s="689"/>
      <c r="M5" s="1443" t="str">
        <f>IF(J4=0,"","Do not include labels in boxes.")</f>
        <v/>
      </c>
      <c r="N5" s="1444"/>
      <c r="O5" s="1444"/>
      <c r="AA5" s="711">
        <f>J5*($AS$78/2000)</f>
        <v>0</v>
      </c>
      <c r="AB5" s="711">
        <f>K5*($AS$78/2000)</f>
        <v>0</v>
      </c>
      <c r="AC5" s="711">
        <f>L5*($AS$78/2000)</f>
        <v>0</v>
      </c>
    </row>
    <row r="6" spans="1:41" s="160" customFormat="1" ht="12" customHeight="1" x14ac:dyDescent="0.25">
      <c r="A6" s="697"/>
      <c r="B6" s="697"/>
      <c r="C6" s="697"/>
      <c r="D6" s="697"/>
      <c r="E6" s="697"/>
      <c r="F6" s="697"/>
      <c r="G6" s="697"/>
      <c r="H6" s="697"/>
      <c r="I6" s="697"/>
      <c r="J6" s="701" t="str">
        <f>IF(J4=0,"","tons/hr")</f>
        <v/>
      </c>
      <c r="K6" s="701" t="str">
        <f>IF(K4=0,"","tons/hr")</f>
        <v/>
      </c>
      <c r="L6" s="701" t="str">
        <f>IF(L4=0,"","tons/hr")</f>
        <v/>
      </c>
      <c r="M6" s="697"/>
      <c r="AA6" s="701" t="str">
        <f>IF(AA4="","","tons/hr")</f>
        <v>tons/hr</v>
      </c>
      <c r="AB6" s="701" t="str">
        <f>IF(AB4="","","tons/hr")</f>
        <v>tons/hr</v>
      </c>
      <c r="AC6" s="701" t="str">
        <f>IF(AC4="","","tons/hr")</f>
        <v>tons/hr</v>
      </c>
    </row>
    <row r="7" spans="1:41" s="68" customFormat="1" ht="35.1" customHeight="1" thickBot="1" x14ac:dyDescent="0.3">
      <c r="A7" s="1440">
        <v>2</v>
      </c>
      <c r="B7" s="1390" t="s">
        <v>2447</v>
      </c>
      <c r="C7" s="1390"/>
      <c r="D7" s="1390"/>
      <c r="E7" s="1390"/>
      <c r="F7" s="1390"/>
      <c r="G7" s="1390"/>
      <c r="H7" s="1390"/>
      <c r="I7" s="1390"/>
      <c r="J7" s="695">
        <f>'Table 3-A| Emission Units'!$A$30</f>
        <v>0</v>
      </c>
      <c r="K7" s="695">
        <f>'Table 3-A| Emission Units'!$A$43</f>
        <v>0</v>
      </c>
      <c r="L7" s="695">
        <f>'Table 3-A| Emission Units'!$A$56</f>
        <v>0</v>
      </c>
      <c r="M7" s="1445" t="str">
        <f>IF(J7=0,"","&lt;&lt;&lt; Asphalt Plant Units")</f>
        <v/>
      </c>
      <c r="N7" s="1445"/>
      <c r="O7" s="1445"/>
      <c r="AA7" s="540">
        <f>J7</f>
        <v>0</v>
      </c>
      <c r="AB7" s="540">
        <f>K7</f>
        <v>0</v>
      </c>
      <c r="AC7" s="540">
        <f>L7</f>
        <v>0</v>
      </c>
    </row>
    <row r="8" spans="1:41" s="68" customFormat="1" ht="20.100000000000001" customHeight="1" thickBot="1" x14ac:dyDescent="0.3">
      <c r="A8" s="1440"/>
      <c r="B8" s="1390"/>
      <c r="C8" s="1390"/>
      <c r="D8" s="1390"/>
      <c r="E8" s="1390"/>
      <c r="F8" s="1390"/>
      <c r="G8" s="1390"/>
      <c r="H8" s="1390"/>
      <c r="I8" s="1390"/>
      <c r="J8" s="774"/>
      <c r="K8" s="774"/>
      <c r="L8" s="774"/>
      <c r="M8" s="1443" t="str">
        <f>IF(J7=0,"","Do not include labels in boxes.")</f>
        <v/>
      </c>
      <c r="N8" s="1444"/>
      <c r="O8" s="1444"/>
      <c r="AA8" s="711">
        <f>J8*($AS$78/2000)</f>
        <v>0</v>
      </c>
      <c r="AB8" s="711">
        <f>K8*($AS$78/2000)</f>
        <v>0</v>
      </c>
      <c r="AC8" s="711">
        <f>L8*($AS$78/2000)</f>
        <v>0</v>
      </c>
    </row>
    <row r="9" spans="1:41" s="160" customFormat="1" ht="12" customHeight="1" x14ac:dyDescent="0.25">
      <c r="A9" s="697"/>
      <c r="B9" s="697"/>
      <c r="C9" s="697"/>
      <c r="D9" s="697"/>
      <c r="E9" s="697"/>
      <c r="F9" s="697"/>
      <c r="G9" s="697"/>
      <c r="H9" s="697"/>
      <c r="I9" s="697"/>
      <c r="J9" s="701" t="str">
        <f>IF(J7=0,"","MMBtu/hr")</f>
        <v/>
      </c>
      <c r="K9" s="701" t="str">
        <f t="shared" ref="K9:L9" si="0">IF(K7=0,"","MMBtu/hr")</f>
        <v/>
      </c>
      <c r="L9" s="701" t="str">
        <f t="shared" si="0"/>
        <v/>
      </c>
      <c r="M9" s="697"/>
      <c r="AA9" s="701" t="str">
        <f>IF(AA7="","","tons/hr")</f>
        <v>tons/hr</v>
      </c>
      <c r="AB9" s="701" t="str">
        <f>IF(AB7="","","tons/hr")</f>
        <v>tons/hr</v>
      </c>
      <c r="AC9" s="701" t="str">
        <f>IF(AC7="","","tons/hr")</f>
        <v>tons/hr</v>
      </c>
    </row>
    <row r="10" spans="1:41" s="68" customFormat="1" ht="35.1" customHeight="1" thickBot="1" x14ac:dyDescent="0.3">
      <c r="A10" s="1440">
        <v>2</v>
      </c>
      <c r="B10" s="1390" t="s">
        <v>2448</v>
      </c>
      <c r="C10" s="1390"/>
      <c r="D10" s="1390"/>
      <c r="E10" s="1390"/>
      <c r="F10" s="1390"/>
      <c r="G10" s="1390"/>
      <c r="H10" s="1390"/>
      <c r="I10" s="1390"/>
      <c r="J10" s="695">
        <f>'Table 3-A| Emission Units'!$A$30</f>
        <v>0</v>
      </c>
      <c r="K10" s="695">
        <f>'Table 3-A| Emission Units'!$A$43</f>
        <v>0</v>
      </c>
      <c r="L10" s="695">
        <f>'Table 3-A| Emission Units'!$A$56</f>
        <v>0</v>
      </c>
      <c r="M10" s="1445" t="str">
        <f>IF(J10=0,"","&lt;&lt;&lt; Asphalt Oil Heater Units")</f>
        <v/>
      </c>
      <c r="N10" s="1445"/>
      <c r="O10" s="1445"/>
      <c r="AA10" s="540">
        <f>J10</f>
        <v>0</v>
      </c>
      <c r="AB10" s="540">
        <f>K10</f>
        <v>0</v>
      </c>
      <c r="AC10" s="540">
        <f>L10</f>
        <v>0</v>
      </c>
    </row>
    <row r="11" spans="1:41" s="68" customFormat="1" ht="20.100000000000001" customHeight="1" thickBot="1" x14ac:dyDescent="0.3">
      <c r="A11" s="1440"/>
      <c r="B11" s="1390"/>
      <c r="C11" s="1390"/>
      <c r="D11" s="1390"/>
      <c r="E11" s="1390"/>
      <c r="F11" s="1390"/>
      <c r="G11" s="1390"/>
      <c r="H11" s="1390"/>
      <c r="I11" s="1390"/>
      <c r="J11" s="774"/>
      <c r="K11" s="774"/>
      <c r="L11" s="774"/>
      <c r="M11" s="1443" t="str">
        <f>IF(J10=0,"","Do not include labels in boxes.")</f>
        <v/>
      </c>
      <c r="N11" s="1444"/>
      <c r="O11" s="1444"/>
      <c r="AA11" s="711">
        <f>J11*($AS$78/2000)</f>
        <v>0</v>
      </c>
      <c r="AB11" s="711">
        <f>K11*($AS$78/2000)</f>
        <v>0</v>
      </c>
      <c r="AC11" s="711">
        <f>L11*($AS$78/2000)</f>
        <v>0</v>
      </c>
    </row>
    <row r="12" spans="1:41" s="160" customFormat="1" ht="12" customHeight="1" x14ac:dyDescent="0.25">
      <c r="A12" s="697"/>
      <c r="B12" s="697"/>
      <c r="C12" s="697"/>
      <c r="D12" s="697"/>
      <c r="E12" s="697"/>
      <c r="F12" s="697"/>
      <c r="G12" s="697"/>
      <c r="H12" s="697"/>
      <c r="I12" s="697"/>
      <c r="J12" s="701" t="str">
        <f>IF(J10=0,"","MMBtu/hr")</f>
        <v/>
      </c>
      <c r="K12" s="701" t="str">
        <f t="shared" ref="K12:L12" si="1">IF(K10=0,"","MMBtu/hr")</f>
        <v/>
      </c>
      <c r="L12" s="701" t="str">
        <f t="shared" si="1"/>
        <v/>
      </c>
      <c r="M12" s="697"/>
      <c r="AA12" s="701" t="str">
        <f>IF(AA10="","","tons/hr")</f>
        <v>tons/hr</v>
      </c>
      <c r="AB12" s="701" t="str">
        <f>IF(AB10="","","tons/hr")</f>
        <v>tons/hr</v>
      </c>
      <c r="AC12" s="701" t="str">
        <f>IF(AC10="","","tons/hr")</f>
        <v>tons/hr</v>
      </c>
    </row>
    <row r="13" spans="1:41" s="68" customFormat="1" ht="35.1" customHeight="1" thickBot="1" x14ac:dyDescent="0.3">
      <c r="A13" s="1440">
        <v>3</v>
      </c>
      <c r="B13" s="1390" t="str">
        <f>IF('Table 3-A| Emission Units'!$E$6&gt;0,AA13,AA14)</f>
        <v>Proceed to the next question.</v>
      </c>
      <c r="C13" s="1390"/>
      <c r="D13" s="1390"/>
      <c r="E13" s="1390"/>
      <c r="F13" s="1390"/>
      <c r="G13" s="1390"/>
      <c r="H13" s="1390"/>
      <c r="I13" s="1390"/>
      <c r="J13" s="695">
        <f>IF('Table 3-A| Emission Units'!$L$115&gt;0,'Table 3-A| Emission Units'!$A115&amp;"-"&amp;'Table 3-A| Emission Units'!$B115,0)</f>
        <v>0</v>
      </c>
      <c r="K13" s="695">
        <f>IF('Table 3-A| Emission Units'!$L$116&gt;0,'Table 3-A| Emission Units'!$A116&amp;"-"&amp;'Table 3-A| Emission Units'!$B116,0)</f>
        <v>0</v>
      </c>
      <c r="L13" s="695">
        <f>IF('Table 3-A| Emission Units'!$L$117&gt;0,'Table 3-A| Emission Units'!$A117&amp;"-"&amp;'Table 3-A| Emission Units'!$B117,0)</f>
        <v>0</v>
      </c>
      <c r="M13" s="695">
        <f>IF('Table 3-A| Emission Units'!$L$118&gt;0,'Table 3-A| Emission Units'!$A118&amp;"-"&amp;'Table 3-A| Emission Units'!$B118,0)</f>
        <v>0</v>
      </c>
      <c r="N13" s="1445" t="str">
        <f>IF(J13=0,"","&lt;&lt; Stationary Engine Units")</f>
        <v/>
      </c>
      <c r="O13" s="1445"/>
      <c r="P13" s="1445"/>
      <c r="AA13" s="68" t="s">
        <v>2434</v>
      </c>
    </row>
    <row r="14" spans="1:41" s="68" customFormat="1" ht="20.100000000000001" customHeight="1" thickBot="1" x14ac:dyDescent="0.3">
      <c r="A14" s="1440"/>
      <c r="B14" s="1390"/>
      <c r="C14" s="1390"/>
      <c r="D14" s="1390"/>
      <c r="E14" s="1390"/>
      <c r="F14" s="1390"/>
      <c r="G14" s="1390"/>
      <c r="H14" s="1390"/>
      <c r="I14" s="1390"/>
      <c r="J14" s="653"/>
      <c r="K14" s="653"/>
      <c r="L14" s="653"/>
      <c r="M14" s="653"/>
      <c r="N14" s="1443" t="str">
        <f>IF(J13=0,"","Do not include labels in boxes.")</f>
        <v/>
      </c>
      <c r="O14" s="1444"/>
      <c r="P14" s="1444"/>
      <c r="Q14" s="1444"/>
      <c r="AA14" s="68" t="s">
        <v>2212</v>
      </c>
    </row>
    <row r="15" spans="1:41" s="160" customFormat="1" ht="12" customHeight="1" x14ac:dyDescent="0.25">
      <c r="A15" s="697"/>
      <c r="B15" s="697"/>
      <c r="C15" s="697"/>
      <c r="D15" s="697"/>
      <c r="E15" s="697"/>
      <c r="F15" s="697"/>
      <c r="G15" s="697"/>
      <c r="H15" s="697"/>
      <c r="I15" s="697"/>
      <c r="J15" s="701" t="str">
        <f>IF(J13=0,"",IF(OR('Table 3-A| Emission Units'!$C$115='Table 3-A| Emission Units'!$Q$3,'Table 3-A| Emission Units'!$C$115='Table 3-A| Emission Units'!$Q$4,'Table 3-A| Emission Units'!$C$115='Table 3-A| Emission Units'!$Q$5),"gals/hr","ft^3/hr"))</f>
        <v/>
      </c>
      <c r="K15" s="701" t="str">
        <f>IF(K13=0,"",IF(OR('Table 3-A| Emission Units'!$C$116='Table 3-A| Emission Units'!$Q$3,'Table 3-A| Emission Units'!$C$116='Table 3-A| Emission Units'!$Q$4,'Table 3-A| Emission Units'!$C$116='Table 3-A| Emission Units'!$Q$5),"gals/hr","ft^3/hr"))</f>
        <v/>
      </c>
      <c r="L15" s="701" t="str">
        <f>IF(L13=0,"",IF(OR('Table 3-A| Emission Units'!$C$117='Table 3-A| Emission Units'!$Q$3,'Table 3-A| Emission Units'!$C$117='Table 3-A| Emission Units'!$Q$4,'Table 3-A| Emission Units'!$C$117='Table 3-A| Emission Units'!$Q$5),"gals/hr","ft^3/hr"))</f>
        <v/>
      </c>
      <c r="M15" s="701" t="str">
        <f>IF(M13=0,"",IF(OR('Table 3-A| Emission Units'!$C$118='Table 3-A| Emission Units'!$Q$3,'Table 3-A| Emission Units'!$C$118='Table 3-A| Emission Units'!$Q$4,'Table 3-A| Emission Units'!$C$118='Table 3-A| Emission Units'!$Q$5),"gals/hr","ft^3/hr"))</f>
        <v/>
      </c>
    </row>
    <row r="16" spans="1:41" s="68" customFormat="1" ht="35.1" customHeight="1" thickBot="1" x14ac:dyDescent="0.3">
      <c r="A16" s="1440">
        <v>4</v>
      </c>
      <c r="B16" s="1390" t="s">
        <v>2329</v>
      </c>
      <c r="C16" s="1390"/>
      <c r="D16" s="1390"/>
      <c r="E16" s="1390"/>
      <c r="F16" s="1390"/>
      <c r="G16" s="1390"/>
      <c r="H16" s="1390"/>
      <c r="I16" s="1390"/>
      <c r="J16" s="731">
        <f>IF(J4=0,0,'Table 3-A| Emission Units'!$A$113&amp;"-"&amp;'Table 3-A| Emission Units'!$B$113)</f>
        <v>0</v>
      </c>
      <c r="K16" s="641"/>
      <c r="L16" s="641"/>
      <c r="M16" s="641"/>
      <c r="N16" s="641"/>
      <c r="O16" s="641"/>
    </row>
    <row r="17" spans="1:17" s="68" customFormat="1" ht="20.100000000000001" customHeight="1" thickBot="1" x14ac:dyDescent="0.3">
      <c r="A17" s="1440"/>
      <c r="B17" s="1390"/>
      <c r="C17" s="1390"/>
      <c r="D17" s="1390"/>
      <c r="E17" s="1390"/>
      <c r="F17" s="1390"/>
      <c r="G17" s="1390"/>
      <c r="H17" s="1390"/>
      <c r="I17" s="1390"/>
      <c r="J17" s="689"/>
      <c r="K17" s="592" t="str">
        <f>IF(J16=0,"","square feet")</f>
        <v/>
      </c>
      <c r="L17" s="592"/>
    </row>
    <row r="18" spans="1:17" s="160" customFormat="1" ht="6" customHeight="1" x14ac:dyDescent="0.25">
      <c r="A18" s="697"/>
      <c r="B18" s="697"/>
      <c r="C18" s="697"/>
      <c r="D18" s="697"/>
      <c r="E18" s="697"/>
      <c r="F18" s="697"/>
      <c r="G18" s="697"/>
      <c r="H18" s="697"/>
      <c r="I18" s="697"/>
      <c r="J18" s="697"/>
      <c r="K18" s="697"/>
      <c r="L18" s="697"/>
      <c r="M18" s="697"/>
    </row>
    <row r="19" spans="1:17" s="68" customFormat="1" ht="20.100000000000001" customHeight="1" x14ac:dyDescent="0.25">
      <c r="A19" s="120">
        <v>5</v>
      </c>
      <c r="B19" s="1390" t="s">
        <v>2053</v>
      </c>
      <c r="C19" s="1390"/>
      <c r="D19" s="1390"/>
      <c r="E19" s="1390"/>
      <c r="F19" s="1390"/>
      <c r="G19" s="1390"/>
      <c r="H19" s="1390"/>
      <c r="I19" s="1390"/>
    </row>
    <row r="20" spans="1:17" s="68" customFormat="1" ht="35.1" customHeight="1" thickBot="1" x14ac:dyDescent="0.3">
      <c r="A20" s="120"/>
      <c r="B20" s="1429" t="str">
        <f>IF(AND($J$20="",$K$20="",$L$20=""),"Proceed to the next questions.  If there are no more questions below, proceed to the instructions that follow.","Complete the following set of questions as they apply to your ASPHALT PLANT unit(s).")</f>
        <v>Complete the following set of questions as they apply to your ASPHALT PLANT unit(s).</v>
      </c>
      <c r="C20" s="1429"/>
      <c r="D20" s="1429"/>
      <c r="E20" s="1429"/>
      <c r="F20" s="1429"/>
      <c r="G20" s="1429"/>
      <c r="H20" s="1429"/>
      <c r="I20" s="1429"/>
      <c r="J20" s="695">
        <f>J4</f>
        <v>0</v>
      </c>
      <c r="K20" s="695">
        <f>K4</f>
        <v>0</v>
      </c>
      <c r="L20" s="695">
        <f>L4</f>
        <v>0</v>
      </c>
      <c r="M20" s="1445" t="str">
        <f>IF(J20=0,"","&lt;&lt;&lt; Asphalt Plant Units")</f>
        <v/>
      </c>
      <c r="N20" s="1445"/>
      <c r="O20" s="1445"/>
    </row>
    <row r="21" spans="1:17" s="68" customFormat="1" ht="35.1" customHeight="1" thickBot="1" x14ac:dyDescent="0.3">
      <c r="A21" s="120"/>
      <c r="B21" s="688" t="s">
        <v>1396</v>
      </c>
      <c r="C21" s="1390" t="s">
        <v>2435</v>
      </c>
      <c r="D21" s="1390"/>
      <c r="E21" s="1390"/>
      <c r="F21" s="1390"/>
      <c r="G21" s="1390"/>
      <c r="H21" s="1390"/>
      <c r="I21" s="1403"/>
      <c r="J21" s="689"/>
      <c r="K21" s="689"/>
      <c r="L21" s="689"/>
      <c r="M21" s="1446" t="s">
        <v>2277</v>
      </c>
      <c r="N21" s="1447"/>
      <c r="O21" s="1447"/>
    </row>
    <row r="22" spans="1:17" s="68" customFormat="1" ht="35.1" customHeight="1" thickBot="1" x14ac:dyDescent="0.3">
      <c r="A22" s="120"/>
      <c r="B22" s="688" t="s">
        <v>2047</v>
      </c>
      <c r="C22" s="1390" t="s">
        <v>2436</v>
      </c>
      <c r="D22" s="1390"/>
      <c r="E22" s="1390"/>
      <c r="F22" s="1390"/>
      <c r="G22" s="1390"/>
      <c r="H22" s="1390"/>
      <c r="I22" s="1403"/>
      <c r="J22" s="689"/>
      <c r="K22" s="689"/>
      <c r="L22" s="689"/>
      <c r="M22" s="1446"/>
      <c r="N22" s="1447"/>
      <c r="O22" s="1447"/>
    </row>
    <row r="23" spans="1:17" s="68" customFormat="1" ht="20.100000000000001" customHeight="1" thickBot="1" x14ac:dyDescent="0.3">
      <c r="A23" s="120"/>
      <c r="B23" s="688" t="s">
        <v>2046</v>
      </c>
      <c r="C23" s="1390" t="s">
        <v>2446</v>
      </c>
      <c r="D23" s="1390"/>
      <c r="E23" s="1390"/>
      <c r="F23" s="1390"/>
      <c r="G23" s="1390"/>
      <c r="H23" s="1390"/>
      <c r="I23" s="1403"/>
      <c r="J23" s="690"/>
      <c r="K23" s="693" t="str">
        <f>IF(J20="","","tons")</f>
        <v>tons</v>
      </c>
      <c r="M23" s="692"/>
      <c r="N23" s="692"/>
      <c r="O23" s="692"/>
    </row>
    <row r="24" spans="1:17" s="68" customFormat="1" ht="20.100000000000001" customHeight="1" thickBot="1" x14ac:dyDescent="0.3">
      <c r="A24" s="120"/>
      <c r="B24" s="688" t="s">
        <v>2048</v>
      </c>
      <c r="C24" s="1390" t="s">
        <v>2437</v>
      </c>
      <c r="D24" s="1390"/>
      <c r="E24" s="1390"/>
      <c r="F24" s="1390"/>
      <c r="G24" s="1390"/>
      <c r="H24" s="1390"/>
      <c r="I24" s="1403"/>
      <c r="J24" s="690"/>
      <c r="K24" s="696" t="str">
        <f>IF(J20="","","tons")</f>
        <v>tons</v>
      </c>
      <c r="L24" s="692"/>
      <c r="M24" s="692"/>
      <c r="N24" s="692"/>
      <c r="O24" s="692"/>
    </row>
    <row r="25" spans="1:17" s="68" customFormat="1" ht="35.1" customHeight="1" thickBot="1" x14ac:dyDescent="0.3">
      <c r="A25" s="120"/>
      <c r="B25" s="688" t="s">
        <v>2049</v>
      </c>
      <c r="C25" s="1390" t="s">
        <v>2438</v>
      </c>
      <c r="D25" s="1390"/>
      <c r="E25" s="1390"/>
      <c r="F25" s="1390"/>
      <c r="G25" s="1390"/>
      <c r="H25" s="1390"/>
      <c r="I25" s="1403"/>
      <c r="J25" s="689"/>
      <c r="K25" s="689"/>
      <c r="L25" s="689"/>
      <c r="M25" s="1447" t="s">
        <v>2308</v>
      </c>
      <c r="N25" s="1447"/>
      <c r="O25" s="1447"/>
      <c r="P25" s="1447"/>
      <c r="Q25" s="1447"/>
    </row>
    <row r="26" spans="1:17" s="68" customFormat="1" ht="35.1" customHeight="1" thickBot="1" x14ac:dyDescent="0.3">
      <c r="A26" s="120"/>
      <c r="B26" s="688" t="s">
        <v>2050</v>
      </c>
      <c r="C26" s="1390" t="s">
        <v>2445</v>
      </c>
      <c r="D26" s="1390"/>
      <c r="E26" s="1390"/>
      <c r="F26" s="1390"/>
      <c r="G26" s="1390"/>
      <c r="H26" s="1390"/>
      <c r="I26" s="1403"/>
      <c r="J26" s="689"/>
      <c r="K26" s="689"/>
      <c r="L26" s="689"/>
      <c r="M26" s="1447"/>
      <c r="N26" s="1447"/>
      <c r="O26" s="1447"/>
      <c r="P26" s="1447"/>
      <c r="Q26" s="1447"/>
    </row>
    <row r="27" spans="1:17" s="68" customFormat="1" ht="20.100000000000001" customHeight="1" thickBot="1" x14ac:dyDescent="0.3">
      <c r="A27" s="120"/>
      <c r="B27" s="688" t="s">
        <v>2051</v>
      </c>
      <c r="C27" s="1390" t="s">
        <v>2439</v>
      </c>
      <c r="D27" s="1390"/>
      <c r="E27" s="1390"/>
      <c r="F27" s="1390"/>
      <c r="G27" s="1390"/>
      <c r="H27" s="1390"/>
      <c r="I27" s="1403"/>
      <c r="J27" s="690"/>
      <c r="K27" s="693" t="str">
        <f>IF(J20="","","tons")</f>
        <v>tons</v>
      </c>
      <c r="L27" s="700"/>
      <c r="M27" s="1447"/>
      <c r="N27" s="1447"/>
      <c r="O27" s="1447"/>
      <c r="P27" s="1447"/>
      <c r="Q27" s="1447"/>
    </row>
    <row r="28" spans="1:17" s="68" customFormat="1" ht="20.100000000000001" customHeight="1" thickBot="1" x14ac:dyDescent="0.3">
      <c r="A28" s="120"/>
      <c r="B28" s="688" t="s">
        <v>2052</v>
      </c>
      <c r="C28" s="1390" t="s">
        <v>2440</v>
      </c>
      <c r="D28" s="1390"/>
      <c r="E28" s="1390"/>
      <c r="F28" s="1390"/>
      <c r="G28" s="1390"/>
      <c r="H28" s="1390"/>
      <c r="I28" s="1403"/>
      <c r="J28" s="690"/>
      <c r="K28" s="696" t="str">
        <f>IF(J20="","","tons")</f>
        <v>tons</v>
      </c>
      <c r="L28" s="692"/>
      <c r="M28" s="692"/>
      <c r="N28" s="692"/>
      <c r="O28" s="692"/>
    </row>
    <row r="29" spans="1:17" s="68" customFormat="1" ht="35.1" customHeight="1" thickBot="1" x14ac:dyDescent="0.3">
      <c r="A29" s="120"/>
      <c r="B29" s="688" t="s">
        <v>2049</v>
      </c>
      <c r="C29" s="1390" t="s">
        <v>2441</v>
      </c>
      <c r="D29" s="1390"/>
      <c r="E29" s="1390"/>
      <c r="F29" s="1390"/>
      <c r="G29" s="1390"/>
      <c r="H29" s="1390"/>
      <c r="I29" s="1403"/>
      <c r="J29" s="689"/>
      <c r="K29" s="689"/>
      <c r="L29" s="689"/>
      <c r="M29" s="1447" t="s">
        <v>2309</v>
      </c>
      <c r="N29" s="1447"/>
      <c r="O29" s="1447"/>
      <c r="P29" s="1447"/>
      <c r="Q29" s="1447"/>
    </row>
    <row r="30" spans="1:17" s="68" customFormat="1" ht="35.1" customHeight="1" thickBot="1" x14ac:dyDescent="0.3">
      <c r="A30" s="120"/>
      <c r="B30" s="688" t="s">
        <v>2050</v>
      </c>
      <c r="C30" s="1390" t="s">
        <v>2442</v>
      </c>
      <c r="D30" s="1390"/>
      <c r="E30" s="1390"/>
      <c r="F30" s="1390"/>
      <c r="G30" s="1390"/>
      <c r="H30" s="1390"/>
      <c r="I30" s="1403"/>
      <c r="J30" s="689"/>
      <c r="K30" s="689"/>
      <c r="L30" s="689"/>
      <c r="M30" s="1447"/>
      <c r="N30" s="1447"/>
      <c r="O30" s="1447"/>
      <c r="P30" s="1447"/>
      <c r="Q30" s="1447"/>
    </row>
    <row r="31" spans="1:17" s="68" customFormat="1" ht="20.100000000000001" customHeight="1" thickBot="1" x14ac:dyDescent="0.3">
      <c r="A31" s="120"/>
      <c r="B31" s="688" t="s">
        <v>2051</v>
      </c>
      <c r="C31" s="1390" t="s">
        <v>2306</v>
      </c>
      <c r="D31" s="1390"/>
      <c r="E31" s="1390"/>
      <c r="F31" s="1390"/>
      <c r="G31" s="1390"/>
      <c r="H31" s="1390"/>
      <c r="I31" s="1403"/>
      <c r="J31" s="690"/>
      <c r="K31" s="693" t="str">
        <f>IF(J20="","","tons")</f>
        <v>tons</v>
      </c>
      <c r="L31" s="700"/>
      <c r="M31" s="1447"/>
      <c r="N31" s="1447"/>
      <c r="O31" s="1447"/>
      <c r="P31" s="1447"/>
      <c r="Q31" s="1447"/>
    </row>
    <row r="32" spans="1:17" s="68" customFormat="1" ht="20.100000000000001" customHeight="1" thickBot="1" x14ac:dyDescent="0.3">
      <c r="A32" s="120"/>
      <c r="B32" s="688" t="s">
        <v>2052</v>
      </c>
      <c r="C32" s="1390" t="s">
        <v>2307</v>
      </c>
      <c r="D32" s="1390"/>
      <c r="E32" s="1390"/>
      <c r="F32" s="1390"/>
      <c r="G32" s="1390"/>
      <c r="H32" s="1390"/>
      <c r="I32" s="1403"/>
      <c r="J32" s="690"/>
      <c r="K32" s="696" t="str">
        <f>IF(J20="","","tons")</f>
        <v>tons</v>
      </c>
      <c r="L32" s="692"/>
      <c r="M32" s="692"/>
      <c r="N32" s="692"/>
      <c r="O32" s="692"/>
    </row>
    <row r="33" spans="1:18" s="68" customFormat="1" ht="35.1" customHeight="1" thickBot="1" x14ac:dyDescent="0.3">
      <c r="A33" s="120"/>
      <c r="B33" s="688" t="s">
        <v>2302</v>
      </c>
      <c r="C33" s="1390" t="s">
        <v>2443</v>
      </c>
      <c r="D33" s="1390"/>
      <c r="E33" s="1390"/>
      <c r="F33" s="1390"/>
      <c r="G33" s="1390"/>
      <c r="H33" s="1390"/>
      <c r="I33" s="1403"/>
      <c r="J33" s="689"/>
      <c r="K33" s="689"/>
      <c r="L33" s="689"/>
      <c r="M33" s="1446" t="s">
        <v>2310</v>
      </c>
      <c r="N33" s="1447"/>
      <c r="O33" s="1447"/>
      <c r="P33" s="1447"/>
      <c r="Q33" s="1447"/>
    </row>
    <row r="34" spans="1:18" s="68" customFormat="1" ht="35.1" customHeight="1" thickBot="1" x14ac:dyDescent="0.3">
      <c r="A34" s="120"/>
      <c r="B34" s="688" t="s">
        <v>2303</v>
      </c>
      <c r="C34" s="1390" t="s">
        <v>2444</v>
      </c>
      <c r="D34" s="1390"/>
      <c r="E34" s="1390"/>
      <c r="F34" s="1390"/>
      <c r="G34" s="1390"/>
      <c r="H34" s="1390"/>
      <c r="I34" s="1403"/>
      <c r="J34" s="689"/>
      <c r="K34" s="689"/>
      <c r="L34" s="689"/>
      <c r="M34" s="1446"/>
      <c r="N34" s="1447"/>
      <c r="O34" s="1447"/>
      <c r="P34" s="1447"/>
      <c r="Q34" s="1447"/>
    </row>
    <row r="35" spans="1:18" s="68" customFormat="1" ht="20.100000000000001" customHeight="1" thickBot="1" x14ac:dyDescent="0.3">
      <c r="A35" s="120"/>
      <c r="B35" s="688" t="s">
        <v>2304</v>
      </c>
      <c r="C35" s="1390" t="s">
        <v>2267</v>
      </c>
      <c r="D35" s="1390"/>
      <c r="E35" s="1390"/>
      <c r="F35" s="1390"/>
      <c r="G35" s="1390"/>
      <c r="H35" s="1390"/>
      <c r="I35" s="1403"/>
      <c r="J35" s="690"/>
      <c r="K35" s="693" t="str">
        <f>IF(J20="","","yards")</f>
        <v>yards</v>
      </c>
      <c r="M35" s="639" t="str">
        <f>IF(ISBLANK(J35),"",J35*1.5)</f>
        <v/>
      </c>
      <c r="N35" s="691" t="str">
        <f>IF(J20="","","tons")</f>
        <v>tons</v>
      </c>
      <c r="O35" s="692"/>
    </row>
    <row r="36" spans="1:18" s="68" customFormat="1" ht="20.100000000000001" customHeight="1" thickBot="1" x14ac:dyDescent="0.3">
      <c r="A36" s="120"/>
      <c r="B36" s="688" t="s">
        <v>2305</v>
      </c>
      <c r="C36" s="1390" t="s">
        <v>2268</v>
      </c>
      <c r="D36" s="1390"/>
      <c r="E36" s="1390"/>
      <c r="F36" s="1390"/>
      <c r="G36" s="1390"/>
      <c r="H36" s="1390"/>
      <c r="I36" s="1403"/>
      <c r="J36" s="690"/>
      <c r="K36" s="696" t="str">
        <f>IF(J20="","","tons")</f>
        <v>tons</v>
      </c>
      <c r="O36" s="692"/>
    </row>
    <row r="37" spans="1:18" s="160" customFormat="1" ht="6" customHeight="1" x14ac:dyDescent="0.25">
      <c r="A37" s="697"/>
      <c r="B37" s="697"/>
      <c r="C37" s="697"/>
      <c r="D37" s="697"/>
      <c r="E37" s="697"/>
      <c r="F37" s="697"/>
      <c r="G37" s="697"/>
      <c r="H37" s="697"/>
      <c r="I37" s="697"/>
      <c r="J37" s="697"/>
      <c r="K37" s="697"/>
      <c r="L37" s="697"/>
      <c r="M37" s="697"/>
    </row>
    <row r="38" spans="1:18" s="68" customFormat="1" ht="33" customHeight="1" x14ac:dyDescent="0.25">
      <c r="A38" s="1198" t="s">
        <v>2032</v>
      </c>
      <c r="B38" s="1198"/>
      <c r="C38" s="1198"/>
      <c r="D38" s="1198"/>
      <c r="E38" s="1198"/>
      <c r="F38" s="1198"/>
      <c r="G38" s="1198"/>
      <c r="H38" s="1198"/>
      <c r="I38" s="1198"/>
      <c r="J38" s="1198"/>
      <c r="K38" s="1198"/>
      <c r="L38" s="1198"/>
      <c r="M38" s="1198"/>
      <c r="N38" s="1198"/>
      <c r="O38" s="1198"/>
      <c r="R38" s="66"/>
    </row>
    <row r="39" spans="1:18" s="68" customFormat="1" ht="115.5" customHeight="1" x14ac:dyDescent="0.25">
      <c r="A39" s="1437" t="s">
        <v>2275</v>
      </c>
      <c r="B39" s="1437"/>
      <c r="C39" s="1437"/>
      <c r="D39" s="1437"/>
      <c r="E39" s="1437"/>
      <c r="F39" s="1437"/>
      <c r="G39" s="1437"/>
      <c r="H39" s="1437"/>
      <c r="I39" s="1437"/>
      <c r="J39" s="1437"/>
      <c r="K39" s="1437"/>
      <c r="L39" s="1437"/>
      <c r="M39" s="1437"/>
      <c r="N39" s="1437"/>
      <c r="O39" s="1437"/>
    </row>
    <row r="40" spans="1:18" s="160" customFormat="1" ht="50.1" customHeight="1" x14ac:dyDescent="0.25">
      <c r="A40" s="161">
        <v>1</v>
      </c>
      <c r="B40" s="1426" t="s">
        <v>2337</v>
      </c>
      <c r="C40" s="1426"/>
      <c r="D40" s="1426"/>
      <c r="E40" s="1426"/>
      <c r="F40" s="1426"/>
      <c r="G40" s="1426"/>
      <c r="H40" s="1426"/>
      <c r="I40" s="1426"/>
      <c r="J40" s="1426"/>
      <c r="K40" s="1426"/>
      <c r="L40" s="1426"/>
      <c r="M40" s="1426"/>
      <c r="N40" s="1426"/>
      <c r="O40" s="1426"/>
    </row>
    <row r="41" spans="1:18" s="68" customFormat="1" ht="35.1" customHeight="1" x14ac:dyDescent="0.25">
      <c r="A41" s="161">
        <v>2</v>
      </c>
      <c r="B41" s="1438" t="s">
        <v>1535</v>
      </c>
      <c r="C41" s="1438"/>
      <c r="D41" s="1438"/>
      <c r="E41" s="1438"/>
      <c r="F41" s="1438"/>
      <c r="G41" s="1438"/>
      <c r="H41" s="1438"/>
      <c r="I41" s="1438"/>
      <c r="J41" s="1438"/>
      <c r="K41" s="1438"/>
      <c r="L41" s="1438"/>
      <c r="M41" s="1438"/>
      <c r="N41" s="1438"/>
      <c r="O41" s="1438"/>
    </row>
    <row r="42" spans="1:18" s="78" customFormat="1" ht="20.100000000000001" customHeight="1" x14ac:dyDescent="0.25">
      <c r="B42" s="1432" t="s">
        <v>1536</v>
      </c>
      <c r="C42" s="1432"/>
      <c r="D42" s="1432" t="s">
        <v>1537</v>
      </c>
      <c r="E42" s="1432"/>
      <c r="F42" s="1432"/>
      <c r="G42" s="1432" t="s">
        <v>1538</v>
      </c>
      <c r="H42" s="1432"/>
      <c r="I42" s="1432"/>
      <c r="J42" s="1432" t="s">
        <v>1568</v>
      </c>
      <c r="K42" s="1432"/>
      <c r="L42" s="1432"/>
      <c r="M42" s="1432" t="s">
        <v>1697</v>
      </c>
      <c r="N42" s="1432"/>
      <c r="O42" s="1432"/>
    </row>
    <row r="43" spans="1:18" s="68" customFormat="1" ht="14.25" customHeight="1" thickBot="1" x14ac:dyDescent="0.3">
      <c r="A43" s="1407"/>
      <c r="B43" s="1407"/>
      <c r="C43" s="1407"/>
      <c r="D43" s="1407"/>
      <c r="E43" s="1407"/>
      <c r="F43" s="1407"/>
      <c r="G43" s="1407"/>
      <c r="H43" s="1407"/>
      <c r="I43" s="1407"/>
      <c r="J43" s="1407"/>
      <c r="K43" s="1407"/>
      <c r="L43" s="1407"/>
      <c r="M43" s="1407"/>
      <c r="N43" s="1407"/>
      <c r="O43" s="1407"/>
    </row>
    <row r="44" spans="1:18" ht="45.75" thickBot="1" x14ac:dyDescent="0.3">
      <c r="A44" s="106" t="s">
        <v>1824</v>
      </c>
      <c r="B44" s="107" t="s">
        <v>271</v>
      </c>
      <c r="C44" s="107" t="s">
        <v>1566</v>
      </c>
      <c r="D44" s="107" t="s">
        <v>23</v>
      </c>
      <c r="E44" s="107" t="s">
        <v>1567</v>
      </c>
      <c r="F44" s="107" t="s">
        <v>1884</v>
      </c>
      <c r="G44" s="108" t="s">
        <v>26</v>
      </c>
      <c r="H44" s="109" t="s">
        <v>30</v>
      </c>
      <c r="I44" s="109" t="s">
        <v>3</v>
      </c>
      <c r="J44" s="109" t="s">
        <v>4</v>
      </c>
      <c r="K44" s="109" t="s">
        <v>0</v>
      </c>
      <c r="L44" s="109" t="s">
        <v>5</v>
      </c>
      <c r="M44" s="109" t="s">
        <v>2507</v>
      </c>
      <c r="N44" s="109" t="s">
        <v>24</v>
      </c>
      <c r="O44" s="110" t="s">
        <v>25</v>
      </c>
    </row>
    <row r="45" spans="1:18" ht="18" customHeight="1" x14ac:dyDescent="0.25">
      <c r="A45" s="1404" t="s">
        <v>1917</v>
      </c>
      <c r="B45" s="1405"/>
      <c r="C45" s="1405"/>
      <c r="D45" s="1405"/>
      <c r="E45" s="1405"/>
      <c r="F45" s="1405"/>
      <c r="G45" s="1405"/>
      <c r="H45" s="1405"/>
      <c r="I45" s="1405"/>
      <c r="J45" s="1405"/>
      <c r="K45" s="1405"/>
      <c r="L45" s="1405"/>
      <c r="M45" s="1405"/>
      <c r="N45" s="1405"/>
      <c r="O45" s="1406"/>
    </row>
    <row r="46" spans="1:18" ht="18" customHeight="1" x14ac:dyDescent="0.25">
      <c r="A46" s="317" t="str">
        <f>IF(ISBLANK('Table 3-A| Emission Units'!$A$16),"",'Table 3-A| Emission Units'!$A$16&amp;"-"&amp;'Table 3-A| Emission Units'!$B$16)</f>
        <v>4-1</v>
      </c>
      <c r="B46" s="248">
        <f>IF(OR(ISBLANK('Table 3-A| Emission Units'!$C$16),ISTEXT('Table 3-A| Emission Units'!$C$16)),"",'Table 3-A| Emission Units'!$C$16)</f>
        <v>20100102</v>
      </c>
      <c r="C46" s="318">
        <v>9.7999999999999997E-3</v>
      </c>
      <c r="D46" s="247" t="s">
        <v>1533</v>
      </c>
      <c r="E46" s="319">
        <f>C46*8760</f>
        <v>85.847999999999999</v>
      </c>
      <c r="F46" s="319" t="s">
        <v>1885</v>
      </c>
      <c r="G46" s="320">
        <f>$E46*42.5</f>
        <v>3648.54</v>
      </c>
      <c r="H46" s="321">
        <f>$E46*42.5</f>
        <v>3648.54</v>
      </c>
      <c r="I46" s="321">
        <f>$E46*604</f>
        <v>51852.192000000003</v>
      </c>
      <c r="J46" s="321">
        <f>$E46*39.7</f>
        <v>3408.1656000000003</v>
      </c>
      <c r="K46" s="321">
        <f>$E46*49.3</f>
        <v>4232.3063999999995</v>
      </c>
      <c r="L46" s="321">
        <f>$E46*130</f>
        <v>11160.24</v>
      </c>
      <c r="M46" s="698">
        <f>$E46*22600</f>
        <v>1940164.8</v>
      </c>
      <c r="N46" s="321">
        <v>0</v>
      </c>
      <c r="O46" s="322">
        <f>$E46*0.55044</f>
        <v>47.254173120000004</v>
      </c>
    </row>
    <row r="47" spans="1:18" ht="18" customHeight="1" x14ac:dyDescent="0.25">
      <c r="A47" s="317" t="str">
        <f>IF(ISBLANK('Table 3-A| Emission Units'!$A$17),"",'Table 3-A| Emission Units'!$A$17&amp;"-"&amp;'Table 3-A| Emission Units'!$B$17)</f>
        <v>5-1</v>
      </c>
      <c r="B47" s="248">
        <f>IF(OR(ISBLANK('Table 3-A| Emission Units'!$C$17),ISTEXT('Table 3-A| Emission Units'!$C$17)),"",'Table 3-A| Emission Units'!$C$17)</f>
        <v>10200602</v>
      </c>
      <c r="C47" s="318">
        <v>0.02</v>
      </c>
      <c r="D47" s="247" t="s">
        <v>1532</v>
      </c>
      <c r="E47" s="319">
        <f>C47*8760</f>
        <v>175.20000000000002</v>
      </c>
      <c r="F47" s="319" t="s">
        <v>1885</v>
      </c>
      <c r="G47" s="589">
        <f>$E47*7.6</f>
        <v>1331.52</v>
      </c>
      <c r="H47" s="321">
        <f>$E47*7.6</f>
        <v>1331.52</v>
      </c>
      <c r="I47" s="590">
        <f>$E47*100</f>
        <v>17520</v>
      </c>
      <c r="J47" s="590">
        <f>$E47*0.6</f>
        <v>105.12</v>
      </c>
      <c r="K47" s="321">
        <f>$E47*5.5</f>
        <v>963.60000000000014</v>
      </c>
      <c r="L47" s="321">
        <f>$E47*84</f>
        <v>14716.800000000001</v>
      </c>
      <c r="M47" s="699">
        <f>$E47*(120000+(2.2*298)+(2.3*25))</f>
        <v>21148935.120000005</v>
      </c>
      <c r="N47" s="590">
        <f>$E47*0.0005</f>
        <v>8.7600000000000011E-2</v>
      </c>
      <c r="O47" s="322">
        <f>$E47*1.88</f>
        <v>329.37600000000003</v>
      </c>
    </row>
    <row r="48" spans="1:18" ht="18" customHeight="1" x14ac:dyDescent="0.25">
      <c r="A48" s="317" t="str">
        <f>IF(ISBLANK('Table 3-A| Emission Units'!$A$18),"",'Table 3-A| Emission Units'!$A$18&amp;"-"&amp;'Table 3-A| Emission Units'!$B$18)</f>
        <v>5-2</v>
      </c>
      <c r="B48" s="248">
        <f>IF(OR(ISBLANK('Table 3-A| Emission Units'!$C$18),ISTEXT('Table 3-A| Emission Units'!$C$18)),"",'Table 3-A| Emission Units'!$C$18)</f>
        <v>10200501</v>
      </c>
      <c r="C48" s="318">
        <v>0.14779999999999999</v>
      </c>
      <c r="D48" s="247" t="s">
        <v>1533</v>
      </c>
      <c r="E48" s="319">
        <f>C48*8760</f>
        <v>1294.7279999999998</v>
      </c>
      <c r="F48" s="319" t="s">
        <v>1885</v>
      </c>
      <c r="G48" s="320">
        <f>$E48*1.08</f>
        <v>1398.3062399999999</v>
      </c>
      <c r="H48" s="590">
        <f>$E48*0.83</f>
        <v>1074.6242399999999</v>
      </c>
      <c r="I48" s="321">
        <f>$E48*24</f>
        <v>31073.471999999994</v>
      </c>
      <c r="J48" s="321">
        <f>$E48*(142*0.05)</f>
        <v>9192.5687999999991</v>
      </c>
      <c r="K48" s="590">
        <f>$E48*0.34</f>
        <v>440.20751999999999</v>
      </c>
      <c r="L48" s="590">
        <f>$E48*5</f>
        <v>6473.6399999999994</v>
      </c>
      <c r="M48" s="698">
        <f>$E48*(25000+(0.53*298)+(0.28*25))</f>
        <v>32581752.436319996</v>
      </c>
      <c r="N48" s="321">
        <f>$E48*0.001246</f>
        <v>1.6132310879999998</v>
      </c>
      <c r="O48" s="591">
        <f>$E48*0.24</f>
        <v>310.73471999999992</v>
      </c>
    </row>
    <row r="49" spans="1:37" ht="18" customHeight="1" x14ac:dyDescent="0.25">
      <c r="A49" s="317" t="str">
        <f>IF(ISBLANK('Table 3-A| Emission Units'!$A$19),"",'Table 3-A| Emission Units'!$A$19&amp;"-"&amp;'Table 3-A| Emission Units'!$B$19)</f>
        <v>6-1</v>
      </c>
      <c r="B49" s="248">
        <f>IF(OR(ISBLANK('Table 3-A| Emission Units'!$C$19),ISTEXT('Table 3-A| Emission Units'!$C$19)),"",'Table 3-A| Emission Units'!$C$19)</f>
        <v>40400204</v>
      </c>
      <c r="C49" s="318">
        <v>0.17119999999999999</v>
      </c>
      <c r="D49" s="247" t="s">
        <v>1534</v>
      </c>
      <c r="E49" s="319">
        <f>C49*8760</f>
        <v>1499.712</v>
      </c>
      <c r="F49" s="319" t="s">
        <v>1880</v>
      </c>
      <c r="G49" s="320">
        <v>0</v>
      </c>
      <c r="H49" s="321">
        <v>0</v>
      </c>
      <c r="I49" s="321">
        <v>0</v>
      </c>
      <c r="J49" s="321">
        <v>0</v>
      </c>
      <c r="K49" s="323"/>
      <c r="L49" s="323"/>
      <c r="M49" s="323"/>
      <c r="N49" s="323"/>
      <c r="O49" s="464"/>
      <c r="Q49" s="127"/>
      <c r="R49" s="127"/>
      <c r="S49" s="127"/>
      <c r="T49" s="127"/>
      <c r="U49" s="127"/>
      <c r="V49" s="127"/>
      <c r="W49" s="127"/>
      <c r="X49" s="127"/>
      <c r="Y49" s="127"/>
    </row>
    <row r="50" spans="1:37" ht="18" customHeight="1" x14ac:dyDescent="0.25">
      <c r="A50" s="317" t="str">
        <f>IF(ISBLANK('Table 3-A| Emission Units'!$A$20),"",'Table 3-A| Emission Units'!$A$20&amp;"-"&amp;'Table 3-A| Emission Units'!$B$20)</f>
        <v>6-2</v>
      </c>
      <c r="B50" s="248">
        <f>IF(OR(ISBLANK('Table 3-A| Emission Units'!$C$20),ISTEXT('Table 3-A| Emission Units'!$C$20)),"",'Table 3-A| Emission Units'!$C$20)</f>
        <v>40400107</v>
      </c>
      <c r="C50" s="318">
        <v>0.17119999999999999</v>
      </c>
      <c r="D50" s="247" t="s">
        <v>1534</v>
      </c>
      <c r="E50" s="319">
        <f>C50*8760</f>
        <v>1499.712</v>
      </c>
      <c r="F50" s="319" t="s">
        <v>1880</v>
      </c>
      <c r="G50" s="320">
        <v>0</v>
      </c>
      <c r="H50" s="321">
        <v>0</v>
      </c>
      <c r="I50" s="321">
        <v>0</v>
      </c>
      <c r="J50" s="321">
        <v>0</v>
      </c>
      <c r="K50" s="323"/>
      <c r="L50" s="323"/>
      <c r="M50" s="323"/>
      <c r="N50" s="323"/>
      <c r="O50" s="464"/>
      <c r="Q50" s="127"/>
      <c r="R50" s="127"/>
      <c r="S50" s="127"/>
      <c r="T50" s="127"/>
      <c r="U50" s="127"/>
      <c r="V50" s="127"/>
      <c r="W50" s="127"/>
      <c r="X50" s="127"/>
      <c r="Y50" s="127"/>
    </row>
    <row r="51" spans="1:37" ht="18" customHeight="1" x14ac:dyDescent="0.25">
      <c r="A51" s="317" t="str">
        <f>IF(ISBLANK('Table 3-A| Emission Units'!$A$21),"",'Table 3-A| Emission Units'!$A$21&amp;"-"&amp;'Table 3-A| Emission Units'!$B$21)</f>
        <v/>
      </c>
      <c r="B51" s="248" t="str">
        <f>IF(OR(ISBLANK('Table 3-A| Emission Units'!$C$21),ISTEXT('Table 3-A| Emission Units'!$C$21)),"",'Table 3-A| Emission Units'!$C$21)</f>
        <v/>
      </c>
      <c r="C51" s="318"/>
      <c r="D51" s="247"/>
      <c r="E51" s="319"/>
      <c r="F51" s="319"/>
      <c r="G51" s="320"/>
      <c r="H51" s="321"/>
      <c r="I51" s="321"/>
      <c r="J51" s="321"/>
      <c r="K51" s="321"/>
      <c r="L51" s="321"/>
      <c r="M51" s="321"/>
      <c r="N51" s="321"/>
      <c r="O51" s="322"/>
      <c r="Q51" s="127"/>
      <c r="R51" s="127"/>
      <c r="S51" s="127"/>
      <c r="T51" s="127"/>
      <c r="U51" s="127"/>
      <c r="V51" s="127"/>
      <c r="W51" s="127"/>
      <c r="X51" s="127"/>
      <c r="Y51" s="127"/>
    </row>
    <row r="52" spans="1:37" s="68" customFormat="1" ht="14.25" customHeight="1" thickBot="1" x14ac:dyDescent="0.3">
      <c r="A52" s="1433"/>
      <c r="B52" s="1433"/>
      <c r="C52" s="1433"/>
      <c r="D52" s="1433"/>
      <c r="E52" s="1433"/>
      <c r="F52" s="1433"/>
      <c r="G52" s="1433"/>
      <c r="H52" s="1433"/>
      <c r="I52" s="1433"/>
      <c r="J52" s="1433"/>
      <c r="K52" s="1433"/>
      <c r="L52" s="1433"/>
      <c r="M52" s="1433"/>
      <c r="N52" s="1433"/>
      <c r="O52" s="1433"/>
    </row>
    <row r="53" spans="1:37" ht="45.75" thickBot="1" x14ac:dyDescent="0.3">
      <c r="A53" s="106" t="s">
        <v>1824</v>
      </c>
      <c r="B53" s="107" t="s">
        <v>271</v>
      </c>
      <c r="C53" s="107" t="s">
        <v>1566</v>
      </c>
      <c r="D53" s="107" t="s">
        <v>23</v>
      </c>
      <c r="E53" s="107" t="s">
        <v>1567</v>
      </c>
      <c r="F53" s="107" t="s">
        <v>1884</v>
      </c>
      <c r="G53" s="108" t="s">
        <v>26</v>
      </c>
      <c r="H53" s="109" t="s">
        <v>30</v>
      </c>
      <c r="I53" s="109" t="s">
        <v>3</v>
      </c>
      <c r="J53" s="109" t="s">
        <v>4</v>
      </c>
      <c r="K53" s="109" t="s">
        <v>0</v>
      </c>
      <c r="L53" s="109" t="s">
        <v>5</v>
      </c>
      <c r="M53" s="109" t="s">
        <v>2507</v>
      </c>
      <c r="N53" s="109" t="s">
        <v>24</v>
      </c>
      <c r="O53" s="110" t="s">
        <v>25</v>
      </c>
    </row>
    <row r="54" spans="1:37" ht="18" customHeight="1" x14ac:dyDescent="0.25">
      <c r="A54" s="1404" t="s">
        <v>1917</v>
      </c>
      <c r="B54" s="1405"/>
      <c r="C54" s="1405"/>
      <c r="D54" s="1405"/>
      <c r="E54" s="1405"/>
      <c r="F54" s="1405"/>
      <c r="G54" s="1405"/>
      <c r="H54" s="1405"/>
      <c r="I54" s="1405"/>
      <c r="J54" s="1405"/>
      <c r="K54" s="1405"/>
      <c r="L54" s="1405"/>
      <c r="M54" s="1405"/>
      <c r="N54" s="1405"/>
      <c r="O54" s="1406"/>
    </row>
    <row r="55" spans="1:37" ht="18" customHeight="1" x14ac:dyDescent="0.25">
      <c r="A55" s="317" t="str">
        <f>IF(ISBLANK('Table 3-A| Emission Units'!$A$16),"",'Table 3-A| Emission Units'!$A$16&amp;"-"&amp;'Table 3-A| Emission Units'!$B$16)</f>
        <v>4-1</v>
      </c>
      <c r="B55" s="248">
        <f>IF(OR(ISBLANK('Table 3-A| Emission Units'!$C$16),ISTEXT('Table 3-A| Emission Units'!$C$16)),"",'Table 3-A| Emission Units'!$C$16)</f>
        <v>20100102</v>
      </c>
      <c r="C55" s="318">
        <v>9.7999999999999997E-3</v>
      </c>
      <c r="D55" s="247" t="s">
        <v>1533</v>
      </c>
      <c r="E55" s="319">
        <f>C55*8760</f>
        <v>85.847999999999999</v>
      </c>
      <c r="F55" s="319" t="s">
        <v>1885</v>
      </c>
      <c r="G55" s="320">
        <f>$E55*42.5</f>
        <v>3648.54</v>
      </c>
      <c r="H55" s="321">
        <f>$E55*42.5</f>
        <v>3648.54</v>
      </c>
      <c r="I55" s="321">
        <f>$E55*604</f>
        <v>51852.192000000003</v>
      </c>
      <c r="J55" s="321">
        <f>$E55*39.7</f>
        <v>3408.1656000000003</v>
      </c>
      <c r="K55" s="321">
        <f>$E55*49.3</f>
        <v>4232.3063999999995</v>
      </c>
      <c r="L55" s="321">
        <f>$E55*130</f>
        <v>11160.24</v>
      </c>
      <c r="M55" s="321">
        <f>$E55*22600</f>
        <v>1940164.8</v>
      </c>
      <c r="N55" s="321">
        <v>0</v>
      </c>
      <c r="O55" s="322">
        <f>$E55*0.55044</f>
        <v>47.254173120000004</v>
      </c>
    </row>
    <row r="56" spans="1:37" ht="18" customHeight="1" x14ac:dyDescent="0.25">
      <c r="A56" s="317" t="str">
        <f>IF(ISBLANK('Table 3-A| Emission Units'!$A$17),"",'Table 3-A| Emission Units'!$A$17&amp;"-"&amp;'Table 3-A| Emission Units'!$B$17)</f>
        <v>5-1</v>
      </c>
      <c r="B56" s="248">
        <f>IF(OR(ISBLANK('Table 3-A| Emission Units'!$C$17),ISTEXT('Table 3-A| Emission Units'!$C$17)),"",'Table 3-A| Emission Units'!$C$17)</f>
        <v>10200602</v>
      </c>
      <c r="C56" s="318">
        <v>0.02</v>
      </c>
      <c r="D56" s="247" t="s">
        <v>1532</v>
      </c>
      <c r="E56" s="319">
        <f>C56*8760</f>
        <v>175.20000000000002</v>
      </c>
      <c r="F56" s="319" t="s">
        <v>1885</v>
      </c>
      <c r="G56" s="589">
        <v>0</v>
      </c>
      <c r="H56" s="321">
        <f>$E56*7.6</f>
        <v>1331.52</v>
      </c>
      <c r="I56" s="590">
        <v>0</v>
      </c>
      <c r="J56" s="590">
        <v>0</v>
      </c>
      <c r="K56" s="321">
        <f>$E56*5.5</f>
        <v>963.60000000000014</v>
      </c>
      <c r="L56" s="321">
        <f>$E56*84</f>
        <v>14716.800000000001</v>
      </c>
      <c r="M56" s="590">
        <v>0</v>
      </c>
      <c r="N56" s="590">
        <v>0</v>
      </c>
      <c r="O56" s="322">
        <f>$E56*1.88</f>
        <v>329.37600000000003</v>
      </c>
    </row>
    <row r="57" spans="1:37" ht="18" customHeight="1" x14ac:dyDescent="0.25">
      <c r="A57" s="317" t="str">
        <f>IF(ISBLANK('Table 3-A| Emission Units'!$A$18),"",'Table 3-A| Emission Units'!$A$18&amp;"-"&amp;'Table 3-A| Emission Units'!$B$18)</f>
        <v>5-2</v>
      </c>
      <c r="B57" s="248">
        <f>IF(OR(ISBLANK('Table 3-A| Emission Units'!$C$18),ISTEXT('Table 3-A| Emission Units'!$C$18)),"",'Table 3-A| Emission Units'!$C$18)</f>
        <v>10200501</v>
      </c>
      <c r="C57" s="318">
        <v>0.14779999999999999</v>
      </c>
      <c r="D57" s="247" t="s">
        <v>1533</v>
      </c>
      <c r="E57" s="319">
        <f>C57*8760</f>
        <v>1294.7279999999998</v>
      </c>
      <c r="F57" s="319" t="s">
        <v>1885</v>
      </c>
      <c r="G57" s="320">
        <f>$E57*1.08</f>
        <v>1398.3062399999999</v>
      </c>
      <c r="H57" s="590">
        <v>0</v>
      </c>
      <c r="I57" s="321">
        <f>$E57*24</f>
        <v>31073.471999999994</v>
      </c>
      <c r="J57" s="321">
        <f>$E57*(142*0.05)</f>
        <v>9192.5687999999991</v>
      </c>
      <c r="K57" s="590">
        <v>0</v>
      </c>
      <c r="L57" s="590">
        <v>0</v>
      </c>
      <c r="M57" s="321">
        <f>$E57*(25000+(0.53*298)+(0.28*25))</f>
        <v>32581752.436319996</v>
      </c>
      <c r="N57" s="321">
        <f>$E57*0.001246</f>
        <v>1.6132310879999998</v>
      </c>
      <c r="O57" s="591">
        <v>0</v>
      </c>
    </row>
    <row r="58" spans="1:37" ht="18" customHeight="1" x14ac:dyDescent="0.25">
      <c r="A58" s="317" t="str">
        <f>IF(ISBLANK('Table 3-A| Emission Units'!$A$19),"",'Table 3-A| Emission Units'!$A$19&amp;"-"&amp;'Table 3-A| Emission Units'!$B$19)</f>
        <v>6-1</v>
      </c>
      <c r="B58" s="248">
        <f>IF(OR(ISBLANK('Table 3-A| Emission Units'!$C$19),ISTEXT('Table 3-A| Emission Units'!$C$19)),"",'Table 3-A| Emission Units'!$C$19)</f>
        <v>40400204</v>
      </c>
      <c r="C58" s="319">
        <v>100</v>
      </c>
      <c r="D58" s="247" t="s">
        <v>1534</v>
      </c>
      <c r="E58" s="319">
        <f>C58*8760</f>
        <v>876000</v>
      </c>
      <c r="F58" s="319" t="s">
        <v>1880</v>
      </c>
      <c r="G58" s="320">
        <v>0</v>
      </c>
      <c r="H58" s="321">
        <v>0</v>
      </c>
      <c r="I58" s="321">
        <v>0</v>
      </c>
      <c r="J58" s="321">
        <v>0</v>
      </c>
      <c r="K58" s="321">
        <f>E58/1000*10</f>
        <v>8760</v>
      </c>
      <c r="L58" s="321">
        <v>0</v>
      </c>
      <c r="M58" s="321">
        <v>0</v>
      </c>
      <c r="N58" s="321">
        <v>0</v>
      </c>
      <c r="O58" s="322">
        <v>0</v>
      </c>
      <c r="Q58" s="127"/>
      <c r="R58" s="127"/>
      <c r="S58" s="127"/>
      <c r="T58" s="127"/>
      <c r="U58" s="127"/>
      <c r="V58" s="127"/>
      <c r="W58" s="127"/>
      <c r="X58" s="127"/>
      <c r="Y58" s="127"/>
    </row>
    <row r="59" spans="1:37" ht="18" customHeight="1" x14ac:dyDescent="0.25">
      <c r="A59" s="317" t="str">
        <f>IF(ISBLANK('Table 3-A| Emission Units'!$A$20),"",'Table 3-A| Emission Units'!$A$20&amp;"-"&amp;'Table 3-A| Emission Units'!$B$20)</f>
        <v>6-2</v>
      </c>
      <c r="B59" s="248">
        <f>IF(OR(ISBLANK('Table 3-A| Emission Units'!$C$20),ISTEXT('Table 3-A| Emission Units'!$C$20)),"",'Table 3-A| Emission Units'!$C$20)</f>
        <v>40400107</v>
      </c>
      <c r="C59" s="319">
        <v>100</v>
      </c>
      <c r="D59" s="247" t="s">
        <v>1534</v>
      </c>
      <c r="E59" s="319">
        <f>C59*8760</f>
        <v>876000</v>
      </c>
      <c r="F59" s="319" t="s">
        <v>1880</v>
      </c>
      <c r="G59" s="320">
        <v>0</v>
      </c>
      <c r="H59" s="321">
        <v>0</v>
      </c>
      <c r="I59" s="321">
        <v>0</v>
      </c>
      <c r="J59" s="321">
        <v>0</v>
      </c>
      <c r="K59" s="321">
        <f>E59/1000*10</f>
        <v>8760</v>
      </c>
      <c r="L59" s="321">
        <v>0</v>
      </c>
      <c r="M59" s="321">
        <v>0</v>
      </c>
      <c r="N59" s="321">
        <v>0</v>
      </c>
      <c r="O59" s="322">
        <v>0</v>
      </c>
      <c r="Q59" s="127"/>
      <c r="R59" s="127"/>
      <c r="S59" s="127"/>
      <c r="T59" s="127"/>
      <c r="U59" s="127"/>
      <c r="V59" s="127"/>
      <c r="W59" s="127"/>
      <c r="X59" s="127"/>
      <c r="Y59" s="127"/>
    </row>
    <row r="60" spans="1:37" ht="18" customHeight="1" x14ac:dyDescent="0.25">
      <c r="A60" s="317" t="str">
        <f>IF(ISBLANK('Table 3-A| Emission Units'!$A$21),"",'Table 3-A| Emission Units'!$A$21&amp;"-"&amp;'Table 3-A| Emission Units'!$B$21)</f>
        <v/>
      </c>
      <c r="B60" s="248" t="str">
        <f>IF(OR(ISBLANK('Table 3-A| Emission Units'!$C$21),ISTEXT('Table 3-A| Emission Units'!$C$21)),"",'Table 3-A| Emission Units'!$C$21)</f>
        <v/>
      </c>
      <c r="C60" s="318"/>
      <c r="D60" s="247"/>
      <c r="E60" s="319"/>
      <c r="F60" s="319"/>
      <c r="G60" s="320"/>
      <c r="H60" s="321"/>
      <c r="I60" s="321"/>
      <c r="J60" s="321"/>
      <c r="K60" s="321"/>
      <c r="L60" s="321"/>
      <c r="M60" s="321"/>
      <c r="N60" s="321"/>
      <c r="O60" s="322"/>
      <c r="Q60" s="127"/>
      <c r="R60" s="127"/>
      <c r="S60" s="127"/>
      <c r="T60" s="127"/>
      <c r="U60" s="127"/>
      <c r="V60" s="127"/>
      <c r="W60" s="127"/>
      <c r="X60" s="127"/>
      <c r="Y60" s="127"/>
    </row>
    <row r="61" spans="1:37" s="68" customFormat="1" ht="39.950000000000003" customHeight="1" thickBot="1" x14ac:dyDescent="0.3">
      <c r="A61" s="1433" t="s">
        <v>2339</v>
      </c>
      <c r="B61" s="1433"/>
      <c r="C61" s="1433"/>
      <c r="D61" s="1433"/>
      <c r="E61" s="1433"/>
      <c r="F61" s="1433"/>
      <c r="G61" s="1433"/>
      <c r="H61" s="1433"/>
      <c r="I61" s="1433"/>
      <c r="J61" s="1433"/>
      <c r="K61" s="1433"/>
      <c r="L61" s="1433"/>
      <c r="M61" s="1433"/>
      <c r="N61" s="1433"/>
      <c r="O61" s="1433"/>
    </row>
    <row r="62" spans="1:37" s="68" customFormat="1" ht="27.75" customHeight="1" thickBot="1" x14ac:dyDescent="0.3">
      <c r="A62" s="1334" t="s">
        <v>1470</v>
      </c>
      <c r="B62" s="1208"/>
      <c r="C62" s="1208"/>
      <c r="D62" s="1208"/>
      <c r="E62" s="1208"/>
      <c r="F62" s="1208"/>
      <c r="G62" s="1208"/>
      <c r="H62" s="1208"/>
      <c r="I62" s="1208"/>
      <c r="J62" s="1208"/>
      <c r="K62" s="1208"/>
      <c r="L62" s="1208"/>
      <c r="M62" s="1208"/>
      <c r="N62" s="1208"/>
      <c r="O62" s="1335"/>
    </row>
    <row r="63" spans="1:37" s="68" customFormat="1" ht="9" customHeight="1" thickBot="1" x14ac:dyDescent="0.3">
      <c r="A63" s="78"/>
      <c r="B63" s="78"/>
      <c r="C63" s="78"/>
      <c r="D63" s="78"/>
      <c r="E63" s="78"/>
      <c r="F63" s="78"/>
      <c r="G63" s="78"/>
      <c r="H63" s="78"/>
      <c r="I63" s="78"/>
      <c r="J63" s="78"/>
      <c r="K63" s="78"/>
      <c r="L63" s="78"/>
      <c r="M63" s="78"/>
    </row>
    <row r="64" spans="1:37" s="68" customFormat="1" ht="18" customHeight="1" thickBot="1" x14ac:dyDescent="0.3">
      <c r="A64" s="1293" t="s">
        <v>1569</v>
      </c>
      <c r="B64" s="1394"/>
      <c r="C64" s="1394"/>
      <c r="D64" s="1294"/>
      <c r="E64" s="1397"/>
      <c r="F64" s="1398"/>
      <c r="I64" s="1293" t="s">
        <v>1570</v>
      </c>
      <c r="J64" s="1394"/>
      <c r="K64" s="1394"/>
      <c r="L64" s="1394"/>
      <c r="M64" s="1294"/>
      <c r="N64" s="1395">
        <f>$E$64/1025</f>
        <v>0</v>
      </c>
      <c r="O64" s="1396"/>
      <c r="T64" s="48" t="s">
        <v>1880</v>
      </c>
      <c r="V64" s="68" t="s">
        <v>2199</v>
      </c>
      <c r="W64" s="68" t="s">
        <v>1532</v>
      </c>
      <c r="AD64" s="753" t="s">
        <v>2377</v>
      </c>
      <c r="AF64" s="754" t="s">
        <v>2379</v>
      </c>
      <c r="AI64" s="78" t="s">
        <v>1435</v>
      </c>
      <c r="AJ64" s="78" t="s">
        <v>2376</v>
      </c>
      <c r="AK64" s="78" t="s">
        <v>2451</v>
      </c>
    </row>
    <row r="65" spans="1:52" s="68" customFormat="1" ht="18" customHeight="1" thickBot="1" x14ac:dyDescent="0.3">
      <c r="A65" s="78"/>
      <c r="B65" s="78"/>
      <c r="C65" s="78"/>
      <c r="D65" s="484"/>
      <c r="E65" s="484"/>
      <c r="F65" s="484"/>
      <c r="I65" s="1293" t="s">
        <v>1571</v>
      </c>
      <c r="J65" s="1394"/>
      <c r="K65" s="1394"/>
      <c r="L65" s="1394"/>
      <c r="M65" s="1294"/>
      <c r="N65" s="1395">
        <f>($E$64*1000000)/(138690*1000)</f>
        <v>0</v>
      </c>
      <c r="O65" s="1396"/>
      <c r="T65" s="48" t="s">
        <v>1881</v>
      </c>
      <c r="V65" s="68" t="s">
        <v>2042</v>
      </c>
      <c r="W65" s="68" t="s">
        <v>2206</v>
      </c>
      <c r="AD65" s="66" t="s">
        <v>1435</v>
      </c>
      <c r="AF65" s="66">
        <v>30500206</v>
      </c>
      <c r="AI65" s="68">
        <v>30500245</v>
      </c>
      <c r="AJ65" s="68">
        <v>30500246</v>
      </c>
      <c r="AK65" s="68">
        <v>30500247</v>
      </c>
    </row>
    <row r="66" spans="1:52" s="68" customFormat="1" ht="18" customHeight="1" thickBot="1" x14ac:dyDescent="0.3">
      <c r="A66" s="78"/>
      <c r="B66" s="78"/>
      <c r="C66" s="78"/>
      <c r="D66" s="78"/>
      <c r="E66" s="78"/>
      <c r="F66" s="78"/>
      <c r="I66" s="1293" t="s">
        <v>1572</v>
      </c>
      <c r="J66" s="1394"/>
      <c r="K66" s="1394"/>
      <c r="L66" s="1394"/>
      <c r="M66" s="1294"/>
      <c r="N66" s="1395">
        <f>($E$64*1000000)/(135000*1000)</f>
        <v>0</v>
      </c>
      <c r="O66" s="1396"/>
      <c r="T66" s="48" t="s">
        <v>1882</v>
      </c>
      <c r="AD66" s="66" t="s">
        <v>2451</v>
      </c>
      <c r="AF66" s="66">
        <v>30500207</v>
      </c>
      <c r="AI66" s="68">
        <v>30500256</v>
      </c>
      <c r="AJ66" s="68">
        <v>30500259</v>
      </c>
      <c r="AK66" s="68">
        <v>30500262</v>
      </c>
    </row>
    <row r="67" spans="1:52" s="68" customFormat="1" ht="18" customHeight="1" thickBot="1" x14ac:dyDescent="0.3">
      <c r="A67" s="78"/>
      <c r="B67" s="78"/>
      <c r="C67" s="78"/>
      <c r="D67" s="78"/>
      <c r="E67" s="78"/>
      <c r="F67" s="78"/>
      <c r="I67" s="1293" t="s">
        <v>1573</v>
      </c>
      <c r="J67" s="1394"/>
      <c r="K67" s="1394"/>
      <c r="L67" s="1394"/>
      <c r="M67" s="1294"/>
      <c r="N67" s="1395">
        <f>($E$64*1000000)/(125071*1000)</f>
        <v>0</v>
      </c>
      <c r="O67" s="1396"/>
      <c r="T67" s="48" t="s">
        <v>1883</v>
      </c>
      <c r="AD67" s="66" t="s">
        <v>2036</v>
      </c>
      <c r="AF67" s="66">
        <v>30500208</v>
      </c>
      <c r="AI67" s="68">
        <v>30500257</v>
      </c>
      <c r="AJ67" s="68">
        <v>30500260</v>
      </c>
      <c r="AK67" s="68">
        <v>30500263</v>
      </c>
    </row>
    <row r="68" spans="1:52" s="68" customFormat="1" ht="18" customHeight="1" thickBot="1" x14ac:dyDescent="0.3">
      <c r="A68" s="78"/>
      <c r="B68" s="78"/>
      <c r="C68" s="78"/>
      <c r="D68" s="78"/>
      <c r="E68" s="78"/>
      <c r="F68" s="78"/>
      <c r="I68" s="1293" t="s">
        <v>1574</v>
      </c>
      <c r="J68" s="1394"/>
      <c r="K68" s="1394"/>
      <c r="L68" s="1394"/>
      <c r="M68" s="1294"/>
      <c r="N68" s="1395">
        <f>($E$64*1000000)/(91333*1000)</f>
        <v>0</v>
      </c>
      <c r="O68" s="1396"/>
      <c r="T68" s="48" t="s">
        <v>1595</v>
      </c>
      <c r="AD68" s="66" t="s">
        <v>2381</v>
      </c>
      <c r="AF68" s="66">
        <v>30500209</v>
      </c>
    </row>
    <row r="69" spans="1:52" s="68" customFormat="1" ht="18" customHeight="1" thickBot="1" x14ac:dyDescent="0.3">
      <c r="A69" s="78"/>
      <c r="B69" s="78"/>
      <c r="C69" s="78"/>
      <c r="D69" s="78"/>
      <c r="E69" s="78"/>
      <c r="F69" s="78"/>
      <c r="I69" s="1293" t="s">
        <v>1575</v>
      </c>
      <c r="J69" s="1394"/>
      <c r="K69" s="1394"/>
      <c r="L69" s="1394"/>
      <c r="M69" s="1294"/>
      <c r="N69" s="1395">
        <f>($E$64*1000000)/(149690*1000)</f>
        <v>0</v>
      </c>
      <c r="O69" s="1396"/>
    </row>
    <row r="70" spans="1:52" s="68" customFormat="1" ht="18" customHeight="1" thickBot="1" x14ac:dyDescent="0.3">
      <c r="A70" s="1293" t="s">
        <v>1577</v>
      </c>
      <c r="B70" s="1394"/>
      <c r="C70" s="1394"/>
      <c r="D70" s="1394"/>
      <c r="E70" s="1394"/>
      <c r="F70" s="1294"/>
      <c r="G70" s="1434"/>
      <c r="H70" s="1435"/>
      <c r="I70" s="1293" t="s">
        <v>1576</v>
      </c>
      <c r="J70" s="1394"/>
      <c r="K70" s="1394"/>
      <c r="L70" s="1394"/>
      <c r="M70" s="1294"/>
      <c r="N70" s="1395">
        <f>IFERROR((($E$64*1000000)/$G$70)/2000,0)</f>
        <v>0</v>
      </c>
      <c r="O70" s="1396"/>
    </row>
    <row r="71" spans="1:52" s="68" customFormat="1" ht="35.1" customHeight="1" thickBot="1" x14ac:dyDescent="0.3">
      <c r="A71" s="1430"/>
      <c r="B71" s="1430"/>
      <c r="C71" s="1430"/>
      <c r="D71" s="1430"/>
      <c r="E71" s="1430"/>
      <c r="F71" s="1430"/>
      <c r="G71" s="1430"/>
      <c r="H71" s="1430"/>
      <c r="I71" s="1430"/>
      <c r="J71" s="1430"/>
      <c r="K71" s="1430"/>
      <c r="L71" s="1430"/>
      <c r="M71" s="1430"/>
      <c r="N71" s="1430"/>
      <c r="O71" s="1430"/>
    </row>
    <row r="72" spans="1:52" s="77" customFormat="1" ht="19.5" thickBot="1" x14ac:dyDescent="0.3">
      <c r="A72" s="1208" t="s">
        <v>1449</v>
      </c>
      <c r="B72" s="1208"/>
      <c r="C72" s="1208"/>
      <c r="D72" s="1208"/>
      <c r="E72" s="1208"/>
      <c r="F72" s="1208"/>
      <c r="G72" s="1208"/>
      <c r="H72" s="1208"/>
      <c r="I72" s="1208"/>
      <c r="J72" s="1208"/>
      <c r="K72" s="1208"/>
      <c r="L72" s="1208"/>
      <c r="M72" s="1208"/>
      <c r="N72" s="1208"/>
      <c r="O72" s="1208"/>
    </row>
    <row r="73" spans="1:52" ht="60" customHeight="1" x14ac:dyDescent="0.25">
      <c r="A73" s="1399"/>
      <c r="B73" s="1399"/>
      <c r="C73" s="1399"/>
      <c r="D73" s="1399"/>
      <c r="E73" s="1399"/>
      <c r="F73" s="1399"/>
      <c r="G73" s="1399"/>
      <c r="H73" s="1399"/>
      <c r="I73" s="1399"/>
      <c r="J73" s="1399"/>
      <c r="K73" s="1399"/>
      <c r="L73" s="1399"/>
      <c r="M73" s="1399"/>
      <c r="N73" s="1399"/>
      <c r="O73" s="1399"/>
    </row>
    <row r="74" spans="1:52" ht="24.95" customHeight="1" x14ac:dyDescent="0.25">
      <c r="A74" s="1436" t="s">
        <v>1431</v>
      </c>
      <c r="B74" s="1436"/>
      <c r="C74" s="1436"/>
      <c r="D74" s="1436"/>
      <c r="E74" s="1436"/>
      <c r="F74" s="1436"/>
      <c r="G74" s="1436"/>
      <c r="H74" s="1436"/>
      <c r="I74" s="1436"/>
      <c r="J74" s="1436"/>
      <c r="K74" s="1436"/>
      <c r="L74" s="1436"/>
      <c r="M74" s="1436"/>
      <c r="N74" s="1436"/>
      <c r="O74" s="1436"/>
    </row>
    <row r="75" spans="1:52" ht="24.95" customHeight="1" thickBot="1" x14ac:dyDescent="0.3">
      <c r="A75" s="988" t="s">
        <v>2496</v>
      </c>
      <c r="B75" s="988"/>
      <c r="C75" s="988"/>
      <c r="D75" s="988"/>
      <c r="E75" s="988"/>
      <c r="F75" s="988"/>
      <c r="G75" s="988"/>
      <c r="H75" s="988"/>
      <c r="I75" s="988"/>
      <c r="J75" s="988"/>
      <c r="K75" s="988"/>
      <c r="L75" s="988"/>
      <c r="M75" s="988"/>
      <c r="N75" s="988"/>
      <c r="O75" s="988"/>
    </row>
    <row r="76" spans="1:52" s="129" customFormat="1" ht="30" customHeight="1" thickBot="1" x14ac:dyDescent="0.3">
      <c r="A76" s="1431" t="s">
        <v>1539</v>
      </c>
      <c r="B76" s="1431"/>
      <c r="C76" s="1431"/>
      <c r="D76" s="1431"/>
      <c r="E76" s="1431"/>
      <c r="F76" s="1431"/>
      <c r="G76" s="1431"/>
      <c r="H76" s="1431"/>
      <c r="I76" s="1431"/>
      <c r="J76" s="1431"/>
      <c r="K76" s="1431"/>
      <c r="L76" s="1431"/>
      <c r="M76" s="1431"/>
      <c r="N76" s="1431"/>
      <c r="O76" s="1431"/>
      <c r="S76" s="1189" t="s">
        <v>2044</v>
      </c>
      <c r="T76" s="1388"/>
      <c r="U76" s="1388"/>
      <c r="V76" s="1388"/>
      <c r="W76" s="1388"/>
      <c r="X76" s="1388"/>
      <c r="Y76" s="1388"/>
      <c r="Z76" s="1388"/>
      <c r="AA76" s="1190"/>
      <c r="AC76" s="1189" t="s">
        <v>2045</v>
      </c>
      <c r="AD76" s="1388"/>
      <c r="AE76" s="1388"/>
      <c r="AF76" s="1388"/>
      <c r="AG76" s="1388"/>
      <c r="AH76" s="1388"/>
      <c r="AI76" s="1388"/>
      <c r="AJ76" s="1388"/>
      <c r="AK76" s="1388"/>
      <c r="AL76" s="1388"/>
      <c r="AM76" s="1388"/>
      <c r="AN76" s="1388"/>
      <c r="AO76" s="1190"/>
      <c r="AR76" s="1189" t="s">
        <v>2278</v>
      </c>
      <c r="AS76" s="1388"/>
      <c r="AT76" s="1388"/>
      <c r="AU76" s="1388"/>
      <c r="AV76" s="1388"/>
      <c r="AW76" s="1190"/>
      <c r="AX76" s="48"/>
      <c r="AY76" s="48"/>
      <c r="AZ76" s="48"/>
    </row>
    <row r="77" spans="1:52" ht="45.75" thickBot="1" x14ac:dyDescent="0.3">
      <c r="A77" s="826" t="s">
        <v>1824</v>
      </c>
      <c r="B77" s="827" t="s">
        <v>271</v>
      </c>
      <c r="C77" s="827" t="s">
        <v>1566</v>
      </c>
      <c r="D77" s="827" t="s">
        <v>23</v>
      </c>
      <c r="E77" s="827" t="s">
        <v>1567</v>
      </c>
      <c r="F77" s="827" t="s">
        <v>1884</v>
      </c>
      <c r="G77" s="828" t="s">
        <v>26</v>
      </c>
      <c r="H77" s="829" t="s">
        <v>30</v>
      </c>
      <c r="I77" s="829" t="s">
        <v>3</v>
      </c>
      <c r="J77" s="829" t="s">
        <v>4</v>
      </c>
      <c r="K77" s="829" t="s">
        <v>0</v>
      </c>
      <c r="L77" s="829" t="s">
        <v>5</v>
      </c>
      <c r="M77" s="829" t="s">
        <v>2508</v>
      </c>
      <c r="N77" s="829" t="s">
        <v>24</v>
      </c>
      <c r="O77" s="830" t="s">
        <v>25</v>
      </c>
      <c r="S77" s="578" t="s">
        <v>26</v>
      </c>
      <c r="T77" s="109" t="s">
        <v>30</v>
      </c>
      <c r="U77" s="109" t="s">
        <v>3</v>
      </c>
      <c r="V77" s="109" t="s">
        <v>4</v>
      </c>
      <c r="W77" s="109" t="s">
        <v>0</v>
      </c>
      <c r="X77" s="109" t="s">
        <v>5</v>
      </c>
      <c r="Y77" s="109" t="s">
        <v>2507</v>
      </c>
      <c r="Z77" s="109" t="s">
        <v>24</v>
      </c>
      <c r="AA77" s="110" t="s">
        <v>25</v>
      </c>
      <c r="AC77" s="107" t="s">
        <v>271</v>
      </c>
      <c r="AD77" s="1189" t="s">
        <v>2043</v>
      </c>
      <c r="AE77" s="1388"/>
      <c r="AF77" s="1190"/>
      <c r="AG77" s="578" t="s">
        <v>26</v>
      </c>
      <c r="AH77" s="581" t="s">
        <v>30</v>
      </c>
      <c r="AI77" s="109" t="s">
        <v>3</v>
      </c>
      <c r="AJ77" s="109" t="s">
        <v>4</v>
      </c>
      <c r="AK77" s="109" t="s">
        <v>0</v>
      </c>
      <c r="AL77" s="109" t="s">
        <v>5</v>
      </c>
      <c r="AM77" s="109" t="s">
        <v>2507</v>
      </c>
      <c r="AN77" s="109" t="s">
        <v>24</v>
      </c>
      <c r="AO77" s="110" t="s">
        <v>25</v>
      </c>
      <c r="AR77" s="578"/>
      <c r="AS77" s="706" t="s">
        <v>2399</v>
      </c>
      <c r="AT77" s="707" t="s">
        <v>2400</v>
      </c>
      <c r="AU77" s="707" t="s">
        <v>2401</v>
      </c>
      <c r="AV77" s="707" t="s">
        <v>2402</v>
      </c>
      <c r="AW77" s="708" t="s">
        <v>2403</v>
      </c>
    </row>
    <row r="78" spans="1:52" ht="18" customHeight="1" x14ac:dyDescent="0.25">
      <c r="A78" s="1400" t="str">
        <f>IF('Table 3-A| Emission Units'!$A29=0,"",'Table 3-A| Emission Units'!A29)</f>
        <v>Asphalt Batch Plant Emission Units</v>
      </c>
      <c r="B78" s="1401" t="str">
        <f>IF('Table 3-A| Emission Units'!$A29=0,"",'Table 3-A| Emission Units'!B29&amp;"-"&amp;'Table 3-A| Emission Units'!C29)</f>
        <v>-</v>
      </c>
      <c r="C78" s="1401" t="str">
        <f>IF('Table 3-A| Emission Units'!$A29=0,"",'Table 3-A| Emission Units'!C29&amp;"-"&amp;'Table 3-A| Emission Units'!D29)</f>
        <v>-</v>
      </c>
      <c r="D78" s="1401" t="str">
        <f>IF('Table 3-A| Emission Units'!$A29=0,"",'Table 3-A| Emission Units'!D29&amp;"-"&amp;'Table 3-A| Emission Units'!E29)</f>
        <v>-</v>
      </c>
      <c r="E78" s="1401" t="str">
        <f>IF('Table 3-A| Emission Units'!$A29=0,"",'Table 3-A| Emission Units'!E29&amp;"-"&amp;'Table 3-A| Emission Units'!F29)</f>
        <v>-</v>
      </c>
      <c r="F78" s="1401" t="str">
        <f>IF('Table 3-A| Emission Units'!$A29=0,"",'Table 3-A| Emission Units'!F29&amp;"-"&amp;'Table 3-A| Emission Units'!G29)</f>
        <v>-</v>
      </c>
      <c r="G78" s="1401" t="str">
        <f>IF('Table 3-A| Emission Units'!$A29=0,"",'Table 3-A| Emission Units'!G29&amp;"-"&amp;'Table 3-A| Emission Units'!H29)</f>
        <v>-</v>
      </c>
      <c r="H78" s="1401" t="str">
        <f>IF('Table 3-A| Emission Units'!$A29=0,"",'Table 3-A| Emission Units'!H29&amp;"-"&amp;'Table 3-A| Emission Units'!I29)</f>
        <v>-</v>
      </c>
      <c r="I78" s="1401" t="str">
        <f>IF('Table 3-A| Emission Units'!$A29=0,"",'Table 3-A| Emission Units'!I29&amp;"-"&amp;'Table 3-A| Emission Units'!J29)</f>
        <v>-</v>
      </c>
      <c r="J78" s="1401" t="str">
        <f>IF('Table 3-A| Emission Units'!$A29=0,"",'Table 3-A| Emission Units'!J29&amp;"-"&amp;'Table 3-A| Emission Units'!K29)</f>
        <v>-</v>
      </c>
      <c r="K78" s="1401" t="str">
        <f>IF('Table 3-A| Emission Units'!$A29=0,"",'Table 3-A| Emission Units'!K29&amp;"-"&amp;'Table 3-A| Emission Units'!L29)</f>
        <v>-</v>
      </c>
      <c r="L78" s="1401" t="str">
        <f>IF('Table 3-A| Emission Units'!$A29=0,"",'Table 3-A| Emission Units'!L29&amp;"-"&amp;'Table 3-A| Emission Units'!M29)</f>
        <v>-</v>
      </c>
      <c r="M78" s="1401" t="str">
        <f>IF('Table 3-A| Emission Units'!$A29=0,"",'Table 3-A| Emission Units'!M29&amp;"-"&amp;'Table 3-A| Emission Units'!N29)</f>
        <v>-</v>
      </c>
      <c r="N78" s="1401" t="str">
        <f>IF('Table 3-A| Emission Units'!$A29=0,"",'Table 3-A| Emission Units'!N29&amp;"-"&amp;'Table 3-A| Emission Units'!O29)</f>
        <v>-</v>
      </c>
      <c r="O78" s="1402" t="str">
        <f>IF('Table 3-A| Emission Units'!$A29=0,"",'Table 3-A| Emission Units'!O29&amp;"-"&amp;'Table 3-A| Emission Units'!P29)</f>
        <v>-</v>
      </c>
      <c r="S78" s="1391" t="s">
        <v>2458</v>
      </c>
      <c r="T78" s="1392"/>
      <c r="U78" s="1392"/>
      <c r="V78" s="1392"/>
      <c r="W78" s="1392"/>
      <c r="X78" s="1392"/>
      <c r="Y78" s="1392"/>
      <c r="Z78" s="1392"/>
      <c r="AA78" s="1393"/>
      <c r="AC78" s="66">
        <v>20200102</v>
      </c>
      <c r="AD78" s="68" t="s">
        <v>2195</v>
      </c>
      <c r="AG78" s="579">
        <v>42.5</v>
      </c>
      <c r="AH78" s="579">
        <v>42.5</v>
      </c>
      <c r="AI78" s="580">
        <v>604</v>
      </c>
      <c r="AJ78" s="580">
        <v>39.700000000000003</v>
      </c>
      <c r="AK78" s="580">
        <v>49.3</v>
      </c>
      <c r="AL78" s="580">
        <v>130</v>
      </c>
      <c r="AM78" s="580">
        <v>22600</v>
      </c>
      <c r="AN78" s="580">
        <v>0</v>
      </c>
      <c r="AO78" s="631">
        <v>5.2386381949999993E-4</v>
      </c>
      <c r="AP78" s="539" t="s">
        <v>2249</v>
      </c>
      <c r="AR78" s="709" t="s">
        <v>1638</v>
      </c>
      <c r="AS78" s="702">
        <v>2000</v>
      </c>
      <c r="AT78" s="702">
        <f>AS78*AT79</f>
        <v>100</v>
      </c>
      <c r="AU78" s="702">
        <f>AS78*AU79</f>
        <v>60</v>
      </c>
      <c r="AV78" s="702">
        <f>AS78*AV79</f>
        <v>1840</v>
      </c>
      <c r="AW78" s="703">
        <f>AS78*AW79</f>
        <v>0</v>
      </c>
    </row>
    <row r="79" spans="1:52" ht="18" customHeight="1" thickBot="1" x14ac:dyDescent="0.3">
      <c r="A79" s="302">
        <f>IF('Table 3-A| Emission Units'!$M30=0,0,'Table 3-A| Emission Units'!A30&amp;"-"&amp;'Table 3-A| Emission Units'!B30)</f>
        <v>0</v>
      </c>
      <c r="B79" s="303">
        <f>'Table 3-A| Emission Units'!$C30</f>
        <v>30502031</v>
      </c>
      <c r="C79" s="305">
        <f>IF('Table 3-A| Emission Units'!$M30=0,0,$J$5*$AV$79)</f>
        <v>0</v>
      </c>
      <c r="D79" s="386" t="str">
        <f>IF(C79=0,"","tons")</f>
        <v/>
      </c>
      <c r="E79" s="305">
        <f>IFERROR(IF(A79=0,0,$E$86*$AV$79),"")</f>
        <v>0</v>
      </c>
      <c r="F79" s="305" t="str">
        <f>IF($A79=0,"","WebFIRE")</f>
        <v/>
      </c>
      <c r="G79" s="387">
        <f>IFERROR(IF($A79=0,0,$E79*S79),0)</f>
        <v>0</v>
      </c>
      <c r="H79" s="388">
        <f t="shared" ref="H79:H117" si="2">IFERROR(IF($A79=0,0,$E79*T79),0)</f>
        <v>0</v>
      </c>
      <c r="I79" s="388">
        <f t="shared" ref="I79:I117" si="3">IFERROR(IF($A79=0,0,$E79*U79),0)</f>
        <v>0</v>
      </c>
      <c r="J79" s="388">
        <f t="shared" ref="J79:J117" si="4">IFERROR(IF($A79=0,0,$E79*V79),0)</f>
        <v>0</v>
      </c>
      <c r="K79" s="388">
        <f t="shared" ref="K79:K117" si="5">IFERROR(IF($A79=0,0,$E79*W79),0)</f>
        <v>0</v>
      </c>
      <c r="L79" s="388">
        <f t="shared" ref="L79:L117" si="6">IFERROR(IF($A79=0,0,$E79*X79),0)</f>
        <v>0</v>
      </c>
      <c r="M79" s="388">
        <f t="shared" ref="M79:M117" si="7">IFERROR(IF($A79=0,0,$E79*Y79),0)</f>
        <v>0</v>
      </c>
      <c r="N79" s="388">
        <f t="shared" ref="N79:N117" si="8">IFERROR(IF($A79=0,0,$E79*Z79),0)</f>
        <v>0</v>
      </c>
      <c r="O79" s="389">
        <f t="shared" ref="O79:O117" si="9">IFERROR(IF($A79=0,0,$E79*AA79),0)</f>
        <v>0</v>
      </c>
      <c r="S79" s="582">
        <f>IFERROR(VLOOKUP($B79,$AC$78:$AO$114,5,FALSE),0)</f>
        <v>1.5999999999999999E-5</v>
      </c>
      <c r="T79" s="580">
        <f>IFERROR(VLOOKUP($B79,$AC$78:$AO$114,6,FALSE),0)</f>
        <v>2.88E-6</v>
      </c>
      <c r="U79" s="580">
        <f>IFERROR(VLOOKUP($B79,$AC$78:$AO$114,7,FALSE),0)</f>
        <v>0</v>
      </c>
      <c r="V79" s="580">
        <f>IFERROR(VLOOKUP($B79,$AC$78:$AO$114,8,FALSE),0)</f>
        <v>0</v>
      </c>
      <c r="W79" s="580">
        <f>IFERROR(VLOOKUP($B79,$AC$78:$AO$114,9,FALSE),0)</f>
        <v>0</v>
      </c>
      <c r="X79" s="580">
        <f>IFERROR(VLOOKUP($B79,$AC$78:$AO$114,10,FALSE),0)</f>
        <v>0</v>
      </c>
      <c r="Y79" s="580">
        <f>IFERROR(VLOOKUP($B79,$AC$78:$AO$114,11,FALSE),0)</f>
        <v>0</v>
      </c>
      <c r="Z79" s="580">
        <f>IFERROR(VLOOKUP($B79,$AC$78:$AO$114,12,FALSE),0)</f>
        <v>0</v>
      </c>
      <c r="AA79" s="583">
        <f>IFERROR(VLOOKUP($B79,$AC$78:$AO$114,13,FALSE),0)</f>
        <v>0</v>
      </c>
      <c r="AC79" s="66">
        <v>20200253</v>
      </c>
      <c r="AD79" s="68" t="s">
        <v>2196</v>
      </c>
      <c r="AG79" s="580">
        <v>19.8</v>
      </c>
      <c r="AH79" s="580">
        <v>19.8</v>
      </c>
      <c r="AI79" s="580">
        <v>2315.4</v>
      </c>
      <c r="AJ79" s="580">
        <v>0.6</v>
      </c>
      <c r="AK79" s="580">
        <v>30.19</v>
      </c>
      <c r="AL79" s="580">
        <v>3794.4</v>
      </c>
      <c r="AM79" s="580">
        <v>118065</v>
      </c>
      <c r="AN79" s="580">
        <v>0</v>
      </c>
      <c r="AO79" s="580">
        <v>33.01</v>
      </c>
      <c r="AP79" s="539" t="s">
        <v>2250</v>
      </c>
      <c r="AR79" s="710" t="s">
        <v>2280</v>
      </c>
      <c r="AS79" s="704">
        <f>SUM(AT79:AW79)</f>
        <v>1</v>
      </c>
      <c r="AT79" s="704">
        <v>0.05</v>
      </c>
      <c r="AU79" s="704">
        <v>0.03</v>
      </c>
      <c r="AV79" s="704">
        <v>0.92</v>
      </c>
      <c r="AW79" s="705">
        <v>0</v>
      </c>
    </row>
    <row r="80" spans="1:52" ht="18" customHeight="1" x14ac:dyDescent="0.25">
      <c r="A80" s="302">
        <f>IF('Table 3-A| Emission Units'!$M31=0,0,'Table 3-A| Emission Units'!A31&amp;"-"&amp;'Table 3-A| Emission Units'!B31)</f>
        <v>0</v>
      </c>
      <c r="B80" s="303">
        <f>'Table 3-A| Emission Units'!$C31</f>
        <v>30501123</v>
      </c>
      <c r="C80" s="305">
        <f>IF('Table 3-A| Emission Units'!$M31=0,0,$J$5*$AV$79)</f>
        <v>0</v>
      </c>
      <c r="D80" s="386" t="str">
        <f t="shared" ref="D80:D84" si="10">IF(C80=0,"","tons")</f>
        <v/>
      </c>
      <c r="E80" s="305">
        <f t="shared" ref="E80:E84" si="11">IFERROR(IF(A80=0,0,$E$86*$AV$79),"")</f>
        <v>0</v>
      </c>
      <c r="F80" s="305" t="str">
        <f>$F$79</f>
        <v/>
      </c>
      <c r="G80" s="387">
        <f t="shared" ref="G80:G117" si="12">IFERROR(IF($A80=0,0,$E80*S80),0)</f>
        <v>0</v>
      </c>
      <c r="H80" s="388">
        <f t="shared" si="2"/>
        <v>0</v>
      </c>
      <c r="I80" s="388">
        <f t="shared" si="3"/>
        <v>0</v>
      </c>
      <c r="J80" s="388">
        <f t="shared" si="4"/>
        <v>0</v>
      </c>
      <c r="K80" s="388">
        <f t="shared" si="5"/>
        <v>0</v>
      </c>
      <c r="L80" s="388">
        <f t="shared" si="6"/>
        <v>0</v>
      </c>
      <c r="M80" s="388">
        <f t="shared" si="7"/>
        <v>0</v>
      </c>
      <c r="N80" s="388">
        <f t="shared" si="8"/>
        <v>0</v>
      </c>
      <c r="O80" s="389">
        <f t="shared" si="9"/>
        <v>0</v>
      </c>
      <c r="S80" s="582">
        <f t="shared" ref="S80:S117" si="13">IFERROR(VLOOKUP($B80,$AC$78:$AO$114,5,FALSE),0)</f>
        <v>3.3E-3</v>
      </c>
      <c r="T80" s="580">
        <f t="shared" ref="T80:T117" si="14">IFERROR(VLOOKUP($B80,$AC$78:$AO$114,6,FALSE),0)</f>
        <v>5.9400000000000002E-4</v>
      </c>
      <c r="U80" s="580">
        <f t="shared" ref="U80:U117" si="15">IFERROR(VLOOKUP($B80,$AC$78:$AO$114,7,FALSE),0)</f>
        <v>0</v>
      </c>
      <c r="V80" s="580">
        <f t="shared" ref="V80:V117" si="16">IFERROR(VLOOKUP($B80,$AC$78:$AO$114,8,FALSE),0)</f>
        <v>0</v>
      </c>
      <c r="W80" s="580">
        <f t="shared" ref="W80:W117" si="17">IFERROR(VLOOKUP($B80,$AC$78:$AO$114,9,FALSE),0)</f>
        <v>0</v>
      </c>
      <c r="X80" s="580">
        <f t="shared" ref="X80:X117" si="18">IFERROR(VLOOKUP($B80,$AC$78:$AO$114,10,FALSE),0)</f>
        <v>0</v>
      </c>
      <c r="Y80" s="580">
        <f t="shared" ref="Y80:Y117" si="19">IFERROR(VLOOKUP($B80,$AC$78:$AO$114,11,FALSE),0)</f>
        <v>0</v>
      </c>
      <c r="Z80" s="580">
        <f t="shared" ref="Z80:Z117" si="20">IFERROR(VLOOKUP($B80,$AC$78:$AO$114,12,FALSE),0)</f>
        <v>0</v>
      </c>
      <c r="AA80" s="583">
        <f t="shared" ref="AA80:AA117" si="21">IFERROR(VLOOKUP($B80,$AC$78:$AO$114,13,FALSE),0)</f>
        <v>0</v>
      </c>
      <c r="AC80" s="66">
        <v>20200254</v>
      </c>
      <c r="AD80" s="68" t="s">
        <v>2197</v>
      </c>
      <c r="AG80" s="580">
        <v>10.19</v>
      </c>
      <c r="AH80" s="580">
        <v>10.19</v>
      </c>
      <c r="AI80" s="580">
        <v>4161.6000000000004</v>
      </c>
      <c r="AJ80" s="580">
        <v>0.6</v>
      </c>
      <c r="AK80" s="580">
        <v>120.36</v>
      </c>
      <c r="AL80" s="580">
        <v>568.14</v>
      </c>
      <c r="AM80" s="580">
        <v>144075</v>
      </c>
      <c r="AN80" s="580">
        <v>0</v>
      </c>
      <c r="AO80" s="580">
        <v>73.63</v>
      </c>
      <c r="AP80" s="539" t="s">
        <v>2250</v>
      </c>
    </row>
    <row r="81" spans="1:51" ht="18" customHeight="1" x14ac:dyDescent="0.25">
      <c r="A81" s="302">
        <f>IF('Table 3-A| Emission Units'!$M32=0,0,'Table 3-A| Emission Units'!A32&amp;"-"&amp;'Table 3-A| Emission Units'!B32)</f>
        <v>0</v>
      </c>
      <c r="B81" s="303">
        <f>'Table 3-A| Emission Units'!$C32</f>
        <v>30501123</v>
      </c>
      <c r="C81" s="305">
        <f>IF('Table 3-A| Emission Units'!$M32=0,0,$J$5*$AV$79)</f>
        <v>0</v>
      </c>
      <c r="D81" s="386" t="str">
        <f t="shared" si="10"/>
        <v/>
      </c>
      <c r="E81" s="305">
        <f t="shared" si="11"/>
        <v>0</v>
      </c>
      <c r="F81" s="305" t="str">
        <f t="shared" ref="F81:F91" si="22">$F$79</f>
        <v/>
      </c>
      <c r="G81" s="387">
        <f t="shared" si="12"/>
        <v>0</v>
      </c>
      <c r="H81" s="388">
        <f t="shared" si="2"/>
        <v>0</v>
      </c>
      <c r="I81" s="388">
        <f t="shared" si="3"/>
        <v>0</v>
      </c>
      <c r="J81" s="388">
        <f t="shared" si="4"/>
        <v>0</v>
      </c>
      <c r="K81" s="388">
        <f t="shared" si="5"/>
        <v>0</v>
      </c>
      <c r="L81" s="388">
        <f t="shared" si="6"/>
        <v>0</v>
      </c>
      <c r="M81" s="388">
        <f t="shared" si="7"/>
        <v>0</v>
      </c>
      <c r="N81" s="388">
        <f t="shared" si="8"/>
        <v>0</v>
      </c>
      <c r="O81" s="389">
        <f t="shared" si="9"/>
        <v>0</v>
      </c>
      <c r="S81" s="582">
        <f t="shared" si="13"/>
        <v>3.3E-3</v>
      </c>
      <c r="T81" s="580">
        <f t="shared" si="14"/>
        <v>5.9400000000000002E-4</v>
      </c>
      <c r="U81" s="580">
        <f t="shared" si="15"/>
        <v>0</v>
      </c>
      <c r="V81" s="580">
        <f t="shared" si="16"/>
        <v>0</v>
      </c>
      <c r="W81" s="580">
        <f t="shared" si="17"/>
        <v>0</v>
      </c>
      <c r="X81" s="580">
        <f t="shared" si="18"/>
        <v>0</v>
      </c>
      <c r="Y81" s="580">
        <f t="shared" si="19"/>
        <v>0</v>
      </c>
      <c r="Z81" s="580">
        <f t="shared" si="20"/>
        <v>0</v>
      </c>
      <c r="AA81" s="583">
        <f t="shared" si="21"/>
        <v>0</v>
      </c>
      <c r="AC81" s="66">
        <v>20200301</v>
      </c>
      <c r="AD81" s="68" t="s">
        <v>2198</v>
      </c>
      <c r="AG81" s="580">
        <v>12.6</v>
      </c>
      <c r="AH81" s="580">
        <v>12.6</v>
      </c>
      <c r="AI81" s="580">
        <v>205</v>
      </c>
      <c r="AJ81" s="580">
        <v>10.6</v>
      </c>
      <c r="AK81" s="580">
        <v>382</v>
      </c>
      <c r="AL81" s="580">
        <v>7900</v>
      </c>
      <c r="AM81" s="580">
        <v>19500</v>
      </c>
      <c r="AN81" s="580">
        <v>0</v>
      </c>
      <c r="AO81" s="580">
        <v>0.01</v>
      </c>
      <c r="AP81" s="539" t="s">
        <v>2249</v>
      </c>
    </row>
    <row r="82" spans="1:51" ht="18" customHeight="1" thickBot="1" x14ac:dyDescent="0.3">
      <c r="A82" s="302">
        <f>IF('Table 3-A| Emission Units'!$M33=0,0,'Table 3-A| Emission Units'!A33&amp;"-"&amp;'Table 3-A| Emission Units'!B33)</f>
        <v>0</v>
      </c>
      <c r="B82" s="303">
        <f>'Table 3-A| Emission Units'!$C33</f>
        <v>30502032</v>
      </c>
      <c r="C82" s="305">
        <f>IF('Table 3-A| Emission Units'!$M33=0,0,$J$5*$AV$79)</f>
        <v>0</v>
      </c>
      <c r="D82" s="386" t="str">
        <f t="shared" si="10"/>
        <v/>
      </c>
      <c r="E82" s="305">
        <f t="shared" si="11"/>
        <v>0</v>
      </c>
      <c r="F82" s="305" t="str">
        <f t="shared" si="22"/>
        <v/>
      </c>
      <c r="G82" s="387">
        <f t="shared" si="12"/>
        <v>0</v>
      </c>
      <c r="H82" s="388">
        <f t="shared" si="2"/>
        <v>0</v>
      </c>
      <c r="I82" s="388">
        <f t="shared" si="3"/>
        <v>0</v>
      </c>
      <c r="J82" s="388">
        <f t="shared" si="4"/>
        <v>0</v>
      </c>
      <c r="K82" s="388">
        <f t="shared" si="5"/>
        <v>0</v>
      </c>
      <c r="L82" s="388">
        <f t="shared" si="6"/>
        <v>0</v>
      </c>
      <c r="M82" s="388">
        <f t="shared" si="7"/>
        <v>0</v>
      </c>
      <c r="N82" s="388">
        <f t="shared" si="8"/>
        <v>0</v>
      </c>
      <c r="O82" s="389">
        <f t="shared" si="9"/>
        <v>0</v>
      </c>
      <c r="S82" s="582">
        <f t="shared" si="13"/>
        <v>1E-4</v>
      </c>
      <c r="T82" s="580">
        <f t="shared" si="14"/>
        <v>1.8E-5</v>
      </c>
      <c r="U82" s="580">
        <f t="shared" si="15"/>
        <v>0</v>
      </c>
      <c r="V82" s="580">
        <f t="shared" si="16"/>
        <v>0</v>
      </c>
      <c r="W82" s="580">
        <f t="shared" si="17"/>
        <v>0</v>
      </c>
      <c r="X82" s="580">
        <f t="shared" si="18"/>
        <v>0</v>
      </c>
      <c r="Y82" s="580">
        <f t="shared" si="19"/>
        <v>0</v>
      </c>
      <c r="Z82" s="580">
        <f t="shared" si="20"/>
        <v>0</v>
      </c>
      <c r="AA82" s="583">
        <f t="shared" si="21"/>
        <v>0</v>
      </c>
      <c r="AC82" s="66">
        <v>20200401</v>
      </c>
      <c r="AD82" s="68" t="s">
        <v>2194</v>
      </c>
      <c r="AG82" s="580">
        <v>7.85</v>
      </c>
      <c r="AH82" s="580">
        <v>7.55</v>
      </c>
      <c r="AI82" s="580">
        <v>438</v>
      </c>
      <c r="AJ82" s="580">
        <f>138*0.05</f>
        <v>6.9</v>
      </c>
      <c r="AK82" s="580">
        <v>11.5</v>
      </c>
      <c r="AL82" s="580">
        <v>116</v>
      </c>
      <c r="AM82" s="632">
        <f>22600+(1.11*25)</f>
        <v>22627.75</v>
      </c>
      <c r="AN82" s="580">
        <v>0</v>
      </c>
      <c r="AO82" s="631">
        <v>2.0509352100000003E-4</v>
      </c>
      <c r="AP82" s="539" t="s">
        <v>2249</v>
      </c>
    </row>
    <row r="83" spans="1:51" ht="18" customHeight="1" x14ac:dyDescent="0.25">
      <c r="A83" s="302">
        <f>IF('Table 3-A| Emission Units'!$M34=0,0,'Table 3-A| Emission Units'!A34&amp;"-"&amp;'Table 3-A| Emission Units'!B34)</f>
        <v>0</v>
      </c>
      <c r="B83" s="303">
        <f>'Table 3-A| Emission Units'!$C34</f>
        <v>30502006</v>
      </c>
      <c r="C83" s="305">
        <f>IF('Table 3-A| Emission Units'!$M34=0,0,$J$5*$AV$79)</f>
        <v>0</v>
      </c>
      <c r="D83" s="386" t="str">
        <f t="shared" si="10"/>
        <v/>
      </c>
      <c r="E83" s="305">
        <f t="shared" si="11"/>
        <v>0</v>
      </c>
      <c r="F83" s="305" t="str">
        <f t="shared" si="22"/>
        <v/>
      </c>
      <c r="G83" s="387">
        <f t="shared" si="12"/>
        <v>0</v>
      </c>
      <c r="H83" s="388">
        <f t="shared" si="2"/>
        <v>0</v>
      </c>
      <c r="I83" s="388">
        <f t="shared" si="3"/>
        <v>0</v>
      </c>
      <c r="J83" s="388">
        <f t="shared" si="4"/>
        <v>0</v>
      </c>
      <c r="K83" s="388">
        <f t="shared" si="5"/>
        <v>0</v>
      </c>
      <c r="L83" s="388">
        <f t="shared" si="6"/>
        <v>0</v>
      </c>
      <c r="M83" s="388">
        <f t="shared" si="7"/>
        <v>0</v>
      </c>
      <c r="N83" s="388">
        <f t="shared" si="8"/>
        <v>0</v>
      </c>
      <c r="O83" s="389">
        <f t="shared" si="9"/>
        <v>0</v>
      </c>
      <c r="S83" s="582">
        <f t="shared" si="13"/>
        <v>1.1000000000000001E-3</v>
      </c>
      <c r="T83" s="580">
        <f t="shared" si="14"/>
        <v>1.9800000000000002E-4</v>
      </c>
      <c r="U83" s="580">
        <f t="shared" si="15"/>
        <v>0</v>
      </c>
      <c r="V83" s="580">
        <f t="shared" si="16"/>
        <v>0</v>
      </c>
      <c r="W83" s="580">
        <f t="shared" si="17"/>
        <v>0</v>
      </c>
      <c r="X83" s="580">
        <f t="shared" si="18"/>
        <v>0</v>
      </c>
      <c r="Y83" s="580">
        <f t="shared" si="19"/>
        <v>0</v>
      </c>
      <c r="Z83" s="580">
        <f t="shared" si="20"/>
        <v>0</v>
      </c>
      <c r="AA83" s="583">
        <f t="shared" si="21"/>
        <v>0</v>
      </c>
      <c r="AC83" s="66">
        <v>30500206</v>
      </c>
      <c r="AD83" s="68" t="s">
        <v>2392</v>
      </c>
      <c r="AG83" s="580">
        <v>8.6999999999999993</v>
      </c>
      <c r="AH83" s="580">
        <v>8.6999999999999993</v>
      </c>
      <c r="AI83" s="580">
        <v>100</v>
      </c>
      <c r="AJ83" s="580">
        <v>0.6</v>
      </c>
      <c r="AK83" s="580">
        <v>5.3</v>
      </c>
      <c r="AL83" s="580">
        <v>20</v>
      </c>
      <c r="AM83" s="632">
        <f>120000+(2.3*25)+(2.2*298)</f>
        <v>120713.1</v>
      </c>
      <c r="AN83" s="580">
        <v>5.0000000000000001E-4</v>
      </c>
      <c r="AO83" s="631">
        <v>1.89</v>
      </c>
      <c r="AP83" s="539" t="s">
        <v>2250</v>
      </c>
      <c r="AR83" s="1372" t="s">
        <v>2398</v>
      </c>
      <c r="AS83" s="1373"/>
      <c r="AT83" s="1374"/>
    </row>
    <row r="84" spans="1:51" ht="18" customHeight="1" x14ac:dyDescent="0.25">
      <c r="A84" s="302">
        <f>IF('Table 3-A| Emission Units'!$M35=0,0,'Table 3-A| Emission Units'!A35&amp;"-"&amp;'Table 3-A| Emission Units'!B35)</f>
        <v>0</v>
      </c>
      <c r="B84" s="303">
        <f>'Table 3-A| Emission Units'!$C35</f>
        <v>30502003</v>
      </c>
      <c r="C84" s="305">
        <f>IF('Table 3-A| Emission Units'!$M35=0,0,$J$5*$AV$79)</f>
        <v>0</v>
      </c>
      <c r="D84" s="386" t="str">
        <f t="shared" si="10"/>
        <v/>
      </c>
      <c r="E84" s="305">
        <f t="shared" si="11"/>
        <v>0</v>
      </c>
      <c r="F84" s="305" t="str">
        <f t="shared" si="22"/>
        <v/>
      </c>
      <c r="G84" s="387">
        <f t="shared" si="12"/>
        <v>0</v>
      </c>
      <c r="H84" s="388">
        <f t="shared" si="2"/>
        <v>0</v>
      </c>
      <c r="I84" s="388">
        <f t="shared" si="3"/>
        <v>0</v>
      </c>
      <c r="J84" s="388">
        <f t="shared" si="4"/>
        <v>0</v>
      </c>
      <c r="K84" s="388">
        <f t="shared" si="5"/>
        <v>0</v>
      </c>
      <c r="L84" s="388">
        <f t="shared" si="6"/>
        <v>0</v>
      </c>
      <c r="M84" s="388">
        <f t="shared" si="7"/>
        <v>0</v>
      </c>
      <c r="N84" s="388">
        <f t="shared" si="8"/>
        <v>0</v>
      </c>
      <c r="O84" s="389">
        <f t="shared" si="9"/>
        <v>0</v>
      </c>
      <c r="S84" s="582">
        <f t="shared" si="13"/>
        <v>8.6999999999999994E-3</v>
      </c>
      <c r="T84" s="580">
        <f t="shared" si="14"/>
        <v>1.5659999999999999E-3</v>
      </c>
      <c r="U84" s="580">
        <f t="shared" si="15"/>
        <v>0</v>
      </c>
      <c r="V84" s="580">
        <f t="shared" si="16"/>
        <v>0</v>
      </c>
      <c r="W84" s="580">
        <f t="shared" si="17"/>
        <v>0</v>
      </c>
      <c r="X84" s="580">
        <f t="shared" si="18"/>
        <v>0</v>
      </c>
      <c r="Y84" s="580">
        <f t="shared" si="19"/>
        <v>0</v>
      </c>
      <c r="Z84" s="580">
        <f t="shared" si="20"/>
        <v>0</v>
      </c>
      <c r="AA84" s="583">
        <f t="shared" si="21"/>
        <v>0</v>
      </c>
      <c r="AC84" s="66">
        <v>30500207</v>
      </c>
      <c r="AD84" s="68" t="s">
        <v>2457</v>
      </c>
      <c r="AG84" s="580">
        <v>7.5</v>
      </c>
      <c r="AH84" s="580">
        <v>5.4</v>
      </c>
      <c r="AI84" s="580">
        <v>47</v>
      </c>
      <c r="AJ84" s="580">
        <v>8.14</v>
      </c>
      <c r="AK84" s="580">
        <v>1.61</v>
      </c>
      <c r="AL84" s="580">
        <v>5</v>
      </c>
      <c r="AM84" s="632">
        <f>25000+(0.48*25)+(0.53*298)</f>
        <v>25169.94</v>
      </c>
      <c r="AN84" s="580">
        <v>6.4748201438848928E-8</v>
      </c>
      <c r="AO84" s="631">
        <v>6.0999999999999999E-2</v>
      </c>
      <c r="AP84" s="539" t="s">
        <v>2249</v>
      </c>
      <c r="AR84" s="1375"/>
      <c r="AS84" s="1376"/>
      <c r="AT84" s="1377"/>
    </row>
    <row r="85" spans="1:51" ht="18" customHeight="1" x14ac:dyDescent="0.25">
      <c r="A85" s="302">
        <f>IF('Table 3-A| Emission Units'!$M36=0,0,'Table 3-A| Emission Units'!A36&amp;"-"&amp;'Table 3-A| Emission Units'!B36)</f>
        <v>0</v>
      </c>
      <c r="B85" s="303">
        <f ca="1">'Table 3-A| Emission Units'!$C36</f>
        <v>0</v>
      </c>
      <c r="C85" s="714">
        <f>IF('Table 3-A| Emission Units'!$M36=0,0,IF(B85=$AF$65,$J$11/$AS$91,IF(B85=$AF$66,$J$11/$AW$91,IF(B85=$AF$67,$J$11/$AT$91,IF(B85=$AF$68,$J$11/$AX$91,0)))))</f>
        <v>0</v>
      </c>
      <c r="D85" s="386" t="str">
        <f>IF(C85=0,"",IF(B85='Table 3-A| Emission Units'!$Z$3,"MMcf","Mgal"))</f>
        <v/>
      </c>
      <c r="E85" s="305">
        <f t="shared" ref="E85" si="23">IFERROR(IF(A85=0,0,C85*8760),"")</f>
        <v>0</v>
      </c>
      <c r="F85" s="305" t="str">
        <f t="shared" si="22"/>
        <v/>
      </c>
      <c r="G85" s="387">
        <f t="shared" si="12"/>
        <v>0</v>
      </c>
      <c r="H85" s="388">
        <f t="shared" si="2"/>
        <v>0</v>
      </c>
      <c r="I85" s="388">
        <f t="shared" si="3"/>
        <v>0</v>
      </c>
      <c r="J85" s="388">
        <f t="shared" si="4"/>
        <v>0</v>
      </c>
      <c r="K85" s="388">
        <f t="shared" si="5"/>
        <v>0</v>
      </c>
      <c r="L85" s="388">
        <f t="shared" si="6"/>
        <v>0</v>
      </c>
      <c r="M85" s="388">
        <f t="shared" si="7"/>
        <v>0</v>
      </c>
      <c r="N85" s="388">
        <f t="shared" si="8"/>
        <v>0</v>
      </c>
      <c r="O85" s="389">
        <f t="shared" si="9"/>
        <v>0</v>
      </c>
      <c r="S85" s="582">
        <f t="shared" ca="1" si="13"/>
        <v>0</v>
      </c>
      <c r="T85" s="580">
        <f t="shared" ca="1" si="14"/>
        <v>0</v>
      </c>
      <c r="U85" s="580">
        <f t="shared" ca="1" si="15"/>
        <v>0</v>
      </c>
      <c r="V85" s="580">
        <f t="shared" ca="1" si="16"/>
        <v>0</v>
      </c>
      <c r="W85" s="580">
        <f t="shared" ca="1" si="17"/>
        <v>0</v>
      </c>
      <c r="X85" s="580">
        <f t="shared" ca="1" si="18"/>
        <v>0</v>
      </c>
      <c r="Y85" s="580">
        <f t="shared" ca="1" si="19"/>
        <v>0</v>
      </c>
      <c r="Z85" s="580">
        <f t="shared" ca="1" si="20"/>
        <v>0</v>
      </c>
      <c r="AA85" s="583">
        <f t="shared" ca="1" si="21"/>
        <v>0</v>
      </c>
      <c r="AC85" s="66">
        <v>30500208</v>
      </c>
      <c r="AD85" s="68" t="s">
        <v>2393</v>
      </c>
      <c r="AG85" s="580">
        <v>3.76</v>
      </c>
      <c r="AH85" s="580">
        <v>1.92</v>
      </c>
      <c r="AI85" s="580">
        <v>20</v>
      </c>
      <c r="AJ85" s="580">
        <v>7.2</v>
      </c>
      <c r="AK85" s="580">
        <v>0.25</v>
      </c>
      <c r="AL85" s="580">
        <v>5</v>
      </c>
      <c r="AM85" s="632">
        <f>25000+(0.05*25)</f>
        <v>25001.25</v>
      </c>
      <c r="AN85" s="580">
        <v>6.4748201438848928E-8</v>
      </c>
      <c r="AO85" s="631">
        <v>6.4299999999999996E-2</v>
      </c>
      <c r="AP85" s="539" t="s">
        <v>2249</v>
      </c>
      <c r="AR85" s="1375"/>
      <c r="AS85" s="1376"/>
      <c r="AT85" s="1377"/>
    </row>
    <row r="86" spans="1:51" ht="18" customHeight="1" thickBot="1" x14ac:dyDescent="0.3">
      <c r="A86" s="302">
        <f>IF('Table 3-A| Emission Units'!$M37=0,0,'Table 3-A| Emission Units'!A37&amp;"-"&amp;'Table 3-A| Emission Units'!B37)</f>
        <v>0</v>
      </c>
      <c r="B86" s="303">
        <f ca="1">'Table 3-A| Emission Units'!$C37</f>
        <v>0</v>
      </c>
      <c r="C86" s="1414">
        <f>IF($J$5=0,0,$J$5*$AS$79)</f>
        <v>0</v>
      </c>
      <c r="D86" s="1417" t="str">
        <f>IF(C86=0,"","tons")</f>
        <v/>
      </c>
      <c r="E86" s="1414">
        <f>IFERROR(IF(C86=0,0,C86*8760),0)</f>
        <v>0</v>
      </c>
      <c r="F86" s="1414" t="str">
        <f t="shared" si="22"/>
        <v/>
      </c>
      <c r="G86" s="1420">
        <f>IFERROR(IF($C86=0,0,LARGE(S86:S88,1)*$E86),0)</f>
        <v>0</v>
      </c>
      <c r="H86" s="1408">
        <f t="shared" ref="H86:N86" si="24">IFERROR(IF($C86=0,0,LARGE(T86:T88,1)*$E86),0)</f>
        <v>0</v>
      </c>
      <c r="I86" s="1408">
        <f t="shared" si="24"/>
        <v>0</v>
      </c>
      <c r="J86" s="1408">
        <f t="shared" si="24"/>
        <v>0</v>
      </c>
      <c r="K86" s="1408">
        <f t="shared" si="24"/>
        <v>0</v>
      </c>
      <c r="L86" s="1408">
        <f t="shared" si="24"/>
        <v>0</v>
      </c>
      <c r="M86" s="1408">
        <f t="shared" si="24"/>
        <v>0</v>
      </c>
      <c r="N86" s="1408">
        <f t="shared" si="24"/>
        <v>0</v>
      </c>
      <c r="O86" s="1411">
        <f ca="1">IF(AND(SUM('Table 5-D| MPTE HAP'!AK38:AU38)=0,SUM('Table 5-D| MPTE HAP'!AK39:AU39)=0,SUM('Table 5-D| MPTE HAP'!AK40:AU40)=0),0,IF(AND(SUM('Table 5-D| MPTE HAP'!AK38:AU38)&gt;SUM('Table 5-D| MPTE HAP'!AK39:AU39),SUM('Table 5-D| MPTE HAP'!AK38:AU38)&gt;SUM('Table 5-D| MPTE HAP'!AK40:AU40)),SUM('Table 5-D| MPTE HAP'!AK38:AU38),IF(AND(SUM('Table 5-D| MPTE HAP'!AK39:AU39)&gt;SUM('Table 5-D| MPTE HAP'!AK38:AU38),SUM('Table 5-D| MPTE HAP'!AK39:AU39)&gt;SUM('Table 5-D| MPTE HAP'!AK40:AU40)),SUM('Table 5-D| MPTE HAP'!AK39:AU39),SUM('Table 5-D| MPTE HAP'!AK40:AU40))))</f>
        <v>0</v>
      </c>
      <c r="S86" s="582">
        <f t="shared" ca="1" si="13"/>
        <v>0</v>
      </c>
      <c r="T86" s="580">
        <f t="shared" ca="1" si="14"/>
        <v>0</v>
      </c>
      <c r="U86" s="580">
        <f t="shared" ca="1" si="15"/>
        <v>0</v>
      </c>
      <c r="V86" s="580">
        <f t="shared" ca="1" si="16"/>
        <v>0</v>
      </c>
      <c r="W86" s="580">
        <f t="shared" ca="1" si="17"/>
        <v>0</v>
      </c>
      <c r="X86" s="580">
        <f t="shared" ca="1" si="18"/>
        <v>0</v>
      </c>
      <c r="Y86" s="580">
        <f t="shared" ca="1" si="19"/>
        <v>0</v>
      </c>
      <c r="Z86" s="580">
        <f t="shared" ca="1" si="20"/>
        <v>0</v>
      </c>
      <c r="AA86" s="583">
        <f t="shared" ca="1" si="21"/>
        <v>0</v>
      </c>
      <c r="AC86" s="66">
        <v>30500209</v>
      </c>
      <c r="AD86" s="68" t="s">
        <v>2394</v>
      </c>
      <c r="AG86" s="580">
        <v>1.1299999999999999</v>
      </c>
      <c r="AH86" s="580">
        <v>1.1299999999999999</v>
      </c>
      <c r="AI86" s="580">
        <v>20</v>
      </c>
      <c r="AJ86" s="580">
        <v>0.05</v>
      </c>
      <c r="AK86" s="580">
        <v>0.55000000000000004</v>
      </c>
      <c r="AL86" s="580">
        <v>3.4</v>
      </c>
      <c r="AM86" s="632">
        <f>12500+(0.2*25)</f>
        <v>12505</v>
      </c>
      <c r="AN86" s="580">
        <v>0</v>
      </c>
      <c r="AO86" s="631">
        <v>0</v>
      </c>
      <c r="AP86" s="539" t="s">
        <v>2249</v>
      </c>
      <c r="AR86" s="1378"/>
      <c r="AS86" s="1379"/>
      <c r="AT86" s="1380"/>
    </row>
    <row r="87" spans="1:51" ht="18" customHeight="1" thickBot="1" x14ac:dyDescent="0.3">
      <c r="A87" s="302">
        <f>IF('Table 3-A| Emission Units'!$M38=0,0,'Table 3-A| Emission Units'!A38&amp;"-"&amp;'Table 3-A| Emission Units'!B38)</f>
        <v>0</v>
      </c>
      <c r="B87" s="303">
        <f ca="1">'Table 3-A| Emission Units'!$C38</f>
        <v>0</v>
      </c>
      <c r="C87" s="1415"/>
      <c r="D87" s="1418"/>
      <c r="E87" s="1415"/>
      <c r="F87" s="1415" t="str">
        <f t="shared" si="22"/>
        <v/>
      </c>
      <c r="G87" s="1421"/>
      <c r="H87" s="1409"/>
      <c r="I87" s="1409"/>
      <c r="J87" s="1409"/>
      <c r="K87" s="1409"/>
      <c r="L87" s="1409"/>
      <c r="M87" s="1409"/>
      <c r="N87" s="1409"/>
      <c r="O87" s="1412"/>
      <c r="S87" s="582">
        <f t="shared" ca="1" si="13"/>
        <v>0</v>
      </c>
      <c r="T87" s="580">
        <f t="shared" ca="1" si="14"/>
        <v>0</v>
      </c>
      <c r="U87" s="580">
        <f t="shared" ca="1" si="15"/>
        <v>0</v>
      </c>
      <c r="V87" s="580">
        <f t="shared" ca="1" si="16"/>
        <v>0</v>
      </c>
      <c r="W87" s="580">
        <f t="shared" ca="1" si="17"/>
        <v>0</v>
      </c>
      <c r="X87" s="580">
        <f t="shared" ca="1" si="18"/>
        <v>0</v>
      </c>
      <c r="Y87" s="580">
        <f t="shared" ca="1" si="19"/>
        <v>0</v>
      </c>
      <c r="Z87" s="580">
        <f t="shared" ca="1" si="20"/>
        <v>0</v>
      </c>
      <c r="AA87" s="583">
        <f t="shared" ca="1" si="21"/>
        <v>0</v>
      </c>
      <c r="AC87" s="66">
        <v>30500213</v>
      </c>
      <c r="AD87" s="68" t="s">
        <v>2395</v>
      </c>
      <c r="AG87" s="631">
        <v>5.9000000000000003E-4</v>
      </c>
      <c r="AH87" s="631">
        <v>5.9000000000000003E-4</v>
      </c>
      <c r="AI87" s="580">
        <v>0</v>
      </c>
      <c r="AJ87" s="580">
        <v>0</v>
      </c>
      <c r="AK87" s="580">
        <v>1.2E-2</v>
      </c>
      <c r="AL87" s="580">
        <v>1.1800000000000001E-3</v>
      </c>
      <c r="AM87" s="632">
        <v>7.9999999999999993E-4</v>
      </c>
      <c r="AN87" s="580">
        <v>0</v>
      </c>
      <c r="AO87" s="631">
        <v>1.54E-4</v>
      </c>
      <c r="AP87" s="539" t="s">
        <v>2251</v>
      </c>
      <c r="AS87" s="66"/>
      <c r="AT87" s="66"/>
    </row>
    <row r="88" spans="1:51" ht="18" customHeight="1" thickBot="1" x14ac:dyDescent="0.3">
      <c r="A88" s="302">
        <f>IF('Table 3-A| Emission Units'!$M39=0,0,'Table 3-A| Emission Units'!A39&amp;"-"&amp;'Table 3-A| Emission Units'!B39)</f>
        <v>0</v>
      </c>
      <c r="B88" s="303">
        <f ca="1">'Table 3-A| Emission Units'!$C39</f>
        <v>0</v>
      </c>
      <c r="C88" s="1416"/>
      <c r="D88" s="1419"/>
      <c r="E88" s="1416"/>
      <c r="F88" s="1416" t="str">
        <f t="shared" si="22"/>
        <v/>
      </c>
      <c r="G88" s="1422"/>
      <c r="H88" s="1410"/>
      <c r="I88" s="1410"/>
      <c r="J88" s="1410"/>
      <c r="K88" s="1410"/>
      <c r="L88" s="1410"/>
      <c r="M88" s="1410"/>
      <c r="N88" s="1410"/>
      <c r="O88" s="1413"/>
      <c r="S88" s="582">
        <f t="shared" ca="1" si="13"/>
        <v>0</v>
      </c>
      <c r="T88" s="580">
        <f t="shared" ca="1" si="14"/>
        <v>0</v>
      </c>
      <c r="U88" s="580">
        <f t="shared" ca="1" si="15"/>
        <v>0</v>
      </c>
      <c r="V88" s="580">
        <f t="shared" ca="1" si="16"/>
        <v>0</v>
      </c>
      <c r="W88" s="580">
        <f t="shared" ca="1" si="17"/>
        <v>0</v>
      </c>
      <c r="X88" s="580">
        <f t="shared" ca="1" si="18"/>
        <v>0</v>
      </c>
      <c r="Y88" s="580">
        <f t="shared" ca="1" si="19"/>
        <v>0</v>
      </c>
      <c r="Z88" s="580">
        <f t="shared" ca="1" si="20"/>
        <v>0</v>
      </c>
      <c r="AA88" s="583">
        <f t="shared" ca="1" si="21"/>
        <v>0</v>
      </c>
      <c r="AC88" s="66">
        <v>30500214</v>
      </c>
      <c r="AD88" s="68" t="s">
        <v>2396</v>
      </c>
      <c r="AG88" s="580">
        <v>5.1999999999999995E-4</v>
      </c>
      <c r="AH88" s="580">
        <v>5.1999999999999995E-4</v>
      </c>
      <c r="AI88" s="580">
        <v>0</v>
      </c>
      <c r="AJ88" s="580">
        <v>0</v>
      </c>
      <c r="AK88" s="580">
        <v>3.8999999999999998E-3</v>
      </c>
      <c r="AL88" s="580">
        <v>1.2999999999999999E-3</v>
      </c>
      <c r="AM88" s="632">
        <v>6.7499999999999999E-3</v>
      </c>
      <c r="AN88" s="580">
        <v>0</v>
      </c>
      <c r="AO88" s="631">
        <v>6.8399999999999996E-5</v>
      </c>
      <c r="AP88" s="539" t="s">
        <v>2251</v>
      </c>
      <c r="AR88" s="1189" t="s">
        <v>2449</v>
      </c>
      <c r="AS88" s="1388"/>
      <c r="AT88" s="1388"/>
      <c r="AU88" s="1388"/>
      <c r="AV88" s="1388"/>
      <c r="AW88" s="1388"/>
      <c r="AX88" s="1388"/>
      <c r="AY88" s="1190"/>
    </row>
    <row r="89" spans="1:51" ht="18" customHeight="1" thickBot="1" x14ac:dyDescent="0.3">
      <c r="A89" s="302">
        <f>IF('Table 3-A| Emission Units'!$M40=0,0,'Table 3-A| Emission Units'!A40&amp;"-"&amp;'Table 3-A| Emission Units'!B40)</f>
        <v>0</v>
      </c>
      <c r="B89" s="303">
        <f>'Table 3-A| Emission Units'!$C40</f>
        <v>30500213</v>
      </c>
      <c r="C89" s="305">
        <f>IF('Table 3-A| Emission Units'!$M40=0,0,$J$5*$AS$79)</f>
        <v>0</v>
      </c>
      <c r="D89" s="386" t="str">
        <f t="shared" ref="D89:D91" si="25">IF(C89=0,"","tons")</f>
        <v/>
      </c>
      <c r="E89" s="305">
        <f>IFERROR(IF(A89=0,0,$E$86),"")</f>
        <v>0</v>
      </c>
      <c r="F89" s="305" t="str">
        <f t="shared" si="22"/>
        <v/>
      </c>
      <c r="G89" s="387">
        <f t="shared" si="12"/>
        <v>0</v>
      </c>
      <c r="H89" s="388">
        <f t="shared" si="2"/>
        <v>0</v>
      </c>
      <c r="I89" s="388">
        <f t="shared" si="3"/>
        <v>0</v>
      </c>
      <c r="J89" s="388">
        <f t="shared" si="4"/>
        <v>0</v>
      </c>
      <c r="K89" s="388">
        <f t="shared" si="5"/>
        <v>0</v>
      </c>
      <c r="L89" s="388">
        <f t="shared" si="6"/>
        <v>0</v>
      </c>
      <c r="M89" s="388">
        <f t="shared" si="7"/>
        <v>0</v>
      </c>
      <c r="N89" s="388">
        <f t="shared" si="8"/>
        <v>0</v>
      </c>
      <c r="O89" s="389">
        <f t="shared" si="9"/>
        <v>0</v>
      </c>
      <c r="S89" s="582">
        <f t="shared" si="13"/>
        <v>5.9000000000000003E-4</v>
      </c>
      <c r="T89" s="580">
        <f t="shared" si="14"/>
        <v>5.9000000000000003E-4</v>
      </c>
      <c r="U89" s="580">
        <f t="shared" si="15"/>
        <v>0</v>
      </c>
      <c r="V89" s="580">
        <f t="shared" si="16"/>
        <v>0</v>
      </c>
      <c r="W89" s="580">
        <f t="shared" si="17"/>
        <v>1.2E-2</v>
      </c>
      <c r="X89" s="580">
        <f t="shared" si="18"/>
        <v>1.1800000000000001E-3</v>
      </c>
      <c r="Y89" s="580">
        <f t="shared" si="19"/>
        <v>7.9999999999999993E-4</v>
      </c>
      <c r="Z89" s="580">
        <f t="shared" si="20"/>
        <v>0</v>
      </c>
      <c r="AA89" s="583">
        <f t="shared" si="21"/>
        <v>1.54E-4</v>
      </c>
      <c r="AC89" s="66">
        <v>30500245</v>
      </c>
      <c r="AD89" s="68" t="s">
        <v>2383</v>
      </c>
      <c r="AG89" s="580">
        <v>4.5</v>
      </c>
      <c r="AH89" s="580">
        <v>0.27</v>
      </c>
      <c r="AI89" s="580">
        <v>2.5000000000000001E-2</v>
      </c>
      <c r="AJ89" s="580">
        <v>4.5999999999999999E-3</v>
      </c>
      <c r="AK89" s="580">
        <v>8.2000000000000007E-3</v>
      </c>
      <c r="AL89" s="580">
        <v>0.4</v>
      </c>
      <c r="AM89" s="632">
        <v>37.185000000000002</v>
      </c>
      <c r="AN89" s="580">
        <v>1.4862999999999999E-4</v>
      </c>
      <c r="AO89" s="631">
        <v>9.8051760000000005E-3</v>
      </c>
      <c r="AP89" s="539" t="s">
        <v>2251</v>
      </c>
      <c r="AR89" s="782"/>
      <c r="AS89" s="780" t="s">
        <v>2450</v>
      </c>
      <c r="AT89" s="776" t="s">
        <v>2453</v>
      </c>
      <c r="AU89" s="776" t="s">
        <v>2451</v>
      </c>
      <c r="AV89" s="776" t="s">
        <v>2382</v>
      </c>
      <c r="AW89" s="778" t="s">
        <v>2452</v>
      </c>
      <c r="AX89" s="778" t="s">
        <v>2381</v>
      </c>
      <c r="AY89" s="777" t="s">
        <v>2170</v>
      </c>
    </row>
    <row r="90" spans="1:51" ht="18" customHeight="1" x14ac:dyDescent="0.25">
      <c r="A90" s="302">
        <f>IF('Table 3-A| Emission Units'!$M41=0,0,'Table 3-A| Emission Units'!A41&amp;"-"&amp;'Table 3-A| Emission Units'!B41)</f>
        <v>0</v>
      </c>
      <c r="B90" s="303">
        <f>'Table 3-A| Emission Units'!$C41</f>
        <v>30500214</v>
      </c>
      <c r="C90" s="305">
        <f>IF('Table 3-A| Emission Units'!$M41=0,0,$J$5*$AS$79)</f>
        <v>0</v>
      </c>
      <c r="D90" s="386" t="str">
        <f t="shared" si="25"/>
        <v/>
      </c>
      <c r="E90" s="305">
        <f t="shared" ref="E90:E91" si="26">IFERROR(IF(A90=0,0,$E$86),"")</f>
        <v>0</v>
      </c>
      <c r="F90" s="305" t="str">
        <f t="shared" si="22"/>
        <v/>
      </c>
      <c r="G90" s="387">
        <f t="shared" si="12"/>
        <v>0</v>
      </c>
      <c r="H90" s="388">
        <f t="shared" si="2"/>
        <v>0</v>
      </c>
      <c r="I90" s="388">
        <f t="shared" si="3"/>
        <v>0</v>
      </c>
      <c r="J90" s="388">
        <f t="shared" si="4"/>
        <v>0</v>
      </c>
      <c r="K90" s="388">
        <f t="shared" si="5"/>
        <v>0</v>
      </c>
      <c r="L90" s="388">
        <f t="shared" si="6"/>
        <v>0</v>
      </c>
      <c r="M90" s="388">
        <f t="shared" si="7"/>
        <v>0</v>
      </c>
      <c r="N90" s="388">
        <f t="shared" si="8"/>
        <v>0</v>
      </c>
      <c r="O90" s="389">
        <f t="shared" si="9"/>
        <v>0</v>
      </c>
      <c r="S90" s="582">
        <f t="shared" si="13"/>
        <v>5.1999999999999995E-4</v>
      </c>
      <c r="T90" s="580">
        <f t="shared" si="14"/>
        <v>5.1999999999999995E-4</v>
      </c>
      <c r="U90" s="580">
        <f t="shared" si="15"/>
        <v>0</v>
      </c>
      <c r="V90" s="580">
        <f t="shared" si="16"/>
        <v>0</v>
      </c>
      <c r="W90" s="580">
        <f t="shared" si="17"/>
        <v>3.8999999999999998E-3</v>
      </c>
      <c r="X90" s="580">
        <f t="shared" si="18"/>
        <v>1.2999999999999999E-3</v>
      </c>
      <c r="Y90" s="580">
        <f t="shared" si="19"/>
        <v>6.7499999999999999E-3</v>
      </c>
      <c r="Z90" s="580">
        <f t="shared" si="20"/>
        <v>0</v>
      </c>
      <c r="AA90" s="583">
        <f t="shared" si="21"/>
        <v>6.8399999999999996E-5</v>
      </c>
      <c r="AC90" s="66">
        <v>30500246</v>
      </c>
      <c r="AD90" s="68" t="s">
        <v>2384</v>
      </c>
      <c r="AG90" s="580">
        <v>4.5</v>
      </c>
      <c r="AH90" s="580">
        <v>0.27</v>
      </c>
      <c r="AI90" s="580">
        <v>0.12</v>
      </c>
      <c r="AJ90" s="580">
        <v>8.7999999999999995E-2</v>
      </c>
      <c r="AK90" s="580">
        <v>8.2000000000000007E-3</v>
      </c>
      <c r="AL90" s="580">
        <v>0.4</v>
      </c>
      <c r="AM90" s="632">
        <v>37.185000000000002</v>
      </c>
      <c r="AN90" s="580">
        <v>1.4862999999999999E-4</v>
      </c>
      <c r="AO90" s="631">
        <v>9.8051760000000005E-3</v>
      </c>
      <c r="AP90" s="539" t="s">
        <v>2251</v>
      </c>
      <c r="AR90" s="783" t="s">
        <v>2455</v>
      </c>
      <c r="AS90" s="781" t="s">
        <v>1532</v>
      </c>
      <c r="AT90" s="702" t="s">
        <v>1533</v>
      </c>
      <c r="AU90" s="702" t="s">
        <v>1533</v>
      </c>
      <c r="AV90" s="702" t="s">
        <v>1533</v>
      </c>
      <c r="AW90" s="779" t="s">
        <v>1533</v>
      </c>
      <c r="AX90" s="779" t="s">
        <v>1533</v>
      </c>
      <c r="AY90" s="703" t="s">
        <v>1533</v>
      </c>
    </row>
    <row r="91" spans="1:51" ht="18" customHeight="1" thickBot="1" x14ac:dyDescent="0.3">
      <c r="A91" s="309">
        <f>IF('Table 3-A| Emission Units'!$M42=0,0,'Table 3-A| Emission Units'!A42&amp;"-"&amp;'Table 3-A| Emission Units'!B42)</f>
        <v>0</v>
      </c>
      <c r="B91" s="310">
        <f>'Table 3-A| Emission Units'!$C42</f>
        <v>30500270</v>
      </c>
      <c r="C91" s="312">
        <f>IF('Table 3-A| Emission Units'!$M42=0,0,$J$5*$AS$79)</f>
        <v>0</v>
      </c>
      <c r="D91" s="390" t="str">
        <f t="shared" si="25"/>
        <v/>
      </c>
      <c r="E91" s="312">
        <f t="shared" si="26"/>
        <v>0</v>
      </c>
      <c r="F91" s="312" t="str">
        <f t="shared" si="22"/>
        <v/>
      </c>
      <c r="G91" s="391">
        <f t="shared" si="12"/>
        <v>0</v>
      </c>
      <c r="H91" s="392">
        <f t="shared" si="2"/>
        <v>0</v>
      </c>
      <c r="I91" s="392">
        <f t="shared" si="3"/>
        <v>0</v>
      </c>
      <c r="J91" s="392">
        <f t="shared" si="4"/>
        <v>0</v>
      </c>
      <c r="K91" s="392">
        <f t="shared" si="5"/>
        <v>0</v>
      </c>
      <c r="L91" s="392">
        <f t="shared" si="6"/>
        <v>0</v>
      </c>
      <c r="M91" s="392">
        <f t="shared" si="7"/>
        <v>0</v>
      </c>
      <c r="N91" s="392">
        <f t="shared" si="8"/>
        <v>0</v>
      </c>
      <c r="O91" s="393">
        <f t="shared" si="9"/>
        <v>0</v>
      </c>
      <c r="S91" s="582">
        <f t="shared" si="13"/>
        <v>0</v>
      </c>
      <c r="T91" s="580">
        <f t="shared" si="14"/>
        <v>0</v>
      </c>
      <c r="U91" s="580">
        <f t="shared" si="15"/>
        <v>0</v>
      </c>
      <c r="V91" s="580">
        <f t="shared" si="16"/>
        <v>0</v>
      </c>
      <c r="W91" s="580">
        <f t="shared" si="17"/>
        <v>1E-3</v>
      </c>
      <c r="X91" s="580">
        <f t="shared" si="18"/>
        <v>3.5E-4</v>
      </c>
      <c r="Y91" s="580">
        <f t="shared" si="19"/>
        <v>1.8E-3</v>
      </c>
      <c r="Z91" s="580">
        <f t="shared" si="20"/>
        <v>0</v>
      </c>
      <c r="AA91" s="583">
        <f t="shared" si="21"/>
        <v>1.5800000000000001E-5</v>
      </c>
      <c r="AC91" s="66">
        <v>30500247</v>
      </c>
      <c r="AD91" s="68" t="s">
        <v>2385</v>
      </c>
      <c r="AG91" s="580">
        <v>4.5</v>
      </c>
      <c r="AH91" s="580">
        <v>0.27</v>
      </c>
      <c r="AI91" s="580">
        <v>0.12</v>
      </c>
      <c r="AJ91" s="580">
        <v>8.7999999999999995E-2</v>
      </c>
      <c r="AK91" s="580">
        <v>3.5999999999999997E-2</v>
      </c>
      <c r="AL91" s="580">
        <v>0.4</v>
      </c>
      <c r="AM91" s="632">
        <v>37.185000000000002</v>
      </c>
      <c r="AN91" s="580">
        <v>1.67E-3</v>
      </c>
      <c r="AO91" s="631">
        <v>1.1326545999999998E-2</v>
      </c>
      <c r="AP91" s="539" t="s">
        <v>2251</v>
      </c>
      <c r="AR91" s="784" t="s">
        <v>2454</v>
      </c>
      <c r="AS91" s="785">
        <v>1027</v>
      </c>
      <c r="AT91" s="786">
        <v>139.6</v>
      </c>
      <c r="AU91" s="786">
        <v>152.4</v>
      </c>
      <c r="AV91" s="786">
        <v>125</v>
      </c>
      <c r="AW91" s="787">
        <v>149.69999999999999</v>
      </c>
      <c r="AX91" s="787">
        <v>91.33</v>
      </c>
      <c r="AY91" s="788">
        <v>124.24</v>
      </c>
    </row>
    <row r="92" spans="1:51" ht="18" customHeight="1" x14ac:dyDescent="0.25">
      <c r="A92" s="633">
        <f>IF('Table 3-A| Emission Units'!$M43=0,0,'Table 3-A| Emission Units'!A43&amp;"-"&amp;'Table 3-A| Emission Units'!B43)</f>
        <v>0</v>
      </c>
      <c r="B92" s="628">
        <f>'Table 3-A| Emission Units'!$C43</f>
        <v>30502031</v>
      </c>
      <c r="C92" s="635">
        <f>IF('Table 3-A| Emission Units'!$M43=0,0,$K$5*$AV$79)</f>
        <v>0</v>
      </c>
      <c r="D92" s="627" t="str">
        <f>IF(C92=0,"","tons")</f>
        <v/>
      </c>
      <c r="E92" s="635">
        <f>IFERROR(IF(A92=0,0,$E$99*$AV$79),"")</f>
        <v>0</v>
      </c>
      <c r="F92" s="635" t="str">
        <f>IF($A92=0,"","WebFIRE")</f>
        <v/>
      </c>
      <c r="G92" s="636">
        <f t="shared" si="12"/>
        <v>0</v>
      </c>
      <c r="H92" s="637">
        <f t="shared" si="2"/>
        <v>0</v>
      </c>
      <c r="I92" s="637">
        <f t="shared" si="3"/>
        <v>0</v>
      </c>
      <c r="J92" s="637">
        <f t="shared" si="4"/>
        <v>0</v>
      </c>
      <c r="K92" s="637">
        <f t="shared" si="5"/>
        <v>0</v>
      </c>
      <c r="L92" s="637">
        <f t="shared" si="6"/>
        <v>0</v>
      </c>
      <c r="M92" s="637">
        <f t="shared" si="7"/>
        <v>0</v>
      </c>
      <c r="N92" s="637">
        <f t="shared" si="8"/>
        <v>0</v>
      </c>
      <c r="O92" s="638">
        <f t="shared" si="9"/>
        <v>0</v>
      </c>
      <c r="P92" s="129"/>
      <c r="Q92" s="129"/>
      <c r="R92" s="129"/>
      <c r="S92" s="584">
        <f t="shared" si="13"/>
        <v>1.5999999999999999E-5</v>
      </c>
      <c r="T92" s="585">
        <f t="shared" si="14"/>
        <v>2.88E-6</v>
      </c>
      <c r="U92" s="585">
        <f t="shared" si="15"/>
        <v>0</v>
      </c>
      <c r="V92" s="580">
        <f t="shared" si="16"/>
        <v>0</v>
      </c>
      <c r="W92" s="580">
        <f t="shared" si="17"/>
        <v>0</v>
      </c>
      <c r="X92" s="580">
        <f t="shared" si="18"/>
        <v>0</v>
      </c>
      <c r="Y92" s="580">
        <f t="shared" si="19"/>
        <v>0</v>
      </c>
      <c r="Z92" s="580">
        <f t="shared" si="20"/>
        <v>0</v>
      </c>
      <c r="AA92" s="583">
        <f t="shared" si="21"/>
        <v>0</v>
      </c>
      <c r="AC92" s="66">
        <v>30500256</v>
      </c>
      <c r="AD92" s="68" t="s">
        <v>2388</v>
      </c>
      <c r="AG92" s="580">
        <v>6.5</v>
      </c>
      <c r="AH92" s="580">
        <v>1.5</v>
      </c>
      <c r="AI92" s="580">
        <v>2.5999999999999999E-2</v>
      </c>
      <c r="AJ92" s="580">
        <v>3.3999999999999998E-3</v>
      </c>
      <c r="AK92" s="580">
        <v>3.2000000000000001E-2</v>
      </c>
      <c r="AL92" s="580">
        <v>0.13</v>
      </c>
      <c r="AM92" s="632">
        <v>33.299999999999997</v>
      </c>
      <c r="AN92" s="580">
        <v>1.7546E-4</v>
      </c>
      <c r="AO92" s="631">
        <v>3.5469466582477849E-2</v>
      </c>
      <c r="AP92" s="539" t="s">
        <v>2251</v>
      </c>
      <c r="AS92" s="66"/>
      <c r="AT92" s="66"/>
      <c r="AU92" s="66"/>
      <c r="AV92" s="66"/>
      <c r="AW92" s="66"/>
      <c r="AX92" s="66"/>
    </row>
    <row r="93" spans="1:51" ht="18" customHeight="1" x14ac:dyDescent="0.25">
      <c r="A93" s="302">
        <f>IF('Table 3-A| Emission Units'!$M44=0,0,'Table 3-A| Emission Units'!A44&amp;"-"&amp;'Table 3-A| Emission Units'!B44)</f>
        <v>0</v>
      </c>
      <c r="B93" s="303">
        <f>'Table 3-A| Emission Units'!$C44</f>
        <v>30501123</v>
      </c>
      <c r="C93" s="305">
        <f>IF('Table 3-A| Emission Units'!$M44=0,0,$K$5*$AV$79)</f>
        <v>0</v>
      </c>
      <c r="D93" s="386" t="str">
        <f t="shared" ref="D93:D97" si="27">IF(C93=0,"","tons")</f>
        <v/>
      </c>
      <c r="E93" s="305">
        <f t="shared" ref="E93:E97" si="28">IFERROR(IF(A93=0,0,$E$99*$AV$79),"")</f>
        <v>0</v>
      </c>
      <c r="F93" s="305" t="str">
        <f>$F$92</f>
        <v/>
      </c>
      <c r="G93" s="387">
        <f t="shared" si="12"/>
        <v>0</v>
      </c>
      <c r="H93" s="388">
        <f t="shared" si="2"/>
        <v>0</v>
      </c>
      <c r="I93" s="388">
        <f t="shared" si="3"/>
        <v>0</v>
      </c>
      <c r="J93" s="388">
        <f t="shared" si="4"/>
        <v>0</v>
      </c>
      <c r="K93" s="388">
        <f t="shared" si="5"/>
        <v>0</v>
      </c>
      <c r="L93" s="388">
        <f t="shared" si="6"/>
        <v>0</v>
      </c>
      <c r="M93" s="388">
        <f t="shared" si="7"/>
        <v>0</v>
      </c>
      <c r="N93" s="388">
        <f t="shared" si="8"/>
        <v>0</v>
      </c>
      <c r="O93" s="389">
        <f t="shared" si="9"/>
        <v>0</v>
      </c>
      <c r="P93" s="129"/>
      <c r="Q93" s="129"/>
      <c r="R93" s="129"/>
      <c r="S93" s="584">
        <f t="shared" si="13"/>
        <v>3.3E-3</v>
      </c>
      <c r="T93" s="585">
        <f t="shared" si="14"/>
        <v>5.9400000000000002E-4</v>
      </c>
      <c r="U93" s="585">
        <f t="shared" si="15"/>
        <v>0</v>
      </c>
      <c r="V93" s="580">
        <f t="shared" si="16"/>
        <v>0</v>
      </c>
      <c r="W93" s="580">
        <f t="shared" si="17"/>
        <v>0</v>
      </c>
      <c r="X93" s="580">
        <f t="shared" si="18"/>
        <v>0</v>
      </c>
      <c r="Y93" s="580">
        <f t="shared" si="19"/>
        <v>0</v>
      </c>
      <c r="Z93" s="580">
        <f t="shared" si="20"/>
        <v>0</v>
      </c>
      <c r="AA93" s="583">
        <f t="shared" si="21"/>
        <v>0</v>
      </c>
      <c r="AC93" s="66">
        <v>30500257</v>
      </c>
      <c r="AD93" s="68" t="s">
        <v>2389</v>
      </c>
      <c r="AG93" s="580">
        <v>6.5</v>
      </c>
      <c r="AH93" s="580">
        <v>1.5</v>
      </c>
      <c r="AI93" s="580">
        <v>2.5999999999999999E-2</v>
      </c>
      <c r="AJ93" s="580">
        <v>3.3999999999999998E-3</v>
      </c>
      <c r="AK93" s="580">
        <v>3.2000000000000001E-2</v>
      </c>
      <c r="AL93" s="580">
        <v>0.13</v>
      </c>
      <c r="AM93" s="632">
        <v>33.299999999999997</v>
      </c>
      <c r="AN93" s="580">
        <v>1.7546E-4</v>
      </c>
      <c r="AO93" s="631">
        <v>3.5469466582477849E-2</v>
      </c>
      <c r="AP93" s="539" t="s">
        <v>2251</v>
      </c>
    </row>
    <row r="94" spans="1:51" ht="18" customHeight="1" x14ac:dyDescent="0.25">
      <c r="A94" s="302">
        <f>IF('Table 3-A| Emission Units'!$M45=0,0,'Table 3-A| Emission Units'!A45&amp;"-"&amp;'Table 3-A| Emission Units'!B45)</f>
        <v>0</v>
      </c>
      <c r="B94" s="303">
        <f>'Table 3-A| Emission Units'!$C45</f>
        <v>30501123</v>
      </c>
      <c r="C94" s="305">
        <f>IF('Table 3-A| Emission Units'!$M45=0,0,$K$5*$AV$79)</f>
        <v>0</v>
      </c>
      <c r="D94" s="386" t="str">
        <f t="shared" si="27"/>
        <v/>
      </c>
      <c r="E94" s="305">
        <f t="shared" si="28"/>
        <v>0</v>
      </c>
      <c r="F94" s="305" t="str">
        <f t="shared" ref="F94:F104" si="29">$F$92</f>
        <v/>
      </c>
      <c r="G94" s="387">
        <f t="shared" si="12"/>
        <v>0</v>
      </c>
      <c r="H94" s="388">
        <f t="shared" si="2"/>
        <v>0</v>
      </c>
      <c r="I94" s="388">
        <f t="shared" si="3"/>
        <v>0</v>
      </c>
      <c r="J94" s="388">
        <f t="shared" si="4"/>
        <v>0</v>
      </c>
      <c r="K94" s="388">
        <f t="shared" si="5"/>
        <v>0</v>
      </c>
      <c r="L94" s="388">
        <f t="shared" si="6"/>
        <v>0</v>
      </c>
      <c r="M94" s="388">
        <f t="shared" si="7"/>
        <v>0</v>
      </c>
      <c r="N94" s="388">
        <f t="shared" si="8"/>
        <v>0</v>
      </c>
      <c r="O94" s="389">
        <f t="shared" si="9"/>
        <v>0</v>
      </c>
      <c r="S94" s="584">
        <f t="shared" si="13"/>
        <v>3.3E-3</v>
      </c>
      <c r="T94" s="585">
        <f t="shared" si="14"/>
        <v>5.9400000000000002E-4</v>
      </c>
      <c r="U94" s="585">
        <f t="shared" si="15"/>
        <v>0</v>
      </c>
      <c r="V94" s="580">
        <f t="shared" si="16"/>
        <v>0</v>
      </c>
      <c r="W94" s="580">
        <f t="shared" si="17"/>
        <v>0</v>
      </c>
      <c r="X94" s="580">
        <f t="shared" si="18"/>
        <v>0</v>
      </c>
      <c r="Y94" s="580">
        <f t="shared" si="19"/>
        <v>0</v>
      </c>
      <c r="Z94" s="580">
        <f t="shared" si="20"/>
        <v>0</v>
      </c>
      <c r="AA94" s="583">
        <f t="shared" si="21"/>
        <v>0</v>
      </c>
      <c r="AC94" s="66">
        <v>30500259</v>
      </c>
      <c r="AD94" s="68" t="s">
        <v>2390</v>
      </c>
      <c r="AG94" s="580">
        <v>6.5</v>
      </c>
      <c r="AH94" s="580">
        <v>1.5</v>
      </c>
      <c r="AI94" s="580">
        <v>2.5999999999999999E-2</v>
      </c>
      <c r="AJ94" s="580">
        <v>3.3999999999999998E-3</v>
      </c>
      <c r="AK94" s="580">
        <v>3.2000000000000001E-2</v>
      </c>
      <c r="AL94" s="580">
        <v>0.13</v>
      </c>
      <c r="AM94" s="632">
        <v>33.299999999999997</v>
      </c>
      <c r="AN94" s="580">
        <v>5.4000000000000001E-4</v>
      </c>
      <c r="AO94" s="631">
        <v>1.2476770000209999E-2</v>
      </c>
      <c r="AP94" s="539" t="s">
        <v>2251</v>
      </c>
    </row>
    <row r="95" spans="1:51" ht="18" customHeight="1" x14ac:dyDescent="0.25">
      <c r="A95" s="302">
        <f>IF('Table 3-A| Emission Units'!$M46=0,0,'Table 3-A| Emission Units'!A46&amp;"-"&amp;'Table 3-A| Emission Units'!B46)</f>
        <v>0</v>
      </c>
      <c r="B95" s="303">
        <f>'Table 3-A| Emission Units'!$C46</f>
        <v>30502032</v>
      </c>
      <c r="C95" s="305">
        <f>IF('Table 3-A| Emission Units'!$M46=0,0,$K$5*$AV$79)</f>
        <v>0</v>
      </c>
      <c r="D95" s="386" t="str">
        <f t="shared" si="27"/>
        <v/>
      </c>
      <c r="E95" s="305">
        <f t="shared" si="28"/>
        <v>0</v>
      </c>
      <c r="F95" s="305" t="str">
        <f t="shared" si="29"/>
        <v/>
      </c>
      <c r="G95" s="387">
        <f t="shared" si="12"/>
        <v>0</v>
      </c>
      <c r="H95" s="388">
        <f t="shared" si="2"/>
        <v>0</v>
      </c>
      <c r="I95" s="388">
        <f t="shared" si="3"/>
        <v>0</v>
      </c>
      <c r="J95" s="388">
        <f t="shared" si="4"/>
        <v>0</v>
      </c>
      <c r="K95" s="388">
        <f t="shared" si="5"/>
        <v>0</v>
      </c>
      <c r="L95" s="388">
        <f t="shared" si="6"/>
        <v>0</v>
      </c>
      <c r="M95" s="388">
        <f t="shared" si="7"/>
        <v>0</v>
      </c>
      <c r="N95" s="388">
        <f t="shared" si="8"/>
        <v>0</v>
      </c>
      <c r="O95" s="389">
        <f t="shared" si="9"/>
        <v>0</v>
      </c>
      <c r="S95" s="584">
        <f t="shared" si="13"/>
        <v>1E-4</v>
      </c>
      <c r="T95" s="585">
        <f t="shared" si="14"/>
        <v>1.8E-5</v>
      </c>
      <c r="U95" s="585">
        <f t="shared" si="15"/>
        <v>0</v>
      </c>
      <c r="V95" s="580">
        <f t="shared" si="16"/>
        <v>0</v>
      </c>
      <c r="W95" s="580">
        <f t="shared" si="17"/>
        <v>0</v>
      </c>
      <c r="X95" s="580">
        <f t="shared" si="18"/>
        <v>0</v>
      </c>
      <c r="Y95" s="580">
        <f t="shared" si="19"/>
        <v>0</v>
      </c>
      <c r="Z95" s="580">
        <f t="shared" si="20"/>
        <v>0</v>
      </c>
      <c r="AA95" s="583">
        <f t="shared" si="21"/>
        <v>0</v>
      </c>
      <c r="AC95" s="66">
        <v>30500260</v>
      </c>
      <c r="AD95" s="68" t="s">
        <v>2391</v>
      </c>
      <c r="AG95" s="580">
        <v>6.5</v>
      </c>
      <c r="AH95" s="580">
        <v>1.5</v>
      </c>
      <c r="AI95" s="580">
        <v>2.5999999999999999E-2</v>
      </c>
      <c r="AJ95" s="580">
        <v>3.3999999999999998E-3</v>
      </c>
      <c r="AK95" s="580">
        <v>3.2000000000000001E-2</v>
      </c>
      <c r="AL95" s="580">
        <v>0.13</v>
      </c>
      <c r="AM95" s="632">
        <v>33.299999999999997</v>
      </c>
      <c r="AN95" s="580">
        <v>5.4000000000000001E-4</v>
      </c>
      <c r="AO95" s="631">
        <v>1.2476770000209999E-2</v>
      </c>
      <c r="AP95" s="539" t="s">
        <v>2251</v>
      </c>
    </row>
    <row r="96" spans="1:51" ht="18" customHeight="1" x14ac:dyDescent="0.25">
      <c r="A96" s="302">
        <f>IF('Table 3-A| Emission Units'!$M47=0,0,'Table 3-A| Emission Units'!A47&amp;"-"&amp;'Table 3-A| Emission Units'!B47)</f>
        <v>0</v>
      </c>
      <c r="B96" s="303">
        <f>'Table 3-A| Emission Units'!$C47</f>
        <v>30502006</v>
      </c>
      <c r="C96" s="305">
        <f>IF('Table 3-A| Emission Units'!$M47=0,0,$K$5*$AV$79)</f>
        <v>0</v>
      </c>
      <c r="D96" s="386" t="str">
        <f t="shared" si="27"/>
        <v/>
      </c>
      <c r="E96" s="305">
        <f t="shared" si="28"/>
        <v>0</v>
      </c>
      <c r="F96" s="305" t="str">
        <f t="shared" si="29"/>
        <v/>
      </c>
      <c r="G96" s="387">
        <f t="shared" si="12"/>
        <v>0</v>
      </c>
      <c r="H96" s="388">
        <f t="shared" si="2"/>
        <v>0</v>
      </c>
      <c r="I96" s="388">
        <f t="shared" si="3"/>
        <v>0</v>
      </c>
      <c r="J96" s="388">
        <f t="shared" si="4"/>
        <v>0</v>
      </c>
      <c r="K96" s="388">
        <f t="shared" si="5"/>
        <v>0</v>
      </c>
      <c r="L96" s="388">
        <f t="shared" si="6"/>
        <v>0</v>
      </c>
      <c r="M96" s="388">
        <f t="shared" si="7"/>
        <v>0</v>
      </c>
      <c r="N96" s="388">
        <f t="shared" si="8"/>
        <v>0</v>
      </c>
      <c r="O96" s="389">
        <f t="shared" si="9"/>
        <v>0</v>
      </c>
      <c r="S96" s="584">
        <f t="shared" si="13"/>
        <v>1.1000000000000001E-3</v>
      </c>
      <c r="T96" s="585">
        <f t="shared" si="14"/>
        <v>1.9800000000000002E-4</v>
      </c>
      <c r="U96" s="585">
        <f t="shared" si="15"/>
        <v>0</v>
      </c>
      <c r="V96" s="580">
        <f t="shared" si="16"/>
        <v>0</v>
      </c>
      <c r="W96" s="580">
        <f t="shared" si="17"/>
        <v>0</v>
      </c>
      <c r="X96" s="580">
        <f t="shared" si="18"/>
        <v>0</v>
      </c>
      <c r="Y96" s="580">
        <f t="shared" si="19"/>
        <v>0</v>
      </c>
      <c r="Z96" s="580">
        <f t="shared" si="20"/>
        <v>0</v>
      </c>
      <c r="AA96" s="583">
        <f t="shared" si="21"/>
        <v>0</v>
      </c>
      <c r="AC96" s="66">
        <v>30500262</v>
      </c>
      <c r="AD96" s="68" t="s">
        <v>2386</v>
      </c>
      <c r="AG96" s="631">
        <v>6.5</v>
      </c>
      <c r="AH96" s="631">
        <v>1.5</v>
      </c>
      <c r="AI96" s="580">
        <v>5.5E-2</v>
      </c>
      <c r="AJ96" s="580">
        <v>5.8000000000000003E-2</v>
      </c>
      <c r="AK96" s="580">
        <v>3.2000000000000001E-2</v>
      </c>
      <c r="AL96" s="580">
        <v>0.13</v>
      </c>
      <c r="AM96" s="632">
        <v>33.299999999999997</v>
      </c>
      <c r="AN96" s="580">
        <v>4.2450000000000005E-3</v>
      </c>
      <c r="AO96" s="631">
        <v>4.4680388000000001E-2</v>
      </c>
      <c r="AP96" s="539" t="s">
        <v>2251</v>
      </c>
    </row>
    <row r="97" spans="1:46" ht="18" customHeight="1" x14ac:dyDescent="0.25">
      <c r="A97" s="302">
        <f>IF('Table 3-A| Emission Units'!$M48=0,0,'Table 3-A| Emission Units'!A48&amp;"-"&amp;'Table 3-A| Emission Units'!B48)</f>
        <v>0</v>
      </c>
      <c r="B97" s="303">
        <f>'Table 3-A| Emission Units'!$C48</f>
        <v>30502003</v>
      </c>
      <c r="C97" s="305">
        <f>IF('Table 3-A| Emission Units'!$M48=0,0,$K$5*$AV$79)</f>
        <v>0</v>
      </c>
      <c r="D97" s="386" t="str">
        <f t="shared" si="27"/>
        <v/>
      </c>
      <c r="E97" s="305">
        <f t="shared" si="28"/>
        <v>0</v>
      </c>
      <c r="F97" s="305" t="str">
        <f t="shared" si="29"/>
        <v/>
      </c>
      <c r="G97" s="387">
        <f t="shared" si="12"/>
        <v>0</v>
      </c>
      <c r="H97" s="388">
        <f t="shared" si="2"/>
        <v>0</v>
      </c>
      <c r="I97" s="388">
        <f t="shared" si="3"/>
        <v>0</v>
      </c>
      <c r="J97" s="388">
        <f t="shared" si="4"/>
        <v>0</v>
      </c>
      <c r="K97" s="388">
        <f t="shared" si="5"/>
        <v>0</v>
      </c>
      <c r="L97" s="388">
        <f t="shared" si="6"/>
        <v>0</v>
      </c>
      <c r="M97" s="388">
        <f t="shared" si="7"/>
        <v>0</v>
      </c>
      <c r="N97" s="388">
        <f t="shared" si="8"/>
        <v>0</v>
      </c>
      <c r="O97" s="389">
        <f t="shared" si="9"/>
        <v>0</v>
      </c>
      <c r="S97" s="584">
        <f t="shared" si="13"/>
        <v>8.6999999999999994E-3</v>
      </c>
      <c r="T97" s="585">
        <f t="shared" si="14"/>
        <v>1.5659999999999999E-3</v>
      </c>
      <c r="U97" s="585">
        <f t="shared" si="15"/>
        <v>0</v>
      </c>
      <c r="V97" s="580">
        <f t="shared" si="16"/>
        <v>0</v>
      </c>
      <c r="W97" s="580">
        <f t="shared" si="17"/>
        <v>0</v>
      </c>
      <c r="X97" s="580">
        <f t="shared" si="18"/>
        <v>0</v>
      </c>
      <c r="Y97" s="580">
        <f t="shared" si="19"/>
        <v>0</v>
      </c>
      <c r="Z97" s="580">
        <f t="shared" si="20"/>
        <v>0</v>
      </c>
      <c r="AA97" s="583">
        <f t="shared" si="21"/>
        <v>0</v>
      </c>
      <c r="AC97" s="66">
        <v>30500263</v>
      </c>
      <c r="AD97" s="68" t="s">
        <v>2387</v>
      </c>
      <c r="AG97" s="631">
        <v>6.5</v>
      </c>
      <c r="AH97" s="631">
        <v>1.5</v>
      </c>
      <c r="AI97" s="580">
        <v>5.5E-2</v>
      </c>
      <c r="AJ97" s="580">
        <v>5.8000000000000003E-2</v>
      </c>
      <c r="AK97" s="580">
        <v>3.2000000000000001E-2</v>
      </c>
      <c r="AL97" s="580">
        <v>0.13</v>
      </c>
      <c r="AM97" s="632">
        <v>33.299999999999997</v>
      </c>
      <c r="AN97" s="580">
        <v>4.2450000000000005E-3</v>
      </c>
      <c r="AO97" s="631">
        <v>4.4680388000000001E-2</v>
      </c>
      <c r="AP97" s="539" t="s">
        <v>2251</v>
      </c>
    </row>
    <row r="98" spans="1:46" ht="18" customHeight="1" x14ac:dyDescent="0.25">
      <c r="A98" s="302">
        <f>IF('Table 3-A| Emission Units'!$M49=0,0,'Table 3-A| Emission Units'!A49&amp;"-"&amp;'Table 3-A| Emission Units'!B49)</f>
        <v>0</v>
      </c>
      <c r="B98" s="303">
        <f ca="1">'Table 3-A| Emission Units'!$C49</f>
        <v>0</v>
      </c>
      <c r="C98" s="305">
        <f>IF('Table 3-A| Emission Units'!$M49=0,0,IF(B98=$AF$65,$K$11/$AS$91,IF(B98=$AF$66,$K$11/$AW$91,IF(B98=$AF$67,$K$11/$AT$91,IF(B98=$AF$68,$K$11/$AX$91,0)))))</f>
        <v>0</v>
      </c>
      <c r="D98" s="386" t="str">
        <f>IF(C98=0,"",IF(B98='Table 3-A| Emission Units'!$Z$3,"MMcf","Mgal"))</f>
        <v/>
      </c>
      <c r="E98" s="305">
        <f t="shared" ref="E98" si="30">IFERROR(IF(A98=0,0,C98*8760),"")</f>
        <v>0</v>
      </c>
      <c r="F98" s="305" t="str">
        <f t="shared" si="29"/>
        <v/>
      </c>
      <c r="G98" s="387">
        <f t="shared" si="12"/>
        <v>0</v>
      </c>
      <c r="H98" s="388">
        <f t="shared" si="2"/>
        <v>0</v>
      </c>
      <c r="I98" s="388">
        <f t="shared" si="3"/>
        <v>0</v>
      </c>
      <c r="J98" s="388">
        <f t="shared" si="4"/>
        <v>0</v>
      </c>
      <c r="K98" s="388">
        <f t="shared" si="5"/>
        <v>0</v>
      </c>
      <c r="L98" s="388">
        <f t="shared" si="6"/>
        <v>0</v>
      </c>
      <c r="M98" s="388">
        <f t="shared" si="7"/>
        <v>0</v>
      </c>
      <c r="N98" s="388">
        <f t="shared" si="8"/>
        <v>0</v>
      </c>
      <c r="O98" s="389">
        <f t="shared" si="9"/>
        <v>0</v>
      </c>
      <c r="S98" s="584">
        <f t="shared" ca="1" si="13"/>
        <v>0</v>
      </c>
      <c r="T98" s="585">
        <f t="shared" ca="1" si="14"/>
        <v>0</v>
      </c>
      <c r="U98" s="585">
        <f t="shared" ca="1" si="15"/>
        <v>0</v>
      </c>
      <c r="V98" s="580">
        <f t="shared" ca="1" si="16"/>
        <v>0</v>
      </c>
      <c r="W98" s="580">
        <f t="shared" ca="1" si="17"/>
        <v>0</v>
      </c>
      <c r="X98" s="580">
        <f t="shared" ca="1" si="18"/>
        <v>0</v>
      </c>
      <c r="Y98" s="580">
        <f t="shared" ca="1" si="19"/>
        <v>0</v>
      </c>
      <c r="Z98" s="580">
        <f t="shared" ca="1" si="20"/>
        <v>0</v>
      </c>
      <c r="AA98" s="583">
        <f t="shared" ca="1" si="21"/>
        <v>0</v>
      </c>
      <c r="AC98" s="66">
        <v>30500270</v>
      </c>
      <c r="AD98" s="68" t="s">
        <v>2397</v>
      </c>
      <c r="AG98" s="631">
        <v>0</v>
      </c>
      <c r="AH98" s="631">
        <v>0</v>
      </c>
      <c r="AI98" s="580">
        <v>0</v>
      </c>
      <c r="AJ98" s="580">
        <v>0</v>
      </c>
      <c r="AK98" s="580">
        <v>1E-3</v>
      </c>
      <c r="AL98" s="580">
        <v>3.5E-4</v>
      </c>
      <c r="AM98" s="632">
        <v>1.8E-3</v>
      </c>
      <c r="AN98" s="580">
        <v>0</v>
      </c>
      <c r="AO98" s="631">
        <v>1.5800000000000001E-5</v>
      </c>
      <c r="AP98" s="539" t="s">
        <v>2251</v>
      </c>
    </row>
    <row r="99" spans="1:46" ht="18" customHeight="1" x14ac:dyDescent="0.25">
      <c r="A99" s="302">
        <f>IF('Table 3-A| Emission Units'!$M50=0,0,'Table 3-A| Emission Units'!A50&amp;"-"&amp;'Table 3-A| Emission Units'!B50)</f>
        <v>0</v>
      </c>
      <c r="B99" s="303">
        <f ca="1">'Table 3-A| Emission Units'!$C50</f>
        <v>0</v>
      </c>
      <c r="C99" s="1414">
        <f>IF($J$5=0,0,$K$5*$AS$79)</f>
        <v>0</v>
      </c>
      <c r="D99" s="1417" t="str">
        <f>IF(C99=0,"","tons")</f>
        <v/>
      </c>
      <c r="E99" s="1414">
        <f>IFERROR(IF(C99=0,0,C99*8760),0)</f>
        <v>0</v>
      </c>
      <c r="F99" s="1414" t="str">
        <f t="shared" si="29"/>
        <v/>
      </c>
      <c r="G99" s="1420">
        <f>IFERROR(IF($C99=0,0,LARGE(S99:S101,1)*$E99),0)</f>
        <v>0</v>
      </c>
      <c r="H99" s="1408">
        <f t="shared" ref="H99" si="31">IFERROR(IF($C99=0,0,LARGE(T99:T101,1)*$E99),0)</f>
        <v>0</v>
      </c>
      <c r="I99" s="1408">
        <f t="shared" ref="I99" si="32">IFERROR(IF($C99=0,0,LARGE(U99:U101,1)*$E99),0)</f>
        <v>0</v>
      </c>
      <c r="J99" s="1408">
        <f t="shared" ref="J99" si="33">IFERROR(IF($C99=0,0,LARGE(V99:V101,1)*$E99),0)</f>
        <v>0</v>
      </c>
      <c r="K99" s="1408">
        <f t="shared" ref="K99" si="34">IFERROR(IF($C99=0,0,LARGE(W99:W101,1)*$E99),0)</f>
        <v>0</v>
      </c>
      <c r="L99" s="1408">
        <f t="shared" ref="L99" si="35">IFERROR(IF($C99=0,0,LARGE(X99:X101,1)*$E99),0)</f>
        <v>0</v>
      </c>
      <c r="M99" s="1408">
        <f t="shared" ref="M99" si="36">IFERROR(IF($C99=0,0,LARGE(Y99:Y101,1)*$E99),0)</f>
        <v>0</v>
      </c>
      <c r="N99" s="1408">
        <f t="shared" ref="N99" si="37">IFERROR(IF($C99=0,0,LARGE(Z99:Z101,1)*$E99),0)</f>
        <v>0</v>
      </c>
      <c r="O99" s="1411">
        <f ca="1">IF(AND(SUM('Table 5-D| MPTE HAP'!AK42:AU42)=0,SUM('Table 5-D| MPTE HAP'!AK43:AU43)=0,SUM('Table 5-D| MPTE HAP'!AK44:AU44)=0),0,IF(AND(SUM('Table 5-D| MPTE HAP'!AK42:AU42)&gt;SUM('Table 5-D| MPTE HAP'!AK43:AU43),SUM('Table 5-D| MPTE HAP'!AK42:AU42)&gt;SUM('Table 5-D| MPTE HAP'!AK44:AU44)),SUM('Table 5-D| MPTE HAP'!AK42:AU42),IF(AND(SUM('Table 5-D| MPTE HAP'!AK43:AU43)&gt;SUM('Table 5-D| MPTE HAP'!AK42:AU42),SUM('Table 5-D| MPTE HAP'!AK43:AU43)&gt;SUM('Table 5-D| MPTE HAP'!AK44:AU44)),SUM('Table 5-D| MPTE HAP'!AK43:AU43),SUM('Table 5-D| MPTE HAP'!AK44:AU44))))</f>
        <v>0</v>
      </c>
      <c r="S99" s="584">
        <f t="shared" ca="1" si="13"/>
        <v>0</v>
      </c>
      <c r="T99" s="585">
        <f t="shared" ca="1" si="14"/>
        <v>0</v>
      </c>
      <c r="U99" s="585">
        <f t="shared" ca="1" si="15"/>
        <v>0</v>
      </c>
      <c r="V99" s="580">
        <f t="shared" ca="1" si="16"/>
        <v>0</v>
      </c>
      <c r="W99" s="580">
        <f t="shared" ca="1" si="17"/>
        <v>0</v>
      </c>
      <c r="X99" s="580">
        <f t="shared" ca="1" si="18"/>
        <v>0</v>
      </c>
      <c r="Y99" s="580">
        <f t="shared" ca="1" si="19"/>
        <v>0</v>
      </c>
      <c r="Z99" s="580">
        <f t="shared" ca="1" si="20"/>
        <v>0</v>
      </c>
      <c r="AA99" s="583">
        <f t="shared" ca="1" si="21"/>
        <v>0</v>
      </c>
      <c r="AC99" s="66">
        <v>30501104</v>
      </c>
      <c r="AD99" s="68" t="s">
        <v>2287</v>
      </c>
      <c r="AG99" s="631">
        <v>3.3E-3</v>
      </c>
      <c r="AH99" s="631">
        <v>5.9400000000000002E-4</v>
      </c>
      <c r="AI99" s="580">
        <v>0</v>
      </c>
      <c r="AJ99" s="580">
        <v>0</v>
      </c>
      <c r="AK99" s="580">
        <v>0</v>
      </c>
      <c r="AL99" s="580">
        <v>0</v>
      </c>
      <c r="AM99" s="632">
        <v>0</v>
      </c>
      <c r="AN99" s="580">
        <v>0</v>
      </c>
      <c r="AO99" s="631">
        <v>0</v>
      </c>
      <c r="AP99" s="539" t="s">
        <v>2251</v>
      </c>
    </row>
    <row r="100" spans="1:46" ht="18" customHeight="1" x14ac:dyDescent="0.25">
      <c r="A100" s="302">
        <f>IF('Table 3-A| Emission Units'!$M51=0,0,'Table 3-A| Emission Units'!A51&amp;"-"&amp;'Table 3-A| Emission Units'!B51)</f>
        <v>0</v>
      </c>
      <c r="B100" s="303">
        <f ca="1">'Table 3-A| Emission Units'!$C51</f>
        <v>0</v>
      </c>
      <c r="C100" s="1415"/>
      <c r="D100" s="1418"/>
      <c r="E100" s="1415"/>
      <c r="F100" s="1415" t="str">
        <f t="shared" si="29"/>
        <v/>
      </c>
      <c r="G100" s="1421"/>
      <c r="H100" s="1409"/>
      <c r="I100" s="1409"/>
      <c r="J100" s="1409"/>
      <c r="K100" s="1409"/>
      <c r="L100" s="1409"/>
      <c r="M100" s="1409"/>
      <c r="N100" s="1409"/>
      <c r="O100" s="1412"/>
      <c r="S100" s="584">
        <f t="shared" ca="1" si="13"/>
        <v>0</v>
      </c>
      <c r="T100" s="585">
        <f t="shared" ca="1" si="14"/>
        <v>0</v>
      </c>
      <c r="U100" s="585">
        <f t="shared" ca="1" si="15"/>
        <v>0</v>
      </c>
      <c r="V100" s="580">
        <f t="shared" ca="1" si="16"/>
        <v>0</v>
      </c>
      <c r="W100" s="580">
        <f t="shared" ca="1" si="17"/>
        <v>0</v>
      </c>
      <c r="X100" s="580">
        <f t="shared" ca="1" si="18"/>
        <v>0</v>
      </c>
      <c r="Y100" s="580">
        <f t="shared" ca="1" si="19"/>
        <v>0</v>
      </c>
      <c r="Z100" s="580">
        <f t="shared" ca="1" si="20"/>
        <v>0</v>
      </c>
      <c r="AA100" s="583">
        <f t="shared" ca="1" si="21"/>
        <v>0</v>
      </c>
      <c r="AC100" s="66">
        <v>30501105</v>
      </c>
      <c r="AD100" s="68" t="s">
        <v>2288</v>
      </c>
      <c r="AG100" s="631">
        <v>9.8999999999999999E-4</v>
      </c>
      <c r="AH100" s="631">
        <v>1.7799999999999999E-4</v>
      </c>
      <c r="AI100" s="580">
        <v>0</v>
      </c>
      <c r="AJ100" s="580">
        <v>0</v>
      </c>
      <c r="AK100" s="580">
        <v>0</v>
      </c>
      <c r="AL100" s="580">
        <v>0</v>
      </c>
      <c r="AM100" s="632">
        <v>0</v>
      </c>
      <c r="AN100" s="580">
        <v>0</v>
      </c>
      <c r="AO100" s="631">
        <v>0</v>
      </c>
      <c r="AP100" s="539" t="s">
        <v>2251</v>
      </c>
    </row>
    <row r="101" spans="1:46" ht="18" customHeight="1" x14ac:dyDescent="0.25">
      <c r="A101" s="302">
        <f>IF('Table 3-A| Emission Units'!$M52=0,0,'Table 3-A| Emission Units'!A52&amp;"-"&amp;'Table 3-A| Emission Units'!B52)</f>
        <v>0</v>
      </c>
      <c r="B101" s="303">
        <f ca="1">'Table 3-A| Emission Units'!$C52</f>
        <v>0</v>
      </c>
      <c r="C101" s="1416"/>
      <c r="D101" s="1419"/>
      <c r="E101" s="1416"/>
      <c r="F101" s="1416" t="str">
        <f t="shared" si="29"/>
        <v/>
      </c>
      <c r="G101" s="1422"/>
      <c r="H101" s="1410"/>
      <c r="I101" s="1410"/>
      <c r="J101" s="1410"/>
      <c r="K101" s="1410"/>
      <c r="L101" s="1410"/>
      <c r="M101" s="1410"/>
      <c r="N101" s="1410"/>
      <c r="O101" s="1413"/>
      <c r="S101" s="584">
        <f t="shared" ca="1" si="13"/>
        <v>0</v>
      </c>
      <c r="T101" s="585">
        <f t="shared" ca="1" si="14"/>
        <v>0</v>
      </c>
      <c r="U101" s="585">
        <f t="shared" ca="1" si="15"/>
        <v>0</v>
      </c>
      <c r="V101" s="580">
        <f t="shared" ca="1" si="16"/>
        <v>0</v>
      </c>
      <c r="W101" s="580">
        <f t="shared" ca="1" si="17"/>
        <v>0</v>
      </c>
      <c r="X101" s="580">
        <f t="shared" ca="1" si="18"/>
        <v>0</v>
      </c>
      <c r="Y101" s="580">
        <f t="shared" ca="1" si="19"/>
        <v>0</v>
      </c>
      <c r="Z101" s="580">
        <f t="shared" ca="1" si="20"/>
        <v>0</v>
      </c>
      <c r="AA101" s="583">
        <f t="shared" ca="1" si="21"/>
        <v>0</v>
      </c>
      <c r="AC101" s="66">
        <v>30501121</v>
      </c>
      <c r="AD101" s="68" t="s">
        <v>2285</v>
      </c>
      <c r="AG101" s="631">
        <v>3.3E-3</v>
      </c>
      <c r="AH101" s="631">
        <v>5.9400000000000002E-4</v>
      </c>
      <c r="AI101" s="580">
        <v>0</v>
      </c>
      <c r="AJ101" s="580">
        <v>0</v>
      </c>
      <c r="AK101" s="580">
        <v>0</v>
      </c>
      <c r="AL101" s="580">
        <v>0</v>
      </c>
      <c r="AM101" s="632">
        <v>0</v>
      </c>
      <c r="AN101" s="580">
        <v>0</v>
      </c>
      <c r="AO101" s="631">
        <v>0</v>
      </c>
      <c r="AP101" s="539" t="s">
        <v>2251</v>
      </c>
    </row>
    <row r="102" spans="1:46" ht="18" customHeight="1" x14ac:dyDescent="0.25">
      <c r="A102" s="302">
        <f>IF('Table 3-A| Emission Units'!$M53=0,0,'Table 3-A| Emission Units'!A53&amp;"-"&amp;'Table 3-A| Emission Units'!B53)</f>
        <v>0</v>
      </c>
      <c r="B102" s="303">
        <f>'Table 3-A| Emission Units'!$C53</f>
        <v>30500213</v>
      </c>
      <c r="C102" s="305">
        <f>IF('Table 3-A| Emission Units'!$M53=0,0,$K$5*$AS$79)</f>
        <v>0</v>
      </c>
      <c r="D102" s="386" t="str">
        <f t="shared" ref="D102:D104" si="38">IF(C102=0,"","tons")</f>
        <v/>
      </c>
      <c r="E102" s="305">
        <f>IFERROR(IF(A102=0,0,$E$99),"")</f>
        <v>0</v>
      </c>
      <c r="F102" s="305" t="str">
        <f t="shared" si="29"/>
        <v/>
      </c>
      <c r="G102" s="387">
        <f t="shared" si="12"/>
        <v>0</v>
      </c>
      <c r="H102" s="388">
        <f t="shared" si="2"/>
        <v>0</v>
      </c>
      <c r="I102" s="388">
        <f t="shared" si="3"/>
        <v>0</v>
      </c>
      <c r="J102" s="388">
        <f t="shared" si="4"/>
        <v>0</v>
      </c>
      <c r="K102" s="388">
        <f t="shared" si="5"/>
        <v>0</v>
      </c>
      <c r="L102" s="388">
        <f t="shared" si="6"/>
        <v>0</v>
      </c>
      <c r="M102" s="388">
        <f t="shared" si="7"/>
        <v>0</v>
      </c>
      <c r="N102" s="388">
        <f t="shared" si="8"/>
        <v>0</v>
      </c>
      <c r="O102" s="389">
        <f t="shared" si="9"/>
        <v>0</v>
      </c>
      <c r="S102" s="584">
        <f t="shared" si="13"/>
        <v>5.9000000000000003E-4</v>
      </c>
      <c r="T102" s="585">
        <f t="shared" si="14"/>
        <v>5.9000000000000003E-4</v>
      </c>
      <c r="U102" s="585">
        <f t="shared" si="15"/>
        <v>0</v>
      </c>
      <c r="V102" s="580">
        <f t="shared" si="16"/>
        <v>0</v>
      </c>
      <c r="W102" s="580">
        <f t="shared" si="17"/>
        <v>1.2E-2</v>
      </c>
      <c r="X102" s="580">
        <f t="shared" si="18"/>
        <v>1.1800000000000001E-3</v>
      </c>
      <c r="Y102" s="580">
        <f t="shared" si="19"/>
        <v>7.9999999999999993E-4</v>
      </c>
      <c r="Z102" s="580">
        <f t="shared" si="20"/>
        <v>0</v>
      </c>
      <c r="AA102" s="583">
        <f t="shared" si="21"/>
        <v>1.54E-4</v>
      </c>
      <c r="AC102" s="66">
        <v>30501122</v>
      </c>
      <c r="AD102" s="68" t="s">
        <v>2265</v>
      </c>
      <c r="AG102" s="631">
        <v>9.8999999999999999E-4</v>
      </c>
      <c r="AH102" s="631">
        <v>1.7799999999999999E-4</v>
      </c>
      <c r="AI102" s="580">
        <v>0</v>
      </c>
      <c r="AJ102" s="580">
        <v>0</v>
      </c>
      <c r="AK102" s="580">
        <v>0</v>
      </c>
      <c r="AL102" s="580">
        <v>0</v>
      </c>
      <c r="AM102" s="632">
        <v>0</v>
      </c>
      <c r="AN102" s="580">
        <v>0</v>
      </c>
      <c r="AO102" s="631">
        <v>0</v>
      </c>
      <c r="AP102" s="539" t="s">
        <v>2251</v>
      </c>
      <c r="AT102" s="48" t="s">
        <v>2456</v>
      </c>
    </row>
    <row r="103" spans="1:46" ht="18" customHeight="1" x14ac:dyDescent="0.25">
      <c r="A103" s="302">
        <f>IF('Table 3-A| Emission Units'!$M54=0,0,'Table 3-A| Emission Units'!A54&amp;"-"&amp;'Table 3-A| Emission Units'!B54)</f>
        <v>0</v>
      </c>
      <c r="B103" s="303">
        <f>'Table 3-A| Emission Units'!$C54</f>
        <v>30500214</v>
      </c>
      <c r="C103" s="305">
        <f>IF('Table 3-A| Emission Units'!$M54=0,0,$K$5*$AS$79)</f>
        <v>0</v>
      </c>
      <c r="D103" s="386" t="str">
        <f t="shared" si="38"/>
        <v/>
      </c>
      <c r="E103" s="305">
        <f t="shared" ref="E103:E104" si="39">IFERROR(IF(A103=0,0,$E$99),"")</f>
        <v>0</v>
      </c>
      <c r="F103" s="305" t="str">
        <f t="shared" si="29"/>
        <v/>
      </c>
      <c r="G103" s="387">
        <f t="shared" si="12"/>
        <v>0</v>
      </c>
      <c r="H103" s="388">
        <f t="shared" si="2"/>
        <v>0</v>
      </c>
      <c r="I103" s="388">
        <f t="shared" si="3"/>
        <v>0</v>
      </c>
      <c r="J103" s="388">
        <f t="shared" si="4"/>
        <v>0</v>
      </c>
      <c r="K103" s="388">
        <f t="shared" si="5"/>
        <v>0</v>
      </c>
      <c r="L103" s="388">
        <f t="shared" si="6"/>
        <v>0</v>
      </c>
      <c r="M103" s="388">
        <f t="shared" si="7"/>
        <v>0</v>
      </c>
      <c r="N103" s="388">
        <f t="shared" si="8"/>
        <v>0</v>
      </c>
      <c r="O103" s="389">
        <f t="shared" si="9"/>
        <v>0</v>
      </c>
      <c r="S103" s="584">
        <f t="shared" si="13"/>
        <v>5.1999999999999995E-4</v>
      </c>
      <c r="T103" s="585">
        <f t="shared" si="14"/>
        <v>5.1999999999999995E-4</v>
      </c>
      <c r="U103" s="585">
        <f t="shared" si="15"/>
        <v>0</v>
      </c>
      <c r="V103" s="580">
        <f t="shared" si="16"/>
        <v>0</v>
      </c>
      <c r="W103" s="580">
        <f t="shared" si="17"/>
        <v>3.8999999999999998E-3</v>
      </c>
      <c r="X103" s="580">
        <f t="shared" si="18"/>
        <v>1.2999999999999999E-3</v>
      </c>
      <c r="Y103" s="580">
        <f t="shared" si="19"/>
        <v>6.7499999999999999E-3</v>
      </c>
      <c r="Z103" s="580">
        <f t="shared" si="20"/>
        <v>0</v>
      </c>
      <c r="AA103" s="583">
        <f t="shared" si="21"/>
        <v>6.8399999999999996E-5</v>
      </c>
      <c r="AC103" s="66">
        <v>30501123</v>
      </c>
      <c r="AD103" s="68" t="s">
        <v>2325</v>
      </c>
      <c r="AG103" s="631">
        <v>3.3E-3</v>
      </c>
      <c r="AH103" s="631">
        <v>5.9400000000000002E-4</v>
      </c>
      <c r="AI103" s="580">
        <v>0</v>
      </c>
      <c r="AJ103" s="580">
        <v>0</v>
      </c>
      <c r="AK103" s="580">
        <v>0</v>
      </c>
      <c r="AL103" s="580">
        <v>0</v>
      </c>
      <c r="AM103" s="632">
        <v>0</v>
      </c>
      <c r="AN103" s="580">
        <v>0</v>
      </c>
      <c r="AO103" s="631">
        <v>0</v>
      </c>
      <c r="AP103" s="539" t="s">
        <v>2251</v>
      </c>
    </row>
    <row r="104" spans="1:46" ht="18" customHeight="1" thickBot="1" x14ac:dyDescent="0.3">
      <c r="A104" s="309">
        <f>IF('Table 3-A| Emission Units'!$M55=0,0,'Table 3-A| Emission Units'!A55&amp;"-"&amp;'Table 3-A| Emission Units'!B55)</f>
        <v>0</v>
      </c>
      <c r="B104" s="310">
        <f>'Table 3-A| Emission Units'!$C55</f>
        <v>30500270</v>
      </c>
      <c r="C104" s="312">
        <f>IF('Table 3-A| Emission Units'!$M55=0,0,$K$5*$AS$79)</f>
        <v>0</v>
      </c>
      <c r="D104" s="390" t="str">
        <f t="shared" si="38"/>
        <v/>
      </c>
      <c r="E104" s="312">
        <f t="shared" si="39"/>
        <v>0</v>
      </c>
      <c r="F104" s="312" t="str">
        <f t="shared" si="29"/>
        <v/>
      </c>
      <c r="G104" s="391">
        <f t="shared" si="12"/>
        <v>0</v>
      </c>
      <c r="H104" s="392">
        <f t="shared" si="2"/>
        <v>0</v>
      </c>
      <c r="I104" s="392">
        <f t="shared" si="3"/>
        <v>0</v>
      </c>
      <c r="J104" s="392">
        <f t="shared" si="4"/>
        <v>0</v>
      </c>
      <c r="K104" s="392">
        <f t="shared" si="5"/>
        <v>0</v>
      </c>
      <c r="L104" s="392">
        <f t="shared" si="6"/>
        <v>0</v>
      </c>
      <c r="M104" s="392">
        <f t="shared" si="7"/>
        <v>0</v>
      </c>
      <c r="N104" s="392">
        <f t="shared" si="8"/>
        <v>0</v>
      </c>
      <c r="O104" s="393">
        <f t="shared" si="9"/>
        <v>0</v>
      </c>
      <c r="S104" s="584">
        <f t="shared" si="13"/>
        <v>0</v>
      </c>
      <c r="T104" s="585">
        <f t="shared" si="14"/>
        <v>0</v>
      </c>
      <c r="U104" s="585">
        <f t="shared" si="15"/>
        <v>0</v>
      </c>
      <c r="V104" s="580">
        <f t="shared" si="16"/>
        <v>0</v>
      </c>
      <c r="W104" s="580">
        <f t="shared" si="17"/>
        <v>1E-3</v>
      </c>
      <c r="X104" s="580">
        <f t="shared" si="18"/>
        <v>3.5E-4</v>
      </c>
      <c r="Y104" s="580">
        <f t="shared" si="19"/>
        <v>1.8E-3</v>
      </c>
      <c r="Z104" s="580">
        <f t="shared" si="20"/>
        <v>0</v>
      </c>
      <c r="AA104" s="583">
        <f t="shared" si="21"/>
        <v>1.5800000000000001E-5</v>
      </c>
      <c r="AC104" s="66">
        <v>30501124</v>
      </c>
      <c r="AD104" s="68" t="s">
        <v>2286</v>
      </c>
      <c r="AG104" s="631">
        <v>9.8999999999999999E-4</v>
      </c>
      <c r="AH104" s="631">
        <v>1.7799999999999999E-4</v>
      </c>
      <c r="AI104" s="580">
        <v>0</v>
      </c>
      <c r="AJ104" s="580">
        <v>0</v>
      </c>
      <c r="AK104" s="580">
        <v>0</v>
      </c>
      <c r="AL104" s="580">
        <v>0</v>
      </c>
      <c r="AM104" s="632">
        <v>0</v>
      </c>
      <c r="AN104" s="580">
        <v>0</v>
      </c>
      <c r="AO104" s="631">
        <v>0</v>
      </c>
      <c r="AP104" s="539" t="s">
        <v>2251</v>
      </c>
    </row>
    <row r="105" spans="1:46" ht="18" customHeight="1" x14ac:dyDescent="0.25">
      <c r="A105" s="633">
        <f>IF('Table 3-A| Emission Units'!$M56=0,0,'Table 3-A| Emission Units'!A56&amp;"-"&amp;'Table 3-A| Emission Units'!B56)</f>
        <v>0</v>
      </c>
      <c r="B105" s="628">
        <f>'Table 3-A| Emission Units'!$C56</f>
        <v>30502031</v>
      </c>
      <c r="C105" s="635">
        <f>IF('Table 3-A| Emission Units'!$M56=0,0,$L$5*$AV$79)</f>
        <v>0</v>
      </c>
      <c r="D105" s="627" t="str">
        <f>IF(C105=0,"","tons")</f>
        <v/>
      </c>
      <c r="E105" s="635">
        <f>IFERROR(IF(A105=0,0,$E$112*$AV$79),"")</f>
        <v>0</v>
      </c>
      <c r="F105" s="635" t="str">
        <f>IF($A105=0,"","WebFIRE")</f>
        <v/>
      </c>
      <c r="G105" s="636">
        <f t="shared" si="12"/>
        <v>0</v>
      </c>
      <c r="H105" s="637">
        <f t="shared" si="2"/>
        <v>0</v>
      </c>
      <c r="I105" s="637">
        <f t="shared" si="3"/>
        <v>0</v>
      </c>
      <c r="J105" s="637">
        <f t="shared" si="4"/>
        <v>0</v>
      </c>
      <c r="K105" s="637">
        <f t="shared" si="5"/>
        <v>0</v>
      </c>
      <c r="L105" s="637">
        <f t="shared" si="6"/>
        <v>0</v>
      </c>
      <c r="M105" s="637">
        <f t="shared" si="7"/>
        <v>0</v>
      </c>
      <c r="N105" s="637">
        <f t="shared" si="8"/>
        <v>0</v>
      </c>
      <c r="O105" s="638">
        <f t="shared" si="9"/>
        <v>0</v>
      </c>
      <c r="S105" s="584">
        <f t="shared" si="13"/>
        <v>1.5999999999999999E-5</v>
      </c>
      <c r="T105" s="585">
        <f t="shared" si="14"/>
        <v>2.88E-6</v>
      </c>
      <c r="U105" s="585">
        <f t="shared" si="15"/>
        <v>0</v>
      </c>
      <c r="V105" s="580">
        <f t="shared" si="16"/>
        <v>0</v>
      </c>
      <c r="W105" s="580">
        <f t="shared" si="17"/>
        <v>0</v>
      </c>
      <c r="X105" s="580">
        <f t="shared" si="18"/>
        <v>0</v>
      </c>
      <c r="Y105" s="580">
        <f t="shared" si="19"/>
        <v>0</v>
      </c>
      <c r="Z105" s="580">
        <f t="shared" si="20"/>
        <v>0</v>
      </c>
      <c r="AA105" s="583">
        <f t="shared" si="21"/>
        <v>0</v>
      </c>
      <c r="AC105" s="66">
        <v>30502001</v>
      </c>
      <c r="AD105" s="68" t="s">
        <v>2252</v>
      </c>
      <c r="AG105" s="631">
        <v>2.3999999999999998E-3</v>
      </c>
      <c r="AH105" s="631">
        <v>4.3199999999999993E-4</v>
      </c>
      <c r="AI105" s="580">
        <v>0</v>
      </c>
      <c r="AJ105" s="580">
        <v>0</v>
      </c>
      <c r="AK105" s="580">
        <v>0</v>
      </c>
      <c r="AL105" s="580">
        <v>0</v>
      </c>
      <c r="AM105" s="580">
        <v>0</v>
      </c>
      <c r="AN105" s="580">
        <v>0</v>
      </c>
      <c r="AO105" s="631">
        <v>0</v>
      </c>
      <c r="AP105" s="539" t="s">
        <v>2251</v>
      </c>
    </row>
    <row r="106" spans="1:46" ht="18" customHeight="1" x14ac:dyDescent="0.25">
      <c r="A106" s="302">
        <f>IF('Table 3-A| Emission Units'!$M57=0,0,'Table 3-A| Emission Units'!A57&amp;"-"&amp;'Table 3-A| Emission Units'!B57)</f>
        <v>0</v>
      </c>
      <c r="B106" s="303">
        <f>'Table 3-A| Emission Units'!$C57</f>
        <v>30501123</v>
      </c>
      <c r="C106" s="305">
        <f>IF('Table 3-A| Emission Units'!$M57=0,0,$L$5*$AV$79)</f>
        <v>0</v>
      </c>
      <c r="D106" s="386" t="str">
        <f t="shared" ref="D106:D110" si="40">IF(C106=0,"","tons")</f>
        <v/>
      </c>
      <c r="E106" s="305">
        <f t="shared" ref="E106:E110" si="41">IFERROR(IF(A106=0,0,$E$112*$AV$79),"")</f>
        <v>0</v>
      </c>
      <c r="F106" s="305" t="str">
        <f>$F$105</f>
        <v/>
      </c>
      <c r="G106" s="387">
        <f t="shared" si="12"/>
        <v>0</v>
      </c>
      <c r="H106" s="388">
        <f t="shared" si="2"/>
        <v>0</v>
      </c>
      <c r="I106" s="388">
        <f t="shared" si="3"/>
        <v>0</v>
      </c>
      <c r="J106" s="388">
        <f t="shared" si="4"/>
        <v>0</v>
      </c>
      <c r="K106" s="388">
        <f t="shared" si="5"/>
        <v>0</v>
      </c>
      <c r="L106" s="388">
        <f t="shared" si="6"/>
        <v>0</v>
      </c>
      <c r="M106" s="388">
        <f t="shared" si="7"/>
        <v>0</v>
      </c>
      <c r="N106" s="388">
        <f t="shared" si="8"/>
        <v>0</v>
      </c>
      <c r="O106" s="389">
        <f t="shared" si="9"/>
        <v>0</v>
      </c>
      <c r="S106" s="584">
        <f t="shared" si="13"/>
        <v>3.3E-3</v>
      </c>
      <c r="T106" s="585">
        <f t="shared" si="14"/>
        <v>5.9400000000000002E-4</v>
      </c>
      <c r="U106" s="585">
        <f t="shared" si="15"/>
        <v>0</v>
      </c>
      <c r="V106" s="580">
        <f t="shared" si="16"/>
        <v>0</v>
      </c>
      <c r="W106" s="580">
        <f t="shared" si="17"/>
        <v>0</v>
      </c>
      <c r="X106" s="580">
        <f t="shared" si="18"/>
        <v>0</v>
      </c>
      <c r="Y106" s="580">
        <f t="shared" si="19"/>
        <v>0</v>
      </c>
      <c r="Z106" s="580">
        <f t="shared" si="20"/>
        <v>0</v>
      </c>
      <c r="AA106" s="583">
        <f t="shared" si="21"/>
        <v>0</v>
      </c>
      <c r="AC106" s="66">
        <v>30502002</v>
      </c>
      <c r="AD106" s="68" t="s">
        <v>2253</v>
      </c>
      <c r="AG106" s="631">
        <v>2.3999999999999998E-3</v>
      </c>
      <c r="AH106" s="631">
        <v>4.3199999999999993E-4</v>
      </c>
      <c r="AI106" s="580">
        <v>0</v>
      </c>
      <c r="AJ106" s="580">
        <v>0</v>
      </c>
      <c r="AK106" s="580">
        <v>0</v>
      </c>
      <c r="AL106" s="580">
        <v>0</v>
      </c>
      <c r="AM106" s="580">
        <v>0</v>
      </c>
      <c r="AN106" s="580">
        <v>0</v>
      </c>
      <c r="AO106" s="631">
        <v>0</v>
      </c>
      <c r="AP106" s="539" t="s">
        <v>2251</v>
      </c>
    </row>
    <row r="107" spans="1:46" ht="18" customHeight="1" x14ac:dyDescent="0.25">
      <c r="A107" s="302">
        <f>IF('Table 3-A| Emission Units'!$M58=0,0,'Table 3-A| Emission Units'!A58&amp;"-"&amp;'Table 3-A| Emission Units'!B58)</f>
        <v>0</v>
      </c>
      <c r="B107" s="303">
        <f>'Table 3-A| Emission Units'!$C58</f>
        <v>30501123</v>
      </c>
      <c r="C107" s="305">
        <f>IF('Table 3-A| Emission Units'!$M58=0,0,$L$5*$AV$79)</f>
        <v>0</v>
      </c>
      <c r="D107" s="386" t="str">
        <f t="shared" si="40"/>
        <v/>
      </c>
      <c r="E107" s="305">
        <f t="shared" si="41"/>
        <v>0</v>
      </c>
      <c r="F107" s="305" t="str">
        <f t="shared" ref="F107:F117" si="42">$F$105</f>
        <v/>
      </c>
      <c r="G107" s="387">
        <f t="shared" si="12"/>
        <v>0</v>
      </c>
      <c r="H107" s="388">
        <f t="shared" si="2"/>
        <v>0</v>
      </c>
      <c r="I107" s="388">
        <f t="shared" si="3"/>
        <v>0</v>
      </c>
      <c r="J107" s="388">
        <f t="shared" si="4"/>
        <v>0</v>
      </c>
      <c r="K107" s="388">
        <f t="shared" si="5"/>
        <v>0</v>
      </c>
      <c r="L107" s="388">
        <f t="shared" si="6"/>
        <v>0</v>
      </c>
      <c r="M107" s="388">
        <f t="shared" si="7"/>
        <v>0</v>
      </c>
      <c r="N107" s="388">
        <f t="shared" si="8"/>
        <v>0</v>
      </c>
      <c r="O107" s="389">
        <f t="shared" si="9"/>
        <v>0</v>
      </c>
      <c r="S107" s="584">
        <f t="shared" si="13"/>
        <v>3.3E-3</v>
      </c>
      <c r="T107" s="585">
        <f t="shared" si="14"/>
        <v>5.9400000000000002E-4</v>
      </c>
      <c r="U107" s="585">
        <f t="shared" si="15"/>
        <v>0</v>
      </c>
      <c r="V107" s="580">
        <f t="shared" si="16"/>
        <v>0</v>
      </c>
      <c r="W107" s="580">
        <f t="shared" si="17"/>
        <v>0</v>
      </c>
      <c r="X107" s="580">
        <f t="shared" si="18"/>
        <v>0</v>
      </c>
      <c r="Y107" s="580">
        <f t="shared" si="19"/>
        <v>0</v>
      </c>
      <c r="Z107" s="580">
        <f t="shared" si="20"/>
        <v>0</v>
      </c>
      <c r="AA107" s="583">
        <f t="shared" si="21"/>
        <v>0</v>
      </c>
      <c r="AC107" s="66">
        <v>30502003</v>
      </c>
      <c r="AD107" s="68" t="s">
        <v>2254</v>
      </c>
      <c r="AG107" s="631">
        <v>8.6999999999999994E-3</v>
      </c>
      <c r="AH107" s="631">
        <v>1.5659999999999999E-3</v>
      </c>
      <c r="AI107" s="580">
        <v>0</v>
      </c>
      <c r="AJ107" s="580">
        <v>0</v>
      </c>
      <c r="AK107" s="580">
        <v>0</v>
      </c>
      <c r="AL107" s="580">
        <v>0</v>
      </c>
      <c r="AM107" s="580">
        <v>0</v>
      </c>
      <c r="AN107" s="580">
        <v>0</v>
      </c>
      <c r="AO107" s="631">
        <v>0</v>
      </c>
      <c r="AP107" s="539" t="s">
        <v>2251</v>
      </c>
    </row>
    <row r="108" spans="1:46" ht="18" customHeight="1" x14ac:dyDescent="0.25">
      <c r="A108" s="302">
        <f>IF('Table 3-A| Emission Units'!$M59=0,0,'Table 3-A| Emission Units'!A59&amp;"-"&amp;'Table 3-A| Emission Units'!B59)</f>
        <v>0</v>
      </c>
      <c r="B108" s="303">
        <f>'Table 3-A| Emission Units'!$C59</f>
        <v>30502032</v>
      </c>
      <c r="C108" s="305">
        <f>IF('Table 3-A| Emission Units'!$M59=0,0,$L$5*$AV$79)</f>
        <v>0</v>
      </c>
      <c r="D108" s="386" t="str">
        <f t="shared" si="40"/>
        <v/>
      </c>
      <c r="E108" s="305">
        <f t="shared" si="41"/>
        <v>0</v>
      </c>
      <c r="F108" s="305" t="str">
        <f t="shared" si="42"/>
        <v/>
      </c>
      <c r="G108" s="387">
        <f t="shared" si="12"/>
        <v>0</v>
      </c>
      <c r="H108" s="388">
        <f t="shared" si="2"/>
        <v>0</v>
      </c>
      <c r="I108" s="388">
        <f t="shared" si="3"/>
        <v>0</v>
      </c>
      <c r="J108" s="388">
        <f t="shared" si="4"/>
        <v>0</v>
      </c>
      <c r="K108" s="388">
        <f t="shared" si="5"/>
        <v>0</v>
      </c>
      <c r="L108" s="388">
        <f t="shared" si="6"/>
        <v>0</v>
      </c>
      <c r="M108" s="388">
        <f t="shared" si="7"/>
        <v>0</v>
      </c>
      <c r="N108" s="388">
        <f t="shared" si="8"/>
        <v>0</v>
      </c>
      <c r="O108" s="389">
        <f t="shared" si="9"/>
        <v>0</v>
      </c>
      <c r="S108" s="584">
        <f t="shared" si="13"/>
        <v>1E-4</v>
      </c>
      <c r="T108" s="585">
        <f t="shared" si="14"/>
        <v>1.8E-5</v>
      </c>
      <c r="U108" s="585">
        <f t="shared" si="15"/>
        <v>0</v>
      </c>
      <c r="V108" s="580">
        <f t="shared" si="16"/>
        <v>0</v>
      </c>
      <c r="W108" s="580">
        <f t="shared" si="17"/>
        <v>0</v>
      </c>
      <c r="X108" s="580">
        <f t="shared" si="18"/>
        <v>0</v>
      </c>
      <c r="Y108" s="580">
        <f t="shared" si="19"/>
        <v>0</v>
      </c>
      <c r="Z108" s="580">
        <f t="shared" si="20"/>
        <v>0</v>
      </c>
      <c r="AA108" s="583">
        <f t="shared" si="21"/>
        <v>0</v>
      </c>
      <c r="AC108" s="66">
        <v>30502006</v>
      </c>
      <c r="AD108" s="68" t="s">
        <v>2255</v>
      </c>
      <c r="AG108" s="631">
        <v>1.1000000000000001E-3</v>
      </c>
      <c r="AH108" s="631">
        <v>1.9800000000000002E-4</v>
      </c>
      <c r="AI108" s="580">
        <v>0</v>
      </c>
      <c r="AJ108" s="580">
        <v>0</v>
      </c>
      <c r="AK108" s="580">
        <v>0</v>
      </c>
      <c r="AL108" s="580">
        <v>0</v>
      </c>
      <c r="AM108" s="580">
        <v>0</v>
      </c>
      <c r="AN108" s="580">
        <v>0</v>
      </c>
      <c r="AO108" s="631">
        <v>0</v>
      </c>
      <c r="AP108" s="539" t="s">
        <v>2251</v>
      </c>
    </row>
    <row r="109" spans="1:46" ht="18" customHeight="1" x14ac:dyDescent="0.25">
      <c r="A109" s="302">
        <f>IF('Table 3-A| Emission Units'!$M60=0,0,'Table 3-A| Emission Units'!A60&amp;"-"&amp;'Table 3-A| Emission Units'!B60)</f>
        <v>0</v>
      </c>
      <c r="B109" s="303">
        <f>'Table 3-A| Emission Units'!$C60</f>
        <v>30502006</v>
      </c>
      <c r="C109" s="305">
        <f>IF('Table 3-A| Emission Units'!$M60=0,0,$L$5*$AV$79)</f>
        <v>0</v>
      </c>
      <c r="D109" s="386" t="str">
        <f t="shared" si="40"/>
        <v/>
      </c>
      <c r="E109" s="305">
        <f t="shared" si="41"/>
        <v>0</v>
      </c>
      <c r="F109" s="305" t="str">
        <f t="shared" si="42"/>
        <v/>
      </c>
      <c r="G109" s="387">
        <f t="shared" si="12"/>
        <v>0</v>
      </c>
      <c r="H109" s="388">
        <f t="shared" si="2"/>
        <v>0</v>
      </c>
      <c r="I109" s="388">
        <f t="shared" si="3"/>
        <v>0</v>
      </c>
      <c r="J109" s="388">
        <f t="shared" si="4"/>
        <v>0</v>
      </c>
      <c r="K109" s="388">
        <f t="shared" si="5"/>
        <v>0</v>
      </c>
      <c r="L109" s="388">
        <f t="shared" si="6"/>
        <v>0</v>
      </c>
      <c r="M109" s="388">
        <f t="shared" si="7"/>
        <v>0</v>
      </c>
      <c r="N109" s="388">
        <f t="shared" si="8"/>
        <v>0</v>
      </c>
      <c r="O109" s="389">
        <f t="shared" si="9"/>
        <v>0</v>
      </c>
      <c r="S109" s="584">
        <f t="shared" si="13"/>
        <v>1.1000000000000001E-3</v>
      </c>
      <c r="T109" s="585">
        <f t="shared" si="14"/>
        <v>1.9800000000000002E-4</v>
      </c>
      <c r="U109" s="585">
        <f t="shared" si="15"/>
        <v>0</v>
      </c>
      <c r="V109" s="580">
        <f t="shared" si="16"/>
        <v>0</v>
      </c>
      <c r="W109" s="580">
        <f t="shared" si="17"/>
        <v>0</v>
      </c>
      <c r="X109" s="580">
        <f t="shared" si="18"/>
        <v>0</v>
      </c>
      <c r="Y109" s="580">
        <f t="shared" si="19"/>
        <v>0</v>
      </c>
      <c r="Z109" s="580">
        <f t="shared" si="20"/>
        <v>0</v>
      </c>
      <c r="AA109" s="583">
        <f t="shared" si="21"/>
        <v>0</v>
      </c>
      <c r="AC109" s="66">
        <v>30502031</v>
      </c>
      <c r="AD109" s="68" t="s">
        <v>2256</v>
      </c>
      <c r="AG109" s="631">
        <v>1.5999999999999999E-5</v>
      </c>
      <c r="AH109" s="631">
        <v>2.88E-6</v>
      </c>
      <c r="AI109" s="580">
        <v>0</v>
      </c>
      <c r="AJ109" s="580">
        <v>0</v>
      </c>
      <c r="AK109" s="580">
        <v>0</v>
      </c>
      <c r="AL109" s="580">
        <v>0</v>
      </c>
      <c r="AM109" s="580">
        <v>0</v>
      </c>
      <c r="AN109" s="580">
        <v>0</v>
      </c>
      <c r="AO109" s="631">
        <v>0</v>
      </c>
      <c r="AP109" s="539" t="s">
        <v>2251</v>
      </c>
    </row>
    <row r="110" spans="1:46" ht="18" customHeight="1" x14ac:dyDescent="0.25">
      <c r="A110" s="302">
        <f>IF('Table 3-A| Emission Units'!$M61=0,0,'Table 3-A| Emission Units'!A61&amp;"-"&amp;'Table 3-A| Emission Units'!B61)</f>
        <v>0</v>
      </c>
      <c r="B110" s="303">
        <f>'Table 3-A| Emission Units'!$C61</f>
        <v>30502003</v>
      </c>
      <c r="C110" s="305">
        <f>IF('Table 3-A| Emission Units'!$M61=0,0,$L$5*$AV$79)</f>
        <v>0</v>
      </c>
      <c r="D110" s="386" t="str">
        <f t="shared" si="40"/>
        <v/>
      </c>
      <c r="E110" s="305">
        <f t="shared" si="41"/>
        <v>0</v>
      </c>
      <c r="F110" s="305" t="str">
        <f t="shared" si="42"/>
        <v/>
      </c>
      <c r="G110" s="387">
        <f t="shared" si="12"/>
        <v>0</v>
      </c>
      <c r="H110" s="388">
        <f t="shared" si="2"/>
        <v>0</v>
      </c>
      <c r="I110" s="388">
        <f t="shared" si="3"/>
        <v>0</v>
      </c>
      <c r="J110" s="388">
        <f t="shared" si="4"/>
        <v>0</v>
      </c>
      <c r="K110" s="388">
        <f t="shared" si="5"/>
        <v>0</v>
      </c>
      <c r="L110" s="388">
        <f t="shared" si="6"/>
        <v>0</v>
      </c>
      <c r="M110" s="388">
        <f t="shared" si="7"/>
        <v>0</v>
      </c>
      <c r="N110" s="388">
        <f t="shared" si="8"/>
        <v>0</v>
      </c>
      <c r="O110" s="389">
        <f t="shared" si="9"/>
        <v>0</v>
      </c>
      <c r="S110" s="584">
        <f t="shared" si="13"/>
        <v>8.6999999999999994E-3</v>
      </c>
      <c r="T110" s="585">
        <f t="shared" si="14"/>
        <v>1.5659999999999999E-3</v>
      </c>
      <c r="U110" s="585">
        <f t="shared" si="15"/>
        <v>0</v>
      </c>
      <c r="V110" s="580">
        <f t="shared" si="16"/>
        <v>0</v>
      </c>
      <c r="W110" s="580">
        <f t="shared" si="17"/>
        <v>0</v>
      </c>
      <c r="X110" s="580">
        <f t="shared" si="18"/>
        <v>0</v>
      </c>
      <c r="Y110" s="580">
        <f t="shared" si="19"/>
        <v>0</v>
      </c>
      <c r="Z110" s="580">
        <f t="shared" si="20"/>
        <v>0</v>
      </c>
      <c r="AA110" s="583">
        <f t="shared" si="21"/>
        <v>0</v>
      </c>
      <c r="AC110" s="66">
        <v>30502032</v>
      </c>
      <c r="AD110" s="68" t="s">
        <v>2257</v>
      </c>
      <c r="AG110" s="631">
        <v>1E-4</v>
      </c>
      <c r="AH110" s="631">
        <v>1.8E-5</v>
      </c>
      <c r="AI110" s="580">
        <v>0</v>
      </c>
      <c r="AJ110" s="580">
        <v>0</v>
      </c>
      <c r="AK110" s="580">
        <v>0</v>
      </c>
      <c r="AL110" s="580">
        <v>0</v>
      </c>
      <c r="AM110" s="580">
        <v>0</v>
      </c>
      <c r="AN110" s="580">
        <v>0</v>
      </c>
      <c r="AO110" s="631">
        <v>0</v>
      </c>
      <c r="AP110" s="539" t="s">
        <v>2251</v>
      </c>
    </row>
    <row r="111" spans="1:46" ht="18" customHeight="1" x14ac:dyDescent="0.25">
      <c r="A111" s="302">
        <f>IF('Table 3-A| Emission Units'!$M62=0,0,'Table 3-A| Emission Units'!A62&amp;"-"&amp;'Table 3-A| Emission Units'!B62)</f>
        <v>0</v>
      </c>
      <c r="B111" s="303">
        <f ca="1">'Table 3-A| Emission Units'!$C62</f>
        <v>0</v>
      </c>
      <c r="C111" s="305">
        <f>IF('Table 3-A| Emission Units'!$M62=0,0,IF(B111=$AF$65,$L$11/$AS$91,IF(B111=$AF$66,$L$11/$AW$91,IF(B111=$AF$67,$L$11/$AT$91,IF(B111=$AF$68,$L$11/$AX$91,0)))))</f>
        <v>0</v>
      </c>
      <c r="D111" s="386" t="str">
        <f>IF(C111=0,"",IF(B111='Table 3-A| Emission Units'!$Z$3,"MMcf","Mgal"))</f>
        <v/>
      </c>
      <c r="E111" s="305">
        <f t="shared" ref="E111" si="43">IFERROR(IF(A111=0,0,C111*8760),"")</f>
        <v>0</v>
      </c>
      <c r="F111" s="305" t="str">
        <f t="shared" si="42"/>
        <v/>
      </c>
      <c r="G111" s="387">
        <f t="shared" si="12"/>
        <v>0</v>
      </c>
      <c r="H111" s="388">
        <f t="shared" si="2"/>
        <v>0</v>
      </c>
      <c r="I111" s="388">
        <f t="shared" si="3"/>
        <v>0</v>
      </c>
      <c r="J111" s="388">
        <f t="shared" si="4"/>
        <v>0</v>
      </c>
      <c r="K111" s="388">
        <f t="shared" si="5"/>
        <v>0</v>
      </c>
      <c r="L111" s="388">
        <f t="shared" si="6"/>
        <v>0</v>
      </c>
      <c r="M111" s="388">
        <f t="shared" si="7"/>
        <v>0</v>
      </c>
      <c r="N111" s="388">
        <f t="shared" si="8"/>
        <v>0</v>
      </c>
      <c r="O111" s="389">
        <f t="shared" si="9"/>
        <v>0</v>
      </c>
      <c r="S111" s="584">
        <f t="shared" ca="1" si="13"/>
        <v>0</v>
      </c>
      <c r="T111" s="585">
        <f t="shared" ca="1" si="14"/>
        <v>0</v>
      </c>
      <c r="U111" s="585">
        <f t="shared" ca="1" si="15"/>
        <v>0</v>
      </c>
      <c r="V111" s="580">
        <f t="shared" ca="1" si="16"/>
        <v>0</v>
      </c>
      <c r="W111" s="580">
        <f t="shared" ca="1" si="17"/>
        <v>0</v>
      </c>
      <c r="X111" s="580">
        <f t="shared" ca="1" si="18"/>
        <v>0</v>
      </c>
      <c r="Y111" s="580">
        <f t="shared" ca="1" si="19"/>
        <v>0</v>
      </c>
      <c r="Z111" s="580">
        <f t="shared" ca="1" si="20"/>
        <v>0</v>
      </c>
      <c r="AA111" s="583">
        <f t="shared" ca="1" si="21"/>
        <v>0</v>
      </c>
      <c r="AC111" s="66">
        <v>30502502</v>
      </c>
      <c r="AD111" s="68" t="s">
        <v>2258</v>
      </c>
      <c r="AG111" s="631">
        <v>5.3756973995271871</v>
      </c>
      <c r="AH111" s="631">
        <v>0.96762553191489364</v>
      </c>
      <c r="AI111" s="580">
        <v>0</v>
      </c>
      <c r="AJ111" s="580">
        <v>0</v>
      </c>
      <c r="AK111" s="580">
        <v>0</v>
      </c>
      <c r="AL111" s="580">
        <v>0</v>
      </c>
      <c r="AM111" s="580">
        <v>0</v>
      </c>
      <c r="AN111" s="580">
        <v>0</v>
      </c>
      <c r="AO111" s="631">
        <v>0</v>
      </c>
      <c r="AP111" s="539" t="s">
        <v>2251</v>
      </c>
    </row>
    <row r="112" spans="1:46" ht="18" customHeight="1" x14ac:dyDescent="0.25">
      <c r="A112" s="302">
        <f>IF('Table 3-A| Emission Units'!$M63=0,0,'Table 3-A| Emission Units'!A63&amp;"-"&amp;'Table 3-A| Emission Units'!B63)</f>
        <v>0</v>
      </c>
      <c r="B112" s="303">
        <f ca="1">'Table 3-A| Emission Units'!$C63</f>
        <v>0</v>
      </c>
      <c r="C112" s="1414">
        <f>IF($J$5=0,0,$L$5*$AS$79)</f>
        <v>0</v>
      </c>
      <c r="D112" s="1417" t="str">
        <f>IF(C112=0,"","tons")</f>
        <v/>
      </c>
      <c r="E112" s="1414">
        <f>IFERROR(IF(C112=0,0,C112*8760),0)</f>
        <v>0</v>
      </c>
      <c r="F112" s="1414" t="str">
        <f t="shared" si="42"/>
        <v/>
      </c>
      <c r="G112" s="1420">
        <f>IFERROR(IF($C112=0,0,LARGE(S112:S114,1)*$E112),0)</f>
        <v>0</v>
      </c>
      <c r="H112" s="1408">
        <f t="shared" ref="H112" si="44">IFERROR(IF($C112=0,0,LARGE(T112:T114,1)*$E112),0)</f>
        <v>0</v>
      </c>
      <c r="I112" s="1408">
        <f t="shared" ref="I112" si="45">IFERROR(IF($C112=0,0,LARGE(U112:U114,1)*$E112),0)</f>
        <v>0</v>
      </c>
      <c r="J112" s="1408">
        <f t="shared" ref="J112" si="46">IFERROR(IF($C112=0,0,LARGE(V112:V114,1)*$E112),0)</f>
        <v>0</v>
      </c>
      <c r="K112" s="1408">
        <f t="shared" ref="K112" si="47">IFERROR(IF($C112=0,0,LARGE(W112:W114,1)*$E112),0)</f>
        <v>0</v>
      </c>
      <c r="L112" s="1408">
        <f t="shared" ref="L112" si="48">IFERROR(IF($C112=0,0,LARGE(X112:X114,1)*$E112),0)</f>
        <v>0</v>
      </c>
      <c r="M112" s="1408">
        <f t="shared" ref="M112" si="49">IFERROR(IF($C112=0,0,LARGE(Y112:Y114,1)*$E112),0)</f>
        <v>0</v>
      </c>
      <c r="N112" s="1408">
        <f t="shared" ref="N112" si="50">IFERROR(IF($C112=0,0,LARGE(Z112:Z114,1)*$E112),0)</f>
        <v>0</v>
      </c>
      <c r="O112" s="1411">
        <f ca="1">IF(AND(SUM('Table 5-D| MPTE HAP'!AK46:AU46)=0,SUM('Table 5-D| MPTE HAP'!AK47:AU47)=0,SUM('Table 5-D| MPTE HAP'!AK48:AU48)=0),0,IF(AND(SUM('Table 5-D| MPTE HAP'!AK46:AU46)&gt;SUM('Table 5-D| MPTE HAP'!AK47:AU47),SUM('Table 5-D| MPTE HAP'!AK46:AU46)&gt;SUM('Table 5-D| MPTE HAP'!AK48:AU48)),SUM('Table 5-D| MPTE HAP'!AK46:AU46),IF(AND(SUM('Table 5-D| MPTE HAP'!AK47:AU47)&gt;SUM('Table 5-D| MPTE HAP'!AK46:AU46),SUM('Table 5-D| MPTE HAP'!AK47:AU47)&gt;SUM('Table 5-D| MPTE HAP'!AK48:AU48)),SUM('Table 5-D| MPTE HAP'!AK47:AU47),SUM('Table 5-D| MPTE HAP'!AK48:AU48))))</f>
        <v>0</v>
      </c>
      <c r="S112" s="584">
        <f t="shared" ca="1" si="13"/>
        <v>0</v>
      </c>
      <c r="T112" s="585">
        <f t="shared" ca="1" si="14"/>
        <v>0</v>
      </c>
      <c r="U112" s="585">
        <f t="shared" ca="1" si="15"/>
        <v>0</v>
      </c>
      <c r="V112" s="580">
        <f t="shared" ca="1" si="16"/>
        <v>0</v>
      </c>
      <c r="W112" s="580">
        <f t="shared" ca="1" si="17"/>
        <v>0</v>
      </c>
      <c r="X112" s="580">
        <f t="shared" ca="1" si="18"/>
        <v>0</v>
      </c>
      <c r="Y112" s="580">
        <f t="shared" ca="1" si="19"/>
        <v>0</v>
      </c>
      <c r="Z112" s="580">
        <f t="shared" ca="1" si="20"/>
        <v>0</v>
      </c>
      <c r="AA112" s="583">
        <f t="shared" ca="1" si="21"/>
        <v>0</v>
      </c>
      <c r="AC112" s="66">
        <v>2294000000</v>
      </c>
      <c r="AD112" s="68" t="s">
        <v>1913</v>
      </c>
      <c r="AG112" s="631"/>
      <c r="AH112" s="631"/>
      <c r="AI112" s="580"/>
      <c r="AJ112" s="580"/>
      <c r="AK112" s="580"/>
      <c r="AL112" s="580"/>
      <c r="AM112" s="580"/>
      <c r="AN112" s="580"/>
      <c r="AO112" s="631"/>
      <c r="AP112" s="539"/>
    </row>
    <row r="113" spans="1:42" ht="18" customHeight="1" x14ac:dyDescent="0.25">
      <c r="A113" s="302">
        <f>IF('Table 3-A| Emission Units'!$M64=0,0,'Table 3-A| Emission Units'!A64&amp;"-"&amp;'Table 3-A| Emission Units'!B64)</f>
        <v>0</v>
      </c>
      <c r="B113" s="303">
        <f ca="1">'Table 3-A| Emission Units'!$C64</f>
        <v>0</v>
      </c>
      <c r="C113" s="1415"/>
      <c r="D113" s="1418"/>
      <c r="E113" s="1415"/>
      <c r="F113" s="1415" t="str">
        <f t="shared" si="42"/>
        <v/>
      </c>
      <c r="G113" s="1421"/>
      <c r="H113" s="1409"/>
      <c r="I113" s="1409"/>
      <c r="J113" s="1409"/>
      <c r="K113" s="1409"/>
      <c r="L113" s="1409"/>
      <c r="M113" s="1409"/>
      <c r="N113" s="1409"/>
      <c r="O113" s="1412"/>
      <c r="S113" s="584">
        <f t="shared" ca="1" si="13"/>
        <v>0</v>
      </c>
      <c r="T113" s="585">
        <f t="shared" ca="1" si="14"/>
        <v>0</v>
      </c>
      <c r="U113" s="585">
        <f t="shared" ca="1" si="15"/>
        <v>0</v>
      </c>
      <c r="V113" s="580">
        <f t="shared" ca="1" si="16"/>
        <v>0</v>
      </c>
      <c r="W113" s="580">
        <f t="shared" ca="1" si="17"/>
        <v>0</v>
      </c>
      <c r="X113" s="580">
        <f t="shared" ca="1" si="18"/>
        <v>0</v>
      </c>
      <c r="Y113" s="580">
        <f t="shared" ca="1" si="19"/>
        <v>0</v>
      </c>
      <c r="Z113" s="580">
        <f t="shared" ca="1" si="20"/>
        <v>0</v>
      </c>
      <c r="AA113" s="583">
        <f t="shared" ca="1" si="21"/>
        <v>0</v>
      </c>
      <c r="AC113" s="66">
        <v>2296000000</v>
      </c>
      <c r="AD113" s="68" t="s">
        <v>1914</v>
      </c>
      <c r="AG113" s="631"/>
      <c r="AH113" s="631"/>
      <c r="AI113" s="580"/>
      <c r="AJ113" s="580"/>
      <c r="AK113" s="580"/>
      <c r="AL113" s="580"/>
      <c r="AM113" s="580"/>
      <c r="AN113" s="580"/>
      <c r="AO113" s="631"/>
      <c r="AP113" s="539"/>
    </row>
    <row r="114" spans="1:42" ht="18" customHeight="1" x14ac:dyDescent="0.25">
      <c r="A114" s="302">
        <f>IF('Table 3-A| Emission Units'!$M65=0,0,'Table 3-A| Emission Units'!A65&amp;"-"&amp;'Table 3-A| Emission Units'!B65)</f>
        <v>0</v>
      </c>
      <c r="B114" s="303">
        <f ca="1">'Table 3-A| Emission Units'!$C65</f>
        <v>0</v>
      </c>
      <c r="C114" s="1416"/>
      <c r="D114" s="1419"/>
      <c r="E114" s="1416"/>
      <c r="F114" s="1416" t="str">
        <f t="shared" si="42"/>
        <v/>
      </c>
      <c r="G114" s="1422"/>
      <c r="H114" s="1410"/>
      <c r="I114" s="1410"/>
      <c r="J114" s="1410"/>
      <c r="K114" s="1410"/>
      <c r="L114" s="1410"/>
      <c r="M114" s="1410"/>
      <c r="N114" s="1410"/>
      <c r="O114" s="1413"/>
      <c r="S114" s="584">
        <f t="shared" ca="1" si="13"/>
        <v>0</v>
      </c>
      <c r="T114" s="585">
        <f t="shared" ca="1" si="14"/>
        <v>0</v>
      </c>
      <c r="U114" s="585">
        <f t="shared" ca="1" si="15"/>
        <v>0</v>
      </c>
      <c r="V114" s="580">
        <f t="shared" ca="1" si="16"/>
        <v>0</v>
      </c>
      <c r="W114" s="580">
        <f t="shared" ca="1" si="17"/>
        <v>0</v>
      </c>
      <c r="X114" s="580">
        <f t="shared" ca="1" si="18"/>
        <v>0</v>
      </c>
      <c r="Y114" s="580">
        <f t="shared" ca="1" si="19"/>
        <v>0</v>
      </c>
      <c r="Z114" s="580">
        <f t="shared" ca="1" si="20"/>
        <v>0</v>
      </c>
      <c r="AA114" s="583">
        <f t="shared" ca="1" si="21"/>
        <v>0</v>
      </c>
      <c r="AC114" s="66"/>
      <c r="AD114" s="68"/>
      <c r="AG114" s="631"/>
      <c r="AH114" s="631"/>
      <c r="AI114" s="580"/>
      <c r="AJ114" s="580"/>
      <c r="AK114" s="580"/>
      <c r="AL114" s="580"/>
      <c r="AM114" s="580"/>
      <c r="AN114" s="580"/>
      <c r="AO114" s="631"/>
    </row>
    <row r="115" spans="1:42" ht="18" customHeight="1" x14ac:dyDescent="0.25">
      <c r="A115" s="302">
        <f>IF('Table 3-A| Emission Units'!$M66=0,0,'Table 3-A| Emission Units'!A66&amp;"-"&amp;'Table 3-A| Emission Units'!B66)</f>
        <v>0</v>
      </c>
      <c r="B115" s="303">
        <f>'Table 3-A| Emission Units'!$C66</f>
        <v>30500213</v>
      </c>
      <c r="C115" s="305">
        <f>IF('Table 3-A| Emission Units'!$M66=0,0,$L$5*$AS$79)</f>
        <v>0</v>
      </c>
      <c r="D115" s="386" t="str">
        <f t="shared" ref="D115:D117" si="51">IF(C115=0,"","tons")</f>
        <v/>
      </c>
      <c r="E115" s="305">
        <f>IFERROR(IF(A115=0,0,$E$112),"")</f>
        <v>0</v>
      </c>
      <c r="F115" s="305" t="str">
        <f t="shared" si="42"/>
        <v/>
      </c>
      <c r="G115" s="387">
        <f t="shared" si="12"/>
        <v>0</v>
      </c>
      <c r="H115" s="388">
        <f t="shared" si="2"/>
        <v>0</v>
      </c>
      <c r="I115" s="388">
        <f t="shared" si="3"/>
        <v>0</v>
      </c>
      <c r="J115" s="388">
        <f t="shared" si="4"/>
        <v>0</v>
      </c>
      <c r="K115" s="388">
        <f t="shared" si="5"/>
        <v>0</v>
      </c>
      <c r="L115" s="388">
        <f t="shared" si="6"/>
        <v>0</v>
      </c>
      <c r="M115" s="388">
        <f t="shared" si="7"/>
        <v>0</v>
      </c>
      <c r="N115" s="388">
        <f t="shared" si="8"/>
        <v>0</v>
      </c>
      <c r="O115" s="389">
        <f t="shared" si="9"/>
        <v>0</v>
      </c>
      <c r="S115" s="584">
        <f t="shared" si="13"/>
        <v>5.9000000000000003E-4</v>
      </c>
      <c r="T115" s="585">
        <f t="shared" si="14"/>
        <v>5.9000000000000003E-4</v>
      </c>
      <c r="U115" s="585">
        <f t="shared" si="15"/>
        <v>0</v>
      </c>
      <c r="V115" s="580">
        <f t="shared" si="16"/>
        <v>0</v>
      </c>
      <c r="W115" s="580">
        <f t="shared" si="17"/>
        <v>1.2E-2</v>
      </c>
      <c r="X115" s="580">
        <f t="shared" si="18"/>
        <v>1.1800000000000001E-3</v>
      </c>
      <c r="Y115" s="580">
        <f t="shared" si="19"/>
        <v>7.9999999999999993E-4</v>
      </c>
      <c r="Z115" s="580">
        <f t="shared" si="20"/>
        <v>0</v>
      </c>
      <c r="AA115" s="583">
        <f t="shared" si="21"/>
        <v>1.54E-4</v>
      </c>
      <c r="AC115" s="66"/>
      <c r="AD115" s="68"/>
      <c r="AG115" s="631"/>
      <c r="AH115" s="631"/>
      <c r="AI115" s="580"/>
      <c r="AJ115" s="580"/>
      <c r="AK115" s="580"/>
      <c r="AL115" s="580"/>
      <c r="AM115" s="580"/>
      <c r="AN115" s="580"/>
      <c r="AO115" s="631"/>
    </row>
    <row r="116" spans="1:42" ht="18" customHeight="1" x14ac:dyDescent="0.25">
      <c r="A116" s="302">
        <f>IF('Table 3-A| Emission Units'!$M67=0,0,'Table 3-A| Emission Units'!A67&amp;"-"&amp;'Table 3-A| Emission Units'!B67)</f>
        <v>0</v>
      </c>
      <c r="B116" s="303">
        <f>'Table 3-A| Emission Units'!$C67</f>
        <v>30500214</v>
      </c>
      <c r="C116" s="305">
        <f>IF('Table 3-A| Emission Units'!$M67=0,0,$L$5*$AS$79)</f>
        <v>0</v>
      </c>
      <c r="D116" s="386" t="str">
        <f t="shared" si="51"/>
        <v/>
      </c>
      <c r="E116" s="305">
        <f t="shared" ref="E116:E117" si="52">IFERROR(IF(A116=0,0,$E$112),"")</f>
        <v>0</v>
      </c>
      <c r="F116" s="305" t="str">
        <f t="shared" si="42"/>
        <v/>
      </c>
      <c r="G116" s="387">
        <f t="shared" si="12"/>
        <v>0</v>
      </c>
      <c r="H116" s="388">
        <f t="shared" si="2"/>
        <v>0</v>
      </c>
      <c r="I116" s="388">
        <f t="shared" si="3"/>
        <v>0</v>
      </c>
      <c r="J116" s="388">
        <f t="shared" si="4"/>
        <v>0</v>
      </c>
      <c r="K116" s="388">
        <f t="shared" si="5"/>
        <v>0</v>
      </c>
      <c r="L116" s="388">
        <f t="shared" si="6"/>
        <v>0</v>
      </c>
      <c r="M116" s="388">
        <f t="shared" si="7"/>
        <v>0</v>
      </c>
      <c r="N116" s="388">
        <f t="shared" si="8"/>
        <v>0</v>
      </c>
      <c r="O116" s="389">
        <f t="shared" si="9"/>
        <v>0</v>
      </c>
      <c r="S116" s="584">
        <f t="shared" si="13"/>
        <v>5.1999999999999995E-4</v>
      </c>
      <c r="T116" s="585">
        <f t="shared" si="14"/>
        <v>5.1999999999999995E-4</v>
      </c>
      <c r="U116" s="585">
        <f t="shared" si="15"/>
        <v>0</v>
      </c>
      <c r="V116" s="580">
        <f t="shared" si="16"/>
        <v>0</v>
      </c>
      <c r="W116" s="580">
        <f t="shared" si="17"/>
        <v>3.8999999999999998E-3</v>
      </c>
      <c r="X116" s="580">
        <f t="shared" si="18"/>
        <v>1.2999999999999999E-3</v>
      </c>
      <c r="Y116" s="580">
        <f t="shared" si="19"/>
        <v>6.7499999999999999E-3</v>
      </c>
      <c r="Z116" s="580">
        <f t="shared" si="20"/>
        <v>0</v>
      </c>
      <c r="AA116" s="583">
        <f t="shared" si="21"/>
        <v>6.8399999999999996E-5</v>
      </c>
    </row>
    <row r="117" spans="1:42" ht="18" customHeight="1" thickBot="1" x14ac:dyDescent="0.3">
      <c r="A117" s="302">
        <f>IF('Table 3-A| Emission Units'!$M68=0,0,'Table 3-A| Emission Units'!A68&amp;"-"&amp;'Table 3-A| Emission Units'!B68)</f>
        <v>0</v>
      </c>
      <c r="B117" s="303">
        <f>'Table 3-A| Emission Units'!$C68</f>
        <v>30500270</v>
      </c>
      <c r="C117" s="305">
        <f>IF('Table 3-A| Emission Units'!$M68=0,0,$L$5*$AS$79)</f>
        <v>0</v>
      </c>
      <c r="D117" s="386" t="str">
        <f t="shared" si="51"/>
        <v/>
      </c>
      <c r="E117" s="305">
        <f t="shared" si="52"/>
        <v>0</v>
      </c>
      <c r="F117" s="305" t="str">
        <f t="shared" si="42"/>
        <v/>
      </c>
      <c r="G117" s="387">
        <f t="shared" si="12"/>
        <v>0</v>
      </c>
      <c r="H117" s="388">
        <f t="shared" si="2"/>
        <v>0</v>
      </c>
      <c r="I117" s="388">
        <f t="shared" si="3"/>
        <v>0</v>
      </c>
      <c r="J117" s="388">
        <f t="shared" si="4"/>
        <v>0</v>
      </c>
      <c r="K117" s="388">
        <f t="shared" si="5"/>
        <v>0</v>
      </c>
      <c r="L117" s="388">
        <f t="shared" si="6"/>
        <v>0</v>
      </c>
      <c r="M117" s="388">
        <f t="shared" si="7"/>
        <v>0</v>
      </c>
      <c r="N117" s="388">
        <f t="shared" si="8"/>
        <v>0</v>
      </c>
      <c r="O117" s="389">
        <f t="shared" si="9"/>
        <v>0</v>
      </c>
      <c r="S117" s="584">
        <f t="shared" si="13"/>
        <v>0</v>
      </c>
      <c r="T117" s="585">
        <f t="shared" si="14"/>
        <v>0</v>
      </c>
      <c r="U117" s="585">
        <f t="shared" si="15"/>
        <v>0</v>
      </c>
      <c r="V117" s="580">
        <f t="shared" si="16"/>
        <v>0</v>
      </c>
      <c r="W117" s="580">
        <f t="shared" si="17"/>
        <v>1E-3</v>
      </c>
      <c r="X117" s="580">
        <f t="shared" si="18"/>
        <v>3.5E-4</v>
      </c>
      <c r="Y117" s="580">
        <f t="shared" si="19"/>
        <v>1.8E-3</v>
      </c>
      <c r="Z117" s="580">
        <f t="shared" si="20"/>
        <v>0</v>
      </c>
      <c r="AA117" s="583">
        <f t="shared" si="21"/>
        <v>1.5800000000000001E-5</v>
      </c>
    </row>
    <row r="118" spans="1:42" ht="18" customHeight="1" thickBot="1" x14ac:dyDescent="0.3">
      <c r="A118" s="1400" t="str">
        <f>'Table 3-A| Emission Units'!A107:E107</f>
        <v>Haul Road Emission Units</v>
      </c>
      <c r="B118" s="1401"/>
      <c r="C118" s="1401"/>
      <c r="D118" s="1401"/>
      <c r="E118" s="1401"/>
      <c r="F118" s="1401"/>
      <c r="G118" s="1401"/>
      <c r="H118" s="1401"/>
      <c r="I118" s="1401"/>
      <c r="J118" s="1401"/>
      <c r="K118" s="1401"/>
      <c r="L118" s="1401"/>
      <c r="M118" s="1401"/>
      <c r="N118" s="1401"/>
      <c r="O118" s="1402"/>
      <c r="S118" s="1391" t="s">
        <v>2331</v>
      </c>
      <c r="T118" s="1392"/>
      <c r="U118" s="1392"/>
      <c r="V118" s="1392"/>
      <c r="W118" s="1392"/>
      <c r="X118" s="1392"/>
      <c r="Y118" s="1392"/>
      <c r="Z118" s="1392"/>
      <c r="AA118" s="1393"/>
      <c r="AC118" s="66"/>
      <c r="AD118" s="68"/>
    </row>
    <row r="119" spans="1:42" ht="18" customHeight="1" x14ac:dyDescent="0.25">
      <c r="A119" s="302">
        <f>IF('Table 3-A| Emission Units'!$A108=0,0,'Table 3-A| Emission Units'!A108&amp;"-"&amp;'Table 3-A| Emission Units'!B108)</f>
        <v>0</v>
      </c>
      <c r="B119" s="303">
        <f>IF(A119="","",'Table 3-A| Emission Units'!$C108)</f>
        <v>2294000000</v>
      </c>
      <c r="C119" s="714">
        <f>IF($A119="","",E119/8670)</f>
        <v>0</v>
      </c>
      <c r="D119" s="386" t="s">
        <v>2201</v>
      </c>
      <c r="E119" s="305">
        <f>IF($A119="","",SUM($AE$121:$AJ$121,$AE$123:$AJ$123,$AE$125:$AJ$125,IFERROR('Table 5-B| Reclaim MPTE'!$AF$73:$AK$73,0)))</f>
        <v>0</v>
      </c>
      <c r="F119" s="305" t="s">
        <v>1880</v>
      </c>
      <c r="G119" s="387">
        <f>IF($A119="",0,T119+IFERROR('Table 5-B| Reclaim MPTE'!T84,0))</f>
        <v>0</v>
      </c>
      <c r="H119" s="388">
        <f>IF($A119="",0,V119+IFERROR('Table 5-B| Reclaim MPTE'!V84,0))</f>
        <v>0</v>
      </c>
      <c r="I119" s="388">
        <f t="shared" ref="I119:O122" si="53">IF($A119="","",0)</f>
        <v>0</v>
      </c>
      <c r="J119" s="388">
        <f t="shared" si="53"/>
        <v>0</v>
      </c>
      <c r="K119" s="388">
        <f t="shared" si="53"/>
        <v>0</v>
      </c>
      <c r="L119" s="388">
        <f t="shared" si="53"/>
        <v>0</v>
      </c>
      <c r="M119" s="388">
        <f t="shared" si="53"/>
        <v>0</v>
      </c>
      <c r="N119" s="388">
        <f t="shared" si="53"/>
        <v>0</v>
      </c>
      <c r="O119" s="389">
        <f t="shared" si="53"/>
        <v>0</v>
      </c>
      <c r="P119" s="1375" t="s">
        <v>2317</v>
      </c>
      <c r="Q119" s="1376"/>
      <c r="R119" s="725" t="s">
        <v>2326</v>
      </c>
      <c r="S119" s="584" t="s">
        <v>2245</v>
      </c>
      <c r="T119" s="665">
        <f>SUM($AE$130:$AJ$130,$AE$132:$AJ$132,$AE$134:$AJ$134)</f>
        <v>0</v>
      </c>
      <c r="U119" s="585" t="s">
        <v>2246</v>
      </c>
      <c r="V119" s="668">
        <f>SUM($AE$139:$AJ$139,$AE$141:$AJ$141,$AE$143:$AJ$143)</f>
        <v>0</v>
      </c>
      <c r="W119" s="666"/>
      <c r="X119" s="580"/>
      <c r="Y119" s="666"/>
      <c r="Z119" s="580"/>
      <c r="AA119" s="667"/>
      <c r="AC119" s="732"/>
      <c r="AD119" s="733"/>
      <c r="AE119" s="1381" t="s">
        <v>2217</v>
      </c>
      <c r="AF119" s="1382"/>
      <c r="AG119" s="1382"/>
      <c r="AH119" s="1382"/>
      <c r="AI119" s="1382"/>
      <c r="AJ119" s="1389"/>
      <c r="AK119" s="1381" t="s">
        <v>2218</v>
      </c>
      <c r="AL119" s="1382"/>
      <c r="AM119" s="1382"/>
      <c r="AN119" s="1382"/>
      <c r="AO119" s="1382"/>
      <c r="AP119" s="1383"/>
    </row>
    <row r="120" spans="1:42" ht="18" customHeight="1" x14ac:dyDescent="0.25">
      <c r="A120" s="302">
        <f>IF('Table 3-A| Emission Units'!$A109=0,0,'Table 3-A| Emission Units'!A109&amp;"-"&amp;'Table 3-A| Emission Units'!B109)</f>
        <v>0</v>
      </c>
      <c r="B120" s="303">
        <f>IF(A120="","",'Table 3-A| Emission Units'!$C109)</f>
        <v>2294000000</v>
      </c>
      <c r="C120" s="305">
        <f>IF($A120="","",E120/8670)</f>
        <v>0</v>
      </c>
      <c r="D120" s="386" t="s">
        <v>2201</v>
      </c>
      <c r="E120" s="305">
        <f>IF($A120="","",SUM($AK$125:$AP$125,IFERROR('Table 5-B| Reclaim MPTE'!$AL$73:$AQ$73,0),IFERROR('Table 5-B| Reclaim MPTE'!$AL$75:$AQ$75,0)))</f>
        <v>0</v>
      </c>
      <c r="F120" s="305" t="s">
        <v>1880</v>
      </c>
      <c r="G120" s="387">
        <f>IF($A120="",0,T120+IFERROR('Table 5-B| Reclaim MPTE'!T85,0))</f>
        <v>0</v>
      </c>
      <c r="H120" s="388">
        <f>IF($A120="",0,V120+IFERROR('Table 5-B| Reclaim MPTE'!V85,0))</f>
        <v>0</v>
      </c>
      <c r="I120" s="388">
        <f t="shared" si="53"/>
        <v>0</v>
      </c>
      <c r="J120" s="388">
        <f t="shared" si="53"/>
        <v>0</v>
      </c>
      <c r="K120" s="388">
        <f t="shared" si="53"/>
        <v>0</v>
      </c>
      <c r="L120" s="388">
        <f t="shared" si="53"/>
        <v>0</v>
      </c>
      <c r="M120" s="388">
        <f t="shared" si="53"/>
        <v>0</v>
      </c>
      <c r="N120" s="388">
        <f t="shared" si="53"/>
        <v>0</v>
      </c>
      <c r="O120" s="389">
        <f t="shared" si="53"/>
        <v>0</v>
      </c>
      <c r="P120" s="1375"/>
      <c r="Q120" s="1376"/>
      <c r="R120" s="726" t="s">
        <v>2327</v>
      </c>
      <c r="S120" s="584" t="s">
        <v>2245</v>
      </c>
      <c r="T120" s="665">
        <f>SUM($AK$134:$AP$134)</f>
        <v>0</v>
      </c>
      <c r="U120" s="585" t="s">
        <v>2246</v>
      </c>
      <c r="V120" s="668">
        <f>SUM($AK$143:$AP$143)</f>
        <v>0</v>
      </c>
      <c r="W120" s="666"/>
      <c r="X120" s="580"/>
      <c r="Y120" s="666"/>
      <c r="Z120" s="580"/>
      <c r="AA120" s="667"/>
      <c r="AC120" s="734"/>
      <c r="AE120" s="539" t="s">
        <v>2219</v>
      </c>
      <c r="AF120" s="539" t="s">
        <v>2220</v>
      </c>
      <c r="AG120" s="539" t="s">
        <v>2221</v>
      </c>
      <c r="AH120" s="539" t="s">
        <v>2222</v>
      </c>
      <c r="AI120" s="539" t="s">
        <v>2223</v>
      </c>
      <c r="AJ120" s="539" t="s">
        <v>2224</v>
      </c>
      <c r="AK120" s="539" t="s">
        <v>2219</v>
      </c>
      <c r="AL120" s="539" t="s">
        <v>2220</v>
      </c>
      <c r="AM120" s="539" t="s">
        <v>2221</v>
      </c>
      <c r="AN120" s="539" t="s">
        <v>2222</v>
      </c>
      <c r="AO120" s="539" t="s">
        <v>2223</v>
      </c>
      <c r="AP120" s="735" t="s">
        <v>2224</v>
      </c>
    </row>
    <row r="121" spans="1:42" ht="18" customHeight="1" x14ac:dyDescent="0.25">
      <c r="A121" s="302">
        <f>IF('Table 3-A| Emission Units'!$A110=0,0,'Table 3-A| Emission Units'!A110&amp;"-"&amp;'Table 3-A| Emission Units'!B110)</f>
        <v>0</v>
      </c>
      <c r="B121" s="303">
        <f>IF(A121="","",'Table 3-A| Emission Units'!$C110)</f>
        <v>2296000000</v>
      </c>
      <c r="C121" s="305">
        <f>IF($A121="","",E121/8670)</f>
        <v>0</v>
      </c>
      <c r="D121" s="386" t="s">
        <v>2201</v>
      </c>
      <c r="E121" s="305">
        <f>IF($A121="","",SUM($AE$122:$AJ$122,$AE$124:$AJ$124,$AE$126:$AJ$126,IFERROR('Table 5-B| Reclaim MPTE'!$AF$74:$AK$74,0)))</f>
        <v>0</v>
      </c>
      <c r="F121" s="305" t="s">
        <v>1880</v>
      </c>
      <c r="G121" s="387">
        <f>IF($A121="",0,T121+IFERROR('Table 5-B| Reclaim MPTE'!T86,0))</f>
        <v>0</v>
      </c>
      <c r="H121" s="388">
        <f>IF($A121="",0,V121+IFERROR('Table 5-B| Reclaim MPTE'!V86,0))</f>
        <v>0</v>
      </c>
      <c r="I121" s="388">
        <f t="shared" si="53"/>
        <v>0</v>
      </c>
      <c r="J121" s="388">
        <f t="shared" si="53"/>
        <v>0</v>
      </c>
      <c r="K121" s="388">
        <f t="shared" si="53"/>
        <v>0</v>
      </c>
      <c r="L121" s="388">
        <f t="shared" si="53"/>
        <v>0</v>
      </c>
      <c r="M121" s="388">
        <f t="shared" si="53"/>
        <v>0</v>
      </c>
      <c r="N121" s="388">
        <f t="shared" si="53"/>
        <v>0</v>
      </c>
      <c r="O121" s="389">
        <f t="shared" si="53"/>
        <v>0</v>
      </c>
      <c r="P121" s="1375" t="s">
        <v>2318</v>
      </c>
      <c r="Q121" s="1376"/>
      <c r="R121" s="725" t="s">
        <v>2326</v>
      </c>
      <c r="S121" s="582" t="s">
        <v>2245</v>
      </c>
      <c r="T121" s="666">
        <f>SUM($AE$131:$AJ$131,$AE$133:$AJ$133,$AE$135:$AJ$135)</f>
        <v>0</v>
      </c>
      <c r="U121" s="580" t="s">
        <v>2246</v>
      </c>
      <c r="V121" s="668">
        <f>SUM($AE$140:$AJ$140,$AE$142:$AJ$142,$AE$144:$AJ$144)</f>
        <v>0</v>
      </c>
      <c r="W121" s="666"/>
      <c r="X121" s="580"/>
      <c r="Y121" s="666"/>
      <c r="Z121" s="580"/>
      <c r="AA121" s="667"/>
      <c r="AC121" s="1384" t="s">
        <v>2462</v>
      </c>
      <c r="AD121" s="1385"/>
      <c r="AE121" s="593">
        <f>IFERROR(((J$21/5280)/2)*(($E$86)/$J$23),0)</f>
        <v>0</v>
      </c>
      <c r="AF121" s="593">
        <f>IFERROR(((K$21/5280)/2)*(($E$99)/$J$23),0)</f>
        <v>0</v>
      </c>
      <c r="AG121" s="593">
        <f>IFERROR(((L$21/5280)/2)*(($E$112)/$J$23),0)</f>
        <v>0</v>
      </c>
      <c r="AH121" s="712">
        <f t="shared" ref="AH121:AH126" si="54">AE121</f>
        <v>0</v>
      </c>
      <c r="AI121" s="712">
        <f t="shared" ref="AI121:AI126" si="55">AF121</f>
        <v>0</v>
      </c>
      <c r="AJ121" s="712">
        <f t="shared" ref="AJ121:AJ126" si="56">AG121</f>
        <v>0</v>
      </c>
      <c r="AK121" s="713"/>
      <c r="AL121" s="713"/>
      <c r="AM121" s="713"/>
      <c r="AN121" s="713"/>
      <c r="AO121" s="713"/>
      <c r="AP121" s="736"/>
    </row>
    <row r="122" spans="1:42" ht="18" customHeight="1" thickBot="1" x14ac:dyDescent="0.3">
      <c r="A122" s="302">
        <f>IF('Table 3-A| Emission Units'!$A111=0,0,'Table 3-A| Emission Units'!A111&amp;"-"&amp;'Table 3-A| Emission Units'!B111)</f>
        <v>0</v>
      </c>
      <c r="B122" s="303">
        <f>IF(A122="","",'Table 3-A| Emission Units'!$C111)</f>
        <v>2296000000</v>
      </c>
      <c r="C122" s="305">
        <f>IF($A122="","",E122/8670)</f>
        <v>0</v>
      </c>
      <c r="D122" s="386" t="s">
        <v>2201</v>
      </c>
      <c r="E122" s="305">
        <f>IF($A122="","",SUM($AK$126:$AP$126,IFERROR('Table 5-B| Reclaim MPTE'!$AL$74:$AQ$74,0),IFERROR('Table 5-B| Reclaim MPTE'!$AL$76:$AQ$76,0)))</f>
        <v>0</v>
      </c>
      <c r="F122" s="305" t="s">
        <v>1880</v>
      </c>
      <c r="G122" s="387">
        <f>IF($A122="",0,T122+IFERROR('Table 5-B| Reclaim MPTE'!T87,0))</f>
        <v>0</v>
      </c>
      <c r="H122" s="388">
        <f>IF($A122="",0,V122+'Table 5-B| Reclaim MPTE'!V87)</f>
        <v>0</v>
      </c>
      <c r="I122" s="388">
        <f t="shared" si="53"/>
        <v>0</v>
      </c>
      <c r="J122" s="388">
        <f t="shared" si="53"/>
        <v>0</v>
      </c>
      <c r="K122" s="388">
        <f t="shared" si="53"/>
        <v>0</v>
      </c>
      <c r="L122" s="388">
        <f t="shared" si="53"/>
        <v>0</v>
      </c>
      <c r="M122" s="388">
        <f t="shared" si="53"/>
        <v>0</v>
      </c>
      <c r="N122" s="388">
        <f t="shared" si="53"/>
        <v>0</v>
      </c>
      <c r="O122" s="389">
        <f t="shared" si="53"/>
        <v>0</v>
      </c>
      <c r="P122" s="1375"/>
      <c r="Q122" s="1376"/>
      <c r="R122" s="726" t="s">
        <v>2327</v>
      </c>
      <c r="S122" s="582" t="s">
        <v>2245</v>
      </c>
      <c r="T122" s="666">
        <f>SUM($AK$135:$AP$135)</f>
        <v>0</v>
      </c>
      <c r="U122" s="580" t="s">
        <v>2246</v>
      </c>
      <c r="V122" s="668">
        <f>SUM($AK$144:$AP$144)</f>
        <v>0</v>
      </c>
      <c r="W122" s="666"/>
      <c r="X122" s="580"/>
      <c r="Y122" s="666"/>
      <c r="Z122" s="580"/>
      <c r="AA122" s="667"/>
      <c r="AC122" s="1384" t="s">
        <v>2463</v>
      </c>
      <c r="AD122" s="1385"/>
      <c r="AE122" s="593">
        <f>IFERROR(((J$22/5280)/2)*(($E$86)/$J$23),0)</f>
        <v>0</v>
      </c>
      <c r="AF122" s="593">
        <f>IFERROR(((K$22/5280)/2)*(($E$99)/$J$23),0)</f>
        <v>0</v>
      </c>
      <c r="AG122" s="593">
        <f>IFERROR(((L$22/5280)/2)*(($E$112)/$J$23),0)</f>
        <v>0</v>
      </c>
      <c r="AH122" s="712">
        <f t="shared" si="54"/>
        <v>0</v>
      </c>
      <c r="AI122" s="712">
        <f t="shared" si="55"/>
        <v>0</v>
      </c>
      <c r="AJ122" s="712">
        <f t="shared" si="56"/>
        <v>0</v>
      </c>
      <c r="AK122" s="713"/>
      <c r="AL122" s="713"/>
      <c r="AM122" s="713"/>
      <c r="AN122" s="713"/>
      <c r="AO122" s="713"/>
      <c r="AP122" s="736"/>
    </row>
    <row r="123" spans="1:42" ht="18" customHeight="1" x14ac:dyDescent="0.25">
      <c r="A123" s="1400" t="str">
        <f>'Table 3-A| Emission Units'!A112:E112</f>
        <v>Material Storage Pile Emission Units</v>
      </c>
      <c r="B123" s="1401"/>
      <c r="C123" s="1401"/>
      <c r="D123" s="1401"/>
      <c r="E123" s="1401"/>
      <c r="F123" s="1401"/>
      <c r="G123" s="1401"/>
      <c r="H123" s="1401"/>
      <c r="I123" s="1401"/>
      <c r="J123" s="1401"/>
      <c r="K123" s="1401"/>
      <c r="L123" s="1401"/>
      <c r="M123" s="1401"/>
      <c r="N123" s="1401"/>
      <c r="O123" s="1402"/>
      <c r="S123" s="1391" t="s">
        <v>2215</v>
      </c>
      <c r="T123" s="1392"/>
      <c r="U123" s="1392"/>
      <c r="V123" s="1392"/>
      <c r="W123" s="1392"/>
      <c r="X123" s="1392"/>
      <c r="Y123" s="1392"/>
      <c r="Z123" s="1392"/>
      <c r="AA123" s="1393"/>
      <c r="AC123" s="1384" t="s">
        <v>2464</v>
      </c>
      <c r="AD123" s="1385"/>
      <c r="AE123" s="593">
        <f>IFERROR(((J$25/5280)/2)*(($E$86*$AT$79)/$J$27),0)</f>
        <v>0</v>
      </c>
      <c r="AF123" s="593">
        <f>IFERROR(((K$25/5280)/2)*(($E$99*$AT$79)/$J$27),0)</f>
        <v>0</v>
      </c>
      <c r="AG123" s="593">
        <f>IFERROR(((L$25/5280)/2)*(($E$112*$AT$79)/$J$27),0)</f>
        <v>0</v>
      </c>
      <c r="AH123" s="712">
        <f t="shared" si="54"/>
        <v>0</v>
      </c>
      <c r="AI123" s="712">
        <f t="shared" si="55"/>
        <v>0</v>
      </c>
      <c r="AJ123" s="712">
        <f t="shared" si="56"/>
        <v>0</v>
      </c>
      <c r="AK123" s="713"/>
      <c r="AL123" s="713"/>
      <c r="AM123" s="713"/>
      <c r="AN123" s="713"/>
      <c r="AO123" s="713"/>
      <c r="AP123" s="736"/>
    </row>
    <row r="124" spans="1:42" ht="18" customHeight="1" thickBot="1" x14ac:dyDescent="0.3">
      <c r="A124" s="302" t="str">
        <f>'Table 3-A| Emission Units'!A113&amp;"-"&amp;'Table 3-A| Emission Units'!B113</f>
        <v>1-1</v>
      </c>
      <c r="B124" s="303">
        <f>'Table 3-A| Emission Units'!C113</f>
        <v>30502502</v>
      </c>
      <c r="C124" s="305">
        <f>E124/8760</f>
        <v>0</v>
      </c>
      <c r="D124" s="386" t="s">
        <v>2203</v>
      </c>
      <c r="E124" s="305">
        <f>(J17/43560)*365</f>
        <v>0</v>
      </c>
      <c r="F124" s="305" t="str">
        <f>IF($A124="","","WebFIRE")</f>
        <v>WebFIRE</v>
      </c>
      <c r="G124" s="594">
        <f>IFERROR(IF($A124=0,0,$E124*S124),0)</f>
        <v>0</v>
      </c>
      <c r="H124" s="595">
        <f t="shared" ref="H124:O124" si="57">IFERROR(IF($A124=0,0,$E124*T124),0)</f>
        <v>0</v>
      </c>
      <c r="I124" s="388">
        <f t="shared" si="57"/>
        <v>0</v>
      </c>
      <c r="J124" s="388">
        <f t="shared" si="57"/>
        <v>0</v>
      </c>
      <c r="K124" s="388">
        <f t="shared" si="57"/>
        <v>0</v>
      </c>
      <c r="L124" s="388">
        <f t="shared" si="57"/>
        <v>0</v>
      </c>
      <c r="M124" s="388">
        <f t="shared" si="57"/>
        <v>0</v>
      </c>
      <c r="N124" s="388">
        <f t="shared" si="57"/>
        <v>0</v>
      </c>
      <c r="O124" s="389">
        <f t="shared" si="57"/>
        <v>0</v>
      </c>
      <c r="S124" s="651">
        <f>IFERROR(VLOOKUP($B124,$AC$78:$AO$114,5,FALSE),0)</f>
        <v>5.3756973995271871</v>
      </c>
      <c r="T124" s="652">
        <f>IFERROR(VLOOKUP($B124,$AC$78:$AO$114,6,FALSE),0)</f>
        <v>0.96762553191489364</v>
      </c>
      <c r="U124" s="580">
        <f>IFERROR(VLOOKUP($B124,$AC$78:$AO$114,7,FALSE),0)</f>
        <v>0</v>
      </c>
      <c r="V124" s="580">
        <f>IFERROR(VLOOKUP($B124,$AC$78:$AO$114,8,FALSE),0)</f>
        <v>0</v>
      </c>
      <c r="W124" s="580">
        <f>IFERROR(VLOOKUP($B124,$AC$78:$AO$114,9,FALSE),0)</f>
        <v>0</v>
      </c>
      <c r="X124" s="580">
        <f>IFERROR(VLOOKUP($B124,$AC$78:$AO$114,10,FALSE),0)</f>
        <v>0</v>
      </c>
      <c r="Y124" s="580">
        <f>IFERROR(VLOOKUP($B124,$AC$78:$AO$114,11,FALSE),0)</f>
        <v>0</v>
      </c>
      <c r="Z124" s="580">
        <f>IFERROR(VLOOKUP($B124,$AC$78:$AO$114,12,FALSE),0)</f>
        <v>0</v>
      </c>
      <c r="AA124" s="583">
        <f>IFERROR(VLOOKUP($B124,$AC$78:$AO$114,13,FALSE),0)</f>
        <v>0</v>
      </c>
      <c r="AC124" s="1384" t="s">
        <v>2465</v>
      </c>
      <c r="AD124" s="1385"/>
      <c r="AE124" s="593">
        <f>IFERROR(((J$26/5280)/2)*(($E$86*$AT$79)/$J$27),0)</f>
        <v>0</v>
      </c>
      <c r="AF124" s="593">
        <f>IFERROR(((K$26/5280)/2)*(($E$99*$AT$79)/$J$27),0)</f>
        <v>0</v>
      </c>
      <c r="AG124" s="593">
        <f>IFERROR(((L$26/5280)/2)*(($E$112*$AT$79)/$J$27),0)</f>
        <v>0</v>
      </c>
      <c r="AH124" s="712">
        <f t="shared" si="54"/>
        <v>0</v>
      </c>
      <c r="AI124" s="712">
        <f t="shared" si="55"/>
        <v>0</v>
      </c>
      <c r="AJ124" s="712">
        <f t="shared" si="56"/>
        <v>0</v>
      </c>
      <c r="AK124" s="713"/>
      <c r="AL124" s="713"/>
      <c r="AM124" s="713"/>
      <c r="AN124" s="713"/>
      <c r="AO124" s="713"/>
      <c r="AP124" s="736"/>
    </row>
    <row r="125" spans="1:42" ht="18" customHeight="1" x14ac:dyDescent="0.25">
      <c r="A125" s="1400" t="str">
        <f>'Table 3-A| Emission Units'!A114:E114</f>
        <v>Stationary Engines - Screening and/or Crushing Power Units</v>
      </c>
      <c r="B125" s="1401"/>
      <c r="C125" s="1401"/>
      <c r="D125" s="1401"/>
      <c r="E125" s="1401"/>
      <c r="F125" s="1401"/>
      <c r="G125" s="1401"/>
      <c r="H125" s="1401"/>
      <c r="I125" s="1401"/>
      <c r="J125" s="1401"/>
      <c r="K125" s="1401"/>
      <c r="L125" s="1401"/>
      <c r="M125" s="1401"/>
      <c r="N125" s="1401"/>
      <c r="O125" s="1402"/>
      <c r="S125" s="1391" t="s">
        <v>2216</v>
      </c>
      <c r="T125" s="1392"/>
      <c r="U125" s="1392"/>
      <c r="V125" s="1392"/>
      <c r="W125" s="1392"/>
      <c r="X125" s="1392"/>
      <c r="Y125" s="1392"/>
      <c r="Z125" s="1392"/>
      <c r="AA125" s="1393"/>
      <c r="AC125" s="1384" t="s">
        <v>2300</v>
      </c>
      <c r="AD125" s="1385"/>
      <c r="AE125" s="593">
        <f>IFERROR(((J$29/5280)/2)*(($E$86*SUM($AU$79:$AV$79))/$J$31),0)</f>
        <v>0</v>
      </c>
      <c r="AF125" s="593">
        <f>IFERROR(((K$29/5280)/2)*(($E$99*SUM($AU$79:$AV$79))/$J$31),0)</f>
        <v>0</v>
      </c>
      <c r="AG125" s="593">
        <f>IFERROR(((L$29/5280)/2)*(($E$112*SUM($AU$79:$AV$79))/$J$31),0)</f>
        <v>0</v>
      </c>
      <c r="AH125" s="712">
        <f t="shared" si="54"/>
        <v>0</v>
      </c>
      <c r="AI125" s="712">
        <f t="shared" si="55"/>
        <v>0</v>
      </c>
      <c r="AJ125" s="712">
        <f t="shared" si="56"/>
        <v>0</v>
      </c>
      <c r="AK125" s="593">
        <f>IFERROR(((J$33/5280)/2)*(($E$86*SUM($AU$79:$AV$79))/$M$35),0)</f>
        <v>0</v>
      </c>
      <c r="AL125" s="593">
        <f>IFERROR(((K$33/5280)/2)*(($E$99*SUM($AU$79:$AV$79))/$M$35),0)</f>
        <v>0</v>
      </c>
      <c r="AM125" s="593">
        <f>IFERROR(((L$33/5280)/2)*(($E$112*SUM($AU$79:$AV$79))/$M$35),0)</f>
        <v>0</v>
      </c>
      <c r="AN125" s="712">
        <f t="shared" ref="AN125:AP126" si="58">AK125</f>
        <v>0</v>
      </c>
      <c r="AO125" s="712">
        <f t="shared" si="58"/>
        <v>0</v>
      </c>
      <c r="AP125" s="737">
        <f t="shared" si="58"/>
        <v>0</v>
      </c>
    </row>
    <row r="126" spans="1:42" ht="18" customHeight="1" thickBot="1" x14ac:dyDescent="0.3">
      <c r="A126" s="302">
        <f>IF('Table 3-A| Emission Units'!$A115=0,0,'Table 3-A| Emission Units'!A115&amp;"-"&amp;'Table 3-A| Emission Units'!B115)</f>
        <v>0</v>
      </c>
      <c r="B126" s="303">
        <f ca="1">'Table 3-A| Emission Units'!$C115</f>
        <v>0</v>
      </c>
      <c r="C126" s="654" t="str">
        <f>IF(D126="1000 gals",$J$14/1000,IF(D126="MMcf",$J$14/1000000,""))</f>
        <v/>
      </c>
      <c r="D126" s="386" t="str">
        <f>IF(A126=0,"",IF(OR(B126=$AC$78,B126=$AC$81,B126=$AC$82),$W$65,IF(OR(B126=$AC$79,B126=$AC$80),$W$64,"")))</f>
        <v/>
      </c>
      <c r="E126" s="305">
        <f>IFERROR(IF(A126=0,0,C126*500),"")</f>
        <v>0</v>
      </c>
      <c r="F126" s="305" t="str">
        <f>IF($A126="","","WebFIRE")</f>
        <v>WebFIRE</v>
      </c>
      <c r="G126" s="387">
        <f t="shared" ref="G126:G129" si="59">IFERROR(IF($A126=0,0,$E126*S126),0)</f>
        <v>0</v>
      </c>
      <c r="H126" s="388">
        <f t="shared" ref="H126:H129" si="60">IFERROR(IF($A126=0,0,$E126*T126),0)</f>
        <v>0</v>
      </c>
      <c r="I126" s="388">
        <f t="shared" ref="I126:I129" si="61">IFERROR(IF($A126=0,0,$E126*U126),0)</f>
        <v>0</v>
      </c>
      <c r="J126" s="388">
        <f t="shared" ref="J126:J129" si="62">IFERROR(IF($A126=0,0,$E126*V126),0)</f>
        <v>0</v>
      </c>
      <c r="K126" s="388">
        <f t="shared" ref="K126:K129" si="63">IFERROR(IF($A126=0,0,$E126*W126),0)</f>
        <v>0</v>
      </c>
      <c r="L126" s="388">
        <f t="shared" ref="L126:L129" si="64">IFERROR(IF($A126=0,0,$E126*X126),0)</f>
        <v>0</v>
      </c>
      <c r="M126" s="388">
        <f t="shared" ref="M126:M129" si="65">IFERROR(IF($A126=0,0,$E126*Y126),0)</f>
        <v>0</v>
      </c>
      <c r="N126" s="388">
        <f t="shared" ref="N126:N129" si="66">IFERROR(IF($A126=0,0,$E126*Z126),0)</f>
        <v>0</v>
      </c>
      <c r="O126" s="389">
        <f t="shared" ref="O126:O129" si="67">IFERROR(IF($A126=0,0,$E126*AA126),0)</f>
        <v>0</v>
      </c>
      <c r="S126" s="582">
        <f t="shared" ref="S126:S129" ca="1" si="68">IFERROR(VLOOKUP($B126,$AC$78:$AO$114,5,FALSE),0)</f>
        <v>0</v>
      </c>
      <c r="T126" s="580">
        <f t="shared" ref="T126:T129" ca="1" si="69">IFERROR(VLOOKUP($B126,$AC$78:$AO$114,6,FALSE),0)</f>
        <v>0</v>
      </c>
      <c r="U126" s="580">
        <f t="shared" ref="U126:U129" ca="1" si="70">IFERROR(VLOOKUP($B126,$AC$78:$AO$114,7,FALSE),0)</f>
        <v>0</v>
      </c>
      <c r="V126" s="580">
        <f t="shared" ref="V126:V129" ca="1" si="71">IFERROR(VLOOKUP($B126,$AC$78:$AO$114,8,FALSE),0)</f>
        <v>0</v>
      </c>
      <c r="W126" s="580">
        <f t="shared" ref="W126:W129" ca="1" si="72">IFERROR(VLOOKUP($B126,$AC$78:$AO$114,9,FALSE),0)</f>
        <v>0</v>
      </c>
      <c r="X126" s="580">
        <f t="shared" ref="X126:X129" ca="1" si="73">IFERROR(VLOOKUP($B126,$AC$78:$AO$114,10,FALSE),0)</f>
        <v>0</v>
      </c>
      <c r="Y126" s="580">
        <f t="shared" ref="Y126:Y129" ca="1" si="74">IFERROR(VLOOKUP($B126,$AC$78:$AO$114,11,FALSE),0)</f>
        <v>0</v>
      </c>
      <c r="Z126" s="580">
        <f t="shared" ref="Z126:Z129" ca="1" si="75">IFERROR(VLOOKUP($B126,$AC$78:$AO$114,12,FALSE),0)</f>
        <v>0</v>
      </c>
      <c r="AA126" s="583">
        <f t="shared" ref="AA126:AA129" ca="1" si="76">IFERROR(VLOOKUP($B126,$AC$78:$AO$114,13,FALSE),0)</f>
        <v>0</v>
      </c>
      <c r="AC126" s="1386" t="s">
        <v>2301</v>
      </c>
      <c r="AD126" s="1387"/>
      <c r="AE126" s="738">
        <f>IFERROR(((J$30/5280)/2)*(($E$86*SUM($AU$79:$AV$79))/$J$31),0)</f>
        <v>0</v>
      </c>
      <c r="AF126" s="738">
        <f>IFERROR(((K$30/5280)/2)*(($E$99*SUM($AU$79:$AV$79))/$J$31),0)</f>
        <v>0</v>
      </c>
      <c r="AG126" s="738">
        <f>IFERROR(((L$30/5280)/2)*(($E$112*SUM($AU$79:$AV$79))/$J$31),0)</f>
        <v>0</v>
      </c>
      <c r="AH126" s="739">
        <f t="shared" si="54"/>
        <v>0</v>
      </c>
      <c r="AI126" s="739">
        <f t="shared" si="55"/>
        <v>0</v>
      </c>
      <c r="AJ126" s="739">
        <f t="shared" si="56"/>
        <v>0</v>
      </c>
      <c r="AK126" s="738">
        <f>IFERROR(((J$34/5280)/2)*(($E$86*SUM($AU$79:$AV$79))/$M$35),0)</f>
        <v>0</v>
      </c>
      <c r="AL126" s="738">
        <f>IFERROR(((K$34/5280)/2)*(($E$99*SUM($AU$79:$AV$79))/$M$35),0)</f>
        <v>0</v>
      </c>
      <c r="AM126" s="738">
        <f>IFERROR(((L$34/5280)/2)*(($E$112*SUM($AU$79:$AV$79))/$M$35),0)</f>
        <v>0</v>
      </c>
      <c r="AN126" s="739">
        <f t="shared" si="58"/>
        <v>0</v>
      </c>
      <c r="AO126" s="739">
        <f t="shared" si="58"/>
        <v>0</v>
      </c>
      <c r="AP126" s="740">
        <f t="shared" si="58"/>
        <v>0</v>
      </c>
    </row>
    <row r="127" spans="1:42" ht="18" customHeight="1" thickBot="1" x14ac:dyDescent="0.3">
      <c r="A127" s="302">
        <f>IF('Table 3-A| Emission Units'!$A116=0,0,'Table 3-A| Emission Units'!A116&amp;"-"&amp;'Table 3-A| Emission Units'!B116)</f>
        <v>0</v>
      </c>
      <c r="B127" s="303">
        <f ca="1">'Table 3-A| Emission Units'!$C116</f>
        <v>0</v>
      </c>
      <c r="C127" s="654" t="str">
        <f>IF(D127="1000 gals",$K$14/1000,IF(D127="MMcf",$K$14/1000000,""))</f>
        <v/>
      </c>
      <c r="D127" s="386" t="str">
        <f>IF(A127=0,"",IF(OR(B127=$AC$78,B127=$AC$81,B127=$AC$82),$W$65,IF(OR(B127=$AC$79,B127=$AC$80),$W$64,"")))</f>
        <v/>
      </c>
      <c r="E127" s="305">
        <f>IFERROR(IF(A127=0,0,C127*8760),"")</f>
        <v>0</v>
      </c>
      <c r="F127" s="305" t="str">
        <f>IF($A127="","","WebFIRE")</f>
        <v>WebFIRE</v>
      </c>
      <c r="G127" s="387">
        <f t="shared" si="59"/>
        <v>0</v>
      </c>
      <c r="H127" s="388">
        <f t="shared" si="60"/>
        <v>0</v>
      </c>
      <c r="I127" s="388">
        <f t="shared" si="61"/>
        <v>0</v>
      </c>
      <c r="J127" s="388">
        <f t="shared" si="62"/>
        <v>0</v>
      </c>
      <c r="K127" s="388">
        <f t="shared" si="63"/>
        <v>0</v>
      </c>
      <c r="L127" s="388">
        <f t="shared" si="64"/>
        <v>0</v>
      </c>
      <c r="M127" s="388">
        <f t="shared" si="65"/>
        <v>0</v>
      </c>
      <c r="N127" s="388">
        <f t="shared" si="66"/>
        <v>0</v>
      </c>
      <c r="O127" s="389">
        <f t="shared" si="67"/>
        <v>0</v>
      </c>
      <c r="S127" s="582">
        <f t="shared" ca="1" si="68"/>
        <v>0</v>
      </c>
      <c r="T127" s="580">
        <f t="shared" ca="1" si="69"/>
        <v>0</v>
      </c>
      <c r="U127" s="580">
        <f t="shared" ca="1" si="70"/>
        <v>0</v>
      </c>
      <c r="V127" s="580">
        <f t="shared" ca="1" si="71"/>
        <v>0</v>
      </c>
      <c r="W127" s="580">
        <f t="shared" ca="1" si="72"/>
        <v>0</v>
      </c>
      <c r="X127" s="580">
        <f t="shared" ca="1" si="73"/>
        <v>0</v>
      </c>
      <c r="Y127" s="580">
        <f t="shared" ca="1" si="74"/>
        <v>0</v>
      </c>
      <c r="Z127" s="580">
        <f t="shared" ca="1" si="75"/>
        <v>0</v>
      </c>
      <c r="AA127" s="583">
        <f t="shared" ca="1" si="76"/>
        <v>0</v>
      </c>
      <c r="AB127" s="539"/>
    </row>
    <row r="128" spans="1:42" ht="18" customHeight="1" x14ac:dyDescent="0.25">
      <c r="A128" s="302">
        <f>IF('Table 3-A| Emission Units'!$A117=0,0,'Table 3-A| Emission Units'!A117&amp;"-"&amp;'Table 3-A| Emission Units'!B117)</f>
        <v>0</v>
      </c>
      <c r="B128" s="303">
        <f ca="1">'Table 3-A| Emission Units'!$C117</f>
        <v>0</v>
      </c>
      <c r="C128" s="654" t="str">
        <f>IF(D128="1000 gals",$L$14/1000,IF(D128="MMcf",$L$14/1000000,""))</f>
        <v/>
      </c>
      <c r="D128" s="386" t="str">
        <f>IF(A128=0,"",IF(OR(B128=$AC$78,B128=$AC$81,B128=$AC$82),$W$65,IF(OR(B128=$AC$79,B128=$AC$80),$W$64,"")))</f>
        <v/>
      </c>
      <c r="E128" s="305">
        <f>IFERROR(IF(A128=0,0,C128*8760),"")</f>
        <v>0</v>
      </c>
      <c r="F128" s="305" t="str">
        <f>IF($A128="","","WebFIRE")</f>
        <v>WebFIRE</v>
      </c>
      <c r="G128" s="387">
        <f t="shared" si="59"/>
        <v>0</v>
      </c>
      <c r="H128" s="388">
        <f t="shared" si="60"/>
        <v>0</v>
      </c>
      <c r="I128" s="388">
        <f t="shared" si="61"/>
        <v>0</v>
      </c>
      <c r="J128" s="388">
        <f t="shared" si="62"/>
        <v>0</v>
      </c>
      <c r="K128" s="388">
        <f t="shared" si="63"/>
        <v>0</v>
      </c>
      <c r="L128" s="388">
        <f t="shared" si="64"/>
        <v>0</v>
      </c>
      <c r="M128" s="388">
        <f t="shared" si="65"/>
        <v>0</v>
      </c>
      <c r="N128" s="388">
        <f t="shared" si="66"/>
        <v>0</v>
      </c>
      <c r="O128" s="389">
        <f t="shared" si="67"/>
        <v>0</v>
      </c>
      <c r="S128" s="582">
        <f t="shared" ca="1" si="68"/>
        <v>0</v>
      </c>
      <c r="T128" s="580">
        <f t="shared" ca="1" si="69"/>
        <v>0</v>
      </c>
      <c r="U128" s="580">
        <f t="shared" ca="1" si="70"/>
        <v>0</v>
      </c>
      <c r="V128" s="580">
        <f t="shared" ca="1" si="71"/>
        <v>0</v>
      </c>
      <c r="W128" s="580">
        <f t="shared" ca="1" si="72"/>
        <v>0</v>
      </c>
      <c r="X128" s="580">
        <f t="shared" ca="1" si="73"/>
        <v>0</v>
      </c>
      <c r="Y128" s="580">
        <f t="shared" ca="1" si="74"/>
        <v>0</v>
      </c>
      <c r="Z128" s="580">
        <f t="shared" ca="1" si="75"/>
        <v>0</v>
      </c>
      <c r="AA128" s="583">
        <f t="shared" ca="1" si="76"/>
        <v>0</v>
      </c>
      <c r="AB128" s="539"/>
      <c r="AC128" s="732"/>
      <c r="AD128" s="733"/>
      <c r="AE128" s="1381" t="s">
        <v>2313</v>
      </c>
      <c r="AF128" s="1382"/>
      <c r="AG128" s="1382"/>
      <c r="AH128" s="1382"/>
      <c r="AI128" s="1382"/>
      <c r="AJ128" s="1389"/>
      <c r="AK128" s="1381" t="s">
        <v>2314</v>
      </c>
      <c r="AL128" s="1382"/>
      <c r="AM128" s="1382"/>
      <c r="AN128" s="1382"/>
      <c r="AO128" s="1382"/>
      <c r="AP128" s="1383"/>
    </row>
    <row r="129" spans="1:42" ht="18" customHeight="1" thickBot="1" x14ac:dyDescent="0.3">
      <c r="A129" s="302">
        <f>IF('Table 3-A| Emission Units'!$A118=0,0,'Table 3-A| Emission Units'!A118&amp;"-"&amp;'Table 3-A| Emission Units'!B118)</f>
        <v>0</v>
      </c>
      <c r="B129" s="303">
        <f ca="1">'Table 3-A| Emission Units'!$C118</f>
        <v>0</v>
      </c>
      <c r="C129" s="654" t="str">
        <f>IF(D129="1000 gals",$M$14/1000,IF(D129="MMcf",$M$14/1000000,""))</f>
        <v/>
      </c>
      <c r="D129" s="386" t="str">
        <f>IF(A129=0,"",IF(OR(B129=$AC$78,B129=$AC$81,B129=$AC$82),$W$65,IF(OR(B129=$AC$79,B129=$AC$80),$W$64,"")))</f>
        <v/>
      </c>
      <c r="E129" s="305">
        <f>IFERROR(IF(A129=0,0,C129*8760),"")</f>
        <v>0</v>
      </c>
      <c r="F129" s="305" t="str">
        <f>IF($A129="","","WebFIRE")</f>
        <v>WebFIRE</v>
      </c>
      <c r="G129" s="387">
        <f t="shared" si="59"/>
        <v>0</v>
      </c>
      <c r="H129" s="388">
        <f t="shared" si="60"/>
        <v>0</v>
      </c>
      <c r="I129" s="388">
        <f t="shared" si="61"/>
        <v>0</v>
      </c>
      <c r="J129" s="388">
        <f t="shared" si="62"/>
        <v>0</v>
      </c>
      <c r="K129" s="388">
        <f t="shared" si="63"/>
        <v>0</v>
      </c>
      <c r="L129" s="388">
        <f t="shared" si="64"/>
        <v>0</v>
      </c>
      <c r="M129" s="388">
        <f t="shared" si="65"/>
        <v>0</v>
      </c>
      <c r="N129" s="388">
        <f t="shared" si="66"/>
        <v>0</v>
      </c>
      <c r="O129" s="389">
        <f t="shared" si="67"/>
        <v>0</v>
      </c>
      <c r="S129" s="586">
        <f t="shared" ca="1" si="68"/>
        <v>0</v>
      </c>
      <c r="T129" s="587">
        <f t="shared" ca="1" si="69"/>
        <v>0</v>
      </c>
      <c r="U129" s="587">
        <f t="shared" ca="1" si="70"/>
        <v>0</v>
      </c>
      <c r="V129" s="587">
        <f t="shared" ca="1" si="71"/>
        <v>0</v>
      </c>
      <c r="W129" s="587">
        <f t="shared" ca="1" si="72"/>
        <v>0</v>
      </c>
      <c r="X129" s="587">
        <f t="shared" ca="1" si="73"/>
        <v>0</v>
      </c>
      <c r="Y129" s="587">
        <f t="shared" ca="1" si="74"/>
        <v>0</v>
      </c>
      <c r="Z129" s="587">
        <f t="shared" ca="1" si="75"/>
        <v>0</v>
      </c>
      <c r="AA129" s="588">
        <f t="shared" ca="1" si="76"/>
        <v>0</v>
      </c>
      <c r="AC129" s="734"/>
      <c r="AE129" s="539" t="s">
        <v>2219</v>
      </c>
      <c r="AF129" s="539" t="s">
        <v>2220</v>
      </c>
      <c r="AG129" s="539" t="s">
        <v>2221</v>
      </c>
      <c r="AH129" s="539" t="s">
        <v>2222</v>
      </c>
      <c r="AI129" s="539" t="s">
        <v>2223</v>
      </c>
      <c r="AJ129" s="539" t="s">
        <v>2224</v>
      </c>
      <c r="AK129" s="539" t="s">
        <v>2219</v>
      </c>
      <c r="AL129" s="539" t="s">
        <v>2220</v>
      </c>
      <c r="AM129" s="539" t="s">
        <v>2221</v>
      </c>
      <c r="AN129" s="539" t="s">
        <v>2222</v>
      </c>
      <c r="AO129" s="539" t="s">
        <v>2223</v>
      </c>
      <c r="AP129" s="735" t="s">
        <v>2224</v>
      </c>
    </row>
    <row r="130" spans="1:42" ht="18" customHeight="1" thickBot="1" x14ac:dyDescent="0.3">
      <c r="A130" s="1400" t="str">
        <f>'Table 3-A| Emission Units'!A119:E119</f>
        <v>Miscellaneous Emission Units</v>
      </c>
      <c r="B130" s="1401"/>
      <c r="C130" s="1401"/>
      <c r="D130" s="1401"/>
      <c r="E130" s="1401"/>
      <c r="F130" s="1401"/>
      <c r="G130" s="1401"/>
      <c r="H130" s="1401"/>
      <c r="I130" s="1401"/>
      <c r="J130" s="1401"/>
      <c r="K130" s="1401"/>
      <c r="L130" s="1401"/>
      <c r="M130" s="1401"/>
      <c r="N130" s="1401"/>
      <c r="O130" s="1402"/>
      <c r="S130" s="578" t="s">
        <v>26</v>
      </c>
      <c r="T130" s="109" t="s">
        <v>30</v>
      </c>
      <c r="U130" s="109" t="s">
        <v>3</v>
      </c>
      <c r="V130" s="109" t="s">
        <v>4</v>
      </c>
      <c r="W130" s="109" t="s">
        <v>0</v>
      </c>
      <c r="X130" s="109" t="s">
        <v>5</v>
      </c>
      <c r="Y130" s="109" t="s">
        <v>260</v>
      </c>
      <c r="Z130" s="109" t="s">
        <v>24</v>
      </c>
      <c r="AA130" s="110" t="s">
        <v>2204</v>
      </c>
      <c r="AC130" s="1384" t="s">
        <v>2462</v>
      </c>
      <c r="AD130" s="1385"/>
      <c r="AE130" s="593">
        <f>AE$121*($AG$150*($AG$152^0.91)*(SUM($J$23,$J$24)^1.02))</f>
        <v>0</v>
      </c>
      <c r="AF130" s="593">
        <f>AF$121*($AG$150*($AG$152^0.91)*(SUM($J$23,$J$24)^1.02))</f>
        <v>0</v>
      </c>
      <c r="AG130" s="593">
        <f>AG$121*($AG$150*($AG$152^0.91)*(SUM($J$23,$J$24)^1.02))</f>
        <v>0</v>
      </c>
      <c r="AH130" s="593">
        <f>AH$121*($AG$150*($AG$152^0.91)*($J$24^1.02))</f>
        <v>0</v>
      </c>
      <c r="AI130" s="593">
        <f>AI$121*($AG$150*($AG$152^0.91)*($J$24^1.02))</f>
        <v>0</v>
      </c>
      <c r="AJ130" s="593">
        <f>AJ$121*($AG$150*($AG$152^0.91)*($J$24^1.02))</f>
        <v>0</v>
      </c>
      <c r="AK130" s="713"/>
      <c r="AL130" s="713"/>
      <c r="AM130" s="713"/>
      <c r="AN130" s="713"/>
      <c r="AO130" s="713"/>
      <c r="AP130" s="736"/>
    </row>
    <row r="131" spans="1:42" ht="18" customHeight="1" x14ac:dyDescent="0.25">
      <c r="A131" s="302">
        <f>IF(ISBLANK('Table 3-A| Emission Units'!A120),0,'Table 3-A| Emission Units'!A120&amp;"-"&amp;'Table 3-A| Emission Units'!B120)</f>
        <v>0</v>
      </c>
      <c r="B131" s="303">
        <f>IF(OR(ISBLANK('Table 3-A| Emission Units'!C120),ISTEXT('Table 3-A| Emission Units'!C120)),0,'Table 3-A| Emission Units'!C120)</f>
        <v>0</v>
      </c>
      <c r="C131" s="304"/>
      <c r="D131" s="242"/>
      <c r="E131" s="305">
        <f>IF(OR(ISBLANK(C131),ISTEXT(C131)),0,C131*8760)</f>
        <v>0</v>
      </c>
      <c r="F131" s="304"/>
      <c r="G131" s="306"/>
      <c r="H131" s="307"/>
      <c r="I131" s="307"/>
      <c r="J131" s="307"/>
      <c r="K131" s="307"/>
      <c r="L131" s="307"/>
      <c r="M131" s="307"/>
      <c r="N131" s="307"/>
      <c r="O131" s="308"/>
      <c r="P131" s="1363" t="s">
        <v>2205</v>
      </c>
      <c r="Q131" s="1364"/>
      <c r="R131" s="1365"/>
      <c r="S131" s="642"/>
      <c r="T131" s="643"/>
      <c r="U131" s="643"/>
      <c r="V131" s="643"/>
      <c r="W131" s="643"/>
      <c r="X131" s="643"/>
      <c r="Y131" s="643"/>
      <c r="Z131" s="643"/>
      <c r="AA131" s="644"/>
      <c r="AC131" s="1384" t="s">
        <v>2463</v>
      </c>
      <c r="AD131" s="1385"/>
      <c r="AE131" s="593">
        <f>AE$122*($AG$161*(($AG$163/12)^$AG$164)*((SUM($J$23,$J$24)/3)^$AG$166))</f>
        <v>0</v>
      </c>
      <c r="AF131" s="593">
        <f>AF$122*($AG$161*(($AG$163/12)^$AG$164)*((SUM($J$23,$J$24)/3)^$AG$166))</f>
        <v>0</v>
      </c>
      <c r="AG131" s="593">
        <f>AG$122*($AG$161*(($AG$163/12)^$AG$164)*((SUM($J$23,$J$24)/3)^$AG$166))</f>
        <v>0</v>
      </c>
      <c r="AH131" s="593">
        <f>AH$122*($AG$161*(($AG$163/12)^$AG$164)*(($J$24/3)^$AG$166))</f>
        <v>0</v>
      </c>
      <c r="AI131" s="593">
        <f>AI$122*($AG$161*(($AG$163/12)^$AG$164)*(($J$24/3)^$AG$166))</f>
        <v>0</v>
      </c>
      <c r="AJ131" s="593">
        <f>AJ$122*($AG$161*(($AG$163/12)^$AG$164)*(($J$24/3)^$AG$166))</f>
        <v>0</v>
      </c>
      <c r="AK131" s="713"/>
      <c r="AL131" s="713"/>
      <c r="AM131" s="713"/>
      <c r="AN131" s="713"/>
      <c r="AO131" s="713"/>
      <c r="AP131" s="736"/>
    </row>
    <row r="132" spans="1:42" ht="18" customHeight="1" x14ac:dyDescent="0.25">
      <c r="A132" s="302">
        <f>IF(ISBLANK('Table 3-A| Emission Units'!A121),0,'Table 3-A| Emission Units'!A121&amp;"-"&amp;'Table 3-A| Emission Units'!B121)</f>
        <v>0</v>
      </c>
      <c r="B132" s="303">
        <f>IF(OR(ISBLANK('Table 3-A| Emission Units'!C121),ISTEXT('Table 3-A| Emission Units'!C121)),0,'Table 3-A| Emission Units'!C121)</f>
        <v>0</v>
      </c>
      <c r="C132" s="304"/>
      <c r="D132" s="242"/>
      <c r="E132" s="305">
        <f t="shared" ref="E132:E153" si="77">IF(OR(ISBLANK(C132),ISTEXT(C132)),0,C132*8760)</f>
        <v>0</v>
      </c>
      <c r="F132" s="304"/>
      <c r="G132" s="306"/>
      <c r="H132" s="307"/>
      <c r="I132" s="307"/>
      <c r="J132" s="307"/>
      <c r="K132" s="307"/>
      <c r="L132" s="307"/>
      <c r="M132" s="307"/>
      <c r="N132" s="307"/>
      <c r="O132" s="308"/>
      <c r="P132" s="1366"/>
      <c r="Q132" s="1367"/>
      <c r="R132" s="1368"/>
      <c r="S132" s="645"/>
      <c r="T132" s="646"/>
      <c r="U132" s="646"/>
      <c r="V132" s="646"/>
      <c r="W132" s="646"/>
      <c r="X132" s="646"/>
      <c r="Y132" s="646"/>
      <c r="Z132" s="646"/>
      <c r="AA132" s="647"/>
      <c r="AC132" s="1384" t="s">
        <v>2464</v>
      </c>
      <c r="AD132" s="1385"/>
      <c r="AE132" s="593">
        <f>AE$123*($AG$150*($AG$152^0.91)*(SUM($J$27,$J$28)^1.02))</f>
        <v>0</v>
      </c>
      <c r="AF132" s="593">
        <f>AF$123*($AG$150*($AG$152^0.91)*(SUM($J$27,$J$28)^1.02))</f>
        <v>0</v>
      </c>
      <c r="AG132" s="593">
        <f>AG$123*($AG$150*($AG$152^0.91)*(SUM($J$27,$J$28)^1.02))</f>
        <v>0</v>
      </c>
      <c r="AH132" s="593">
        <f>AH$123*($AG$150*($AG$152^0.91)*($J$28^1.02))</f>
        <v>0</v>
      </c>
      <c r="AI132" s="593">
        <f>AI$123*($AG$150*($AG$152^0.91)*($J$28^1.02))</f>
        <v>0</v>
      </c>
      <c r="AJ132" s="593">
        <f>AJ$123*($AG$150*($AG$152^0.91)*($J$28^1.02))</f>
        <v>0</v>
      </c>
      <c r="AK132" s="713"/>
      <c r="AL132" s="713"/>
      <c r="AM132" s="713"/>
      <c r="AN132" s="713"/>
      <c r="AO132" s="713"/>
      <c r="AP132" s="736"/>
    </row>
    <row r="133" spans="1:42" ht="18" customHeight="1" x14ac:dyDescent="0.25">
      <c r="A133" s="302">
        <f>IF(ISBLANK('Table 3-A| Emission Units'!A122),0,'Table 3-A| Emission Units'!A122&amp;"-"&amp;'Table 3-A| Emission Units'!B122)</f>
        <v>0</v>
      </c>
      <c r="B133" s="303">
        <f>IF(OR(ISBLANK('Table 3-A| Emission Units'!C122),ISTEXT('Table 3-A| Emission Units'!C122)),0,'Table 3-A| Emission Units'!C122)</f>
        <v>0</v>
      </c>
      <c r="C133" s="304"/>
      <c r="D133" s="242"/>
      <c r="E133" s="305">
        <f t="shared" si="77"/>
        <v>0</v>
      </c>
      <c r="F133" s="304"/>
      <c r="G133" s="306"/>
      <c r="H133" s="307"/>
      <c r="I133" s="307"/>
      <c r="J133" s="307"/>
      <c r="K133" s="307"/>
      <c r="L133" s="307"/>
      <c r="M133" s="307"/>
      <c r="N133" s="307"/>
      <c r="O133" s="308"/>
      <c r="P133" s="1366"/>
      <c r="Q133" s="1367"/>
      <c r="R133" s="1368"/>
      <c r="S133" s="645"/>
      <c r="T133" s="646"/>
      <c r="U133" s="646"/>
      <c r="V133" s="646"/>
      <c r="W133" s="646"/>
      <c r="X133" s="646"/>
      <c r="Y133" s="646"/>
      <c r="Z133" s="646"/>
      <c r="AA133" s="647"/>
      <c r="AC133" s="1384" t="s">
        <v>2465</v>
      </c>
      <c r="AD133" s="1385"/>
      <c r="AE133" s="593">
        <f>AE$124*($AG$161*(($AG$163/12)^$AG$164)*((SUM($J$27,$J$28)/3)^$AG$166))</f>
        <v>0</v>
      </c>
      <c r="AF133" s="593">
        <f>AF$124*($AG$161*(($AG$163/12)^$AG$164)*((SUM($J$27,$J$28)/3)^$AG$166))</f>
        <v>0</v>
      </c>
      <c r="AG133" s="593">
        <f>AG$124*($AG$161*(($AG$163/12)^$AG$164)*((SUM($J$27,$J$28)/3)^$AG$166))</f>
        <v>0</v>
      </c>
      <c r="AH133" s="593">
        <f>AH$124*($AG$161*(($AG$163/12)^$AG$164)*(($J$28/3)^$AG$166))</f>
        <v>0</v>
      </c>
      <c r="AI133" s="593">
        <f>AI$124*($AG$161*(($AG$163/12)^$AG$164)*(($J$28/3)^$AG$166))</f>
        <v>0</v>
      </c>
      <c r="AJ133" s="593">
        <f>AJ$124*($AG$161*(($AG$163/12)^$AG$164)*(($J$28/3)^$AG$166))</f>
        <v>0</v>
      </c>
      <c r="AK133" s="713"/>
      <c r="AL133" s="713"/>
      <c r="AM133" s="713"/>
      <c r="AN133" s="713"/>
      <c r="AO133" s="713"/>
      <c r="AP133" s="736"/>
    </row>
    <row r="134" spans="1:42" ht="18" customHeight="1" x14ac:dyDescent="0.25">
      <c r="A134" s="302">
        <f>IF(ISBLANK('Table 3-A| Emission Units'!A123),0,'Table 3-A| Emission Units'!A123&amp;"-"&amp;'Table 3-A| Emission Units'!B123)</f>
        <v>0</v>
      </c>
      <c r="B134" s="303">
        <f>IF(OR(ISBLANK('Table 3-A| Emission Units'!C123),ISTEXT('Table 3-A| Emission Units'!C123)),0,'Table 3-A| Emission Units'!C123)</f>
        <v>0</v>
      </c>
      <c r="C134" s="304"/>
      <c r="D134" s="242"/>
      <c r="E134" s="305">
        <f t="shared" si="77"/>
        <v>0</v>
      </c>
      <c r="F134" s="304"/>
      <c r="G134" s="306"/>
      <c r="H134" s="307"/>
      <c r="I134" s="307"/>
      <c r="J134" s="307"/>
      <c r="K134" s="307"/>
      <c r="L134" s="307"/>
      <c r="M134" s="307"/>
      <c r="N134" s="307"/>
      <c r="O134" s="308"/>
      <c r="P134" s="1366"/>
      <c r="Q134" s="1367"/>
      <c r="R134" s="1368"/>
      <c r="S134" s="645"/>
      <c r="T134" s="646"/>
      <c r="U134" s="646"/>
      <c r="V134" s="646"/>
      <c r="W134" s="646"/>
      <c r="X134" s="646"/>
      <c r="Y134" s="646"/>
      <c r="Z134" s="646"/>
      <c r="AA134" s="647"/>
      <c r="AC134" s="1384" t="s">
        <v>2300</v>
      </c>
      <c r="AD134" s="1385"/>
      <c r="AE134" s="593">
        <f>AE$125*($AG$150*($AG$152^0.91)*(SUM($J$31,$J$32)^1.02))</f>
        <v>0</v>
      </c>
      <c r="AF134" s="593">
        <f>AF$125*($AG$150*($AG$152^0.91)*(SUM($J$31,$J$32)^1.02))</f>
        <v>0</v>
      </c>
      <c r="AG134" s="593">
        <f>AG$125*($AG$150*($AG$152^0.91)*(SUM($J$31,$J$32)^1.02))</f>
        <v>0</v>
      </c>
      <c r="AH134" s="593">
        <f>AH$125*($AG$150*($AG$152^0.91)*($J$32^1.02))</f>
        <v>0</v>
      </c>
      <c r="AI134" s="593">
        <f>AI$125*($AG$150*($AG$152^0.91)*($J$32^1.02))</f>
        <v>0</v>
      </c>
      <c r="AJ134" s="593">
        <f>AJ$125*($AG$150*($AG$152^0.91)*($J$32^1.02))</f>
        <v>0</v>
      </c>
      <c r="AK134" s="593">
        <f>AK$125*($AG$150*($AG$152^0.91)*(SUM($M$35,$J$36)^1.02))</f>
        <v>0</v>
      </c>
      <c r="AL134" s="593">
        <f>AL$125*($AG$150*($AG$152^0.91)*(SUM($M$35,$J$36)^1.02))</f>
        <v>0</v>
      </c>
      <c r="AM134" s="593">
        <f>AM$125*($AG$150*($AG$152^0.91)*(SUM($M$35,$J$36)^1.02))</f>
        <v>0</v>
      </c>
      <c r="AN134" s="593">
        <f>AN$125*($AG$150*($AG$152^0.91)*($J$36^1.02))</f>
        <v>0</v>
      </c>
      <c r="AO134" s="593">
        <f>AO$125*($AG$150*($AG$152^0.91)*($J$36^1.02))</f>
        <v>0</v>
      </c>
      <c r="AP134" s="741">
        <f>AP$125*($AG$150*($AG$152^0.91)*($J$36^1.02))</f>
        <v>0</v>
      </c>
    </row>
    <row r="135" spans="1:42" ht="18" customHeight="1" thickBot="1" x14ac:dyDescent="0.3">
      <c r="A135" s="302">
        <f>IF(ISBLANK('Table 3-A| Emission Units'!A124),0,'Table 3-A| Emission Units'!A124&amp;"-"&amp;'Table 3-A| Emission Units'!B124)</f>
        <v>0</v>
      </c>
      <c r="B135" s="303">
        <f>IF(OR(ISBLANK('Table 3-A| Emission Units'!C124),ISTEXT('Table 3-A| Emission Units'!C124)),0,'Table 3-A| Emission Units'!C124)</f>
        <v>0</v>
      </c>
      <c r="C135" s="304"/>
      <c r="D135" s="242"/>
      <c r="E135" s="305">
        <f t="shared" si="77"/>
        <v>0</v>
      </c>
      <c r="F135" s="304"/>
      <c r="G135" s="306"/>
      <c r="H135" s="307"/>
      <c r="I135" s="307"/>
      <c r="J135" s="307"/>
      <c r="K135" s="307"/>
      <c r="L135" s="307"/>
      <c r="M135" s="307"/>
      <c r="N135" s="307"/>
      <c r="O135" s="308"/>
      <c r="P135" s="1366"/>
      <c r="Q135" s="1367"/>
      <c r="R135" s="1368"/>
      <c r="S135" s="645"/>
      <c r="T135" s="646"/>
      <c r="U135" s="646"/>
      <c r="V135" s="646"/>
      <c r="W135" s="646"/>
      <c r="X135" s="646"/>
      <c r="Y135" s="646"/>
      <c r="Z135" s="646"/>
      <c r="AA135" s="647"/>
      <c r="AC135" s="1386" t="s">
        <v>2301</v>
      </c>
      <c r="AD135" s="1387"/>
      <c r="AE135" s="738">
        <f>AE$126*($AG$161*(($AG$163/12)^$AG$164)*((SUM($J$31,$J$32)/3)^$AG$166))</f>
        <v>0</v>
      </c>
      <c r="AF135" s="738">
        <f>AF$126*($AG$161*(($AG$163/12)^$AG$164)*((SUM($J$31,$J$32)/3)^$AG$166))</f>
        <v>0</v>
      </c>
      <c r="AG135" s="738">
        <f>AG$126*($AG$161*(($AG$163/12)^$AG$164)*((SUM($J$31,$J$32)/3)^$AG$166))</f>
        <v>0</v>
      </c>
      <c r="AH135" s="738">
        <f>AH$126*($AG$161*(($AG$163/12)^$AG$164)*(($J$32/3)^$AG$166))</f>
        <v>0</v>
      </c>
      <c r="AI135" s="738">
        <f>AI$126*($AG$161*(($AG$163/12)^$AG$164)*(($J$32/3)^$AG$166))</f>
        <v>0</v>
      </c>
      <c r="AJ135" s="738">
        <f>AJ$126*($AG$161*(($AG$163/12)^$AG$164)*(($J$32/3)^$AG$166))</f>
        <v>0</v>
      </c>
      <c r="AK135" s="738">
        <f>AK$126*($AG$161*(($AG$163/12)^$AG$164)*((SUM($M$35,$J$36)/3)^$AG$166))</f>
        <v>0</v>
      </c>
      <c r="AL135" s="738">
        <f>AL$126*($AG$161*(($AG$163/12)^$AG$164)*((SUM($M$35,$J$36)/3)^$AG$166))</f>
        <v>0</v>
      </c>
      <c r="AM135" s="738">
        <f>AM$126*($AG$161*(($AG$163/12)^$AG$164)*((SUM($M$35,$J$36)/3)^$AG$166))</f>
        <v>0</v>
      </c>
      <c r="AN135" s="738">
        <f>AN$126*($AG$161*(($AG$163/12)^$AG$164)*(($J$36/3)^$AG$166))</f>
        <v>0</v>
      </c>
      <c r="AO135" s="738">
        <f>AO$126*($AG$161*(($AG$163/12)^$AG$164)*(($J$36/3)^$AG$166))</f>
        <v>0</v>
      </c>
      <c r="AP135" s="742">
        <f>AP$126*($AG$161*(($AG$163/12)^$AG$164)*(($J$36/3)^$AG$166))</f>
        <v>0</v>
      </c>
    </row>
    <row r="136" spans="1:42" ht="18" customHeight="1" thickBot="1" x14ac:dyDescent="0.3">
      <c r="A136" s="302">
        <f>IF(ISBLANK('Table 3-A| Emission Units'!A125),0,'Table 3-A| Emission Units'!A125&amp;"-"&amp;'Table 3-A| Emission Units'!B125)</f>
        <v>0</v>
      </c>
      <c r="B136" s="303">
        <f>IF(OR(ISBLANK('Table 3-A| Emission Units'!C125),ISTEXT('Table 3-A| Emission Units'!C125)),0,'Table 3-A| Emission Units'!C125)</f>
        <v>0</v>
      </c>
      <c r="C136" s="304"/>
      <c r="D136" s="242"/>
      <c r="E136" s="305">
        <f t="shared" si="77"/>
        <v>0</v>
      </c>
      <c r="F136" s="304"/>
      <c r="G136" s="306"/>
      <c r="H136" s="307"/>
      <c r="I136" s="307"/>
      <c r="J136" s="307"/>
      <c r="K136" s="307"/>
      <c r="L136" s="307"/>
      <c r="M136" s="307"/>
      <c r="N136" s="307"/>
      <c r="O136" s="308"/>
      <c r="P136" s="1369"/>
      <c r="Q136" s="1370"/>
      <c r="R136" s="1371"/>
      <c r="S136" s="645"/>
      <c r="T136" s="646"/>
      <c r="U136" s="646"/>
      <c r="V136" s="646"/>
      <c r="W136" s="646"/>
      <c r="X136" s="646"/>
      <c r="Y136" s="646"/>
      <c r="Z136" s="646"/>
      <c r="AA136" s="647"/>
    </row>
    <row r="137" spans="1:42" ht="18" customHeight="1" x14ac:dyDescent="0.25">
      <c r="A137" s="302">
        <f>IF(ISBLANK('Table 3-A| Emission Units'!A126),0,'Table 3-A| Emission Units'!A126&amp;"-"&amp;'Table 3-A| Emission Units'!B126)</f>
        <v>0</v>
      </c>
      <c r="B137" s="303">
        <f>IF(OR(ISBLANK('Table 3-A| Emission Units'!C126),ISTEXT('Table 3-A| Emission Units'!C126)),0,'Table 3-A| Emission Units'!C126)</f>
        <v>0</v>
      </c>
      <c r="C137" s="304"/>
      <c r="D137" s="242"/>
      <c r="E137" s="305">
        <f t="shared" si="77"/>
        <v>0</v>
      </c>
      <c r="F137" s="304"/>
      <c r="G137" s="306"/>
      <c r="H137" s="307"/>
      <c r="I137" s="307"/>
      <c r="J137" s="307"/>
      <c r="K137" s="307"/>
      <c r="L137" s="307"/>
      <c r="M137" s="307"/>
      <c r="N137" s="307"/>
      <c r="O137" s="308"/>
      <c r="S137" s="645"/>
      <c r="T137" s="646"/>
      <c r="U137" s="646"/>
      <c r="V137" s="646"/>
      <c r="W137" s="646"/>
      <c r="X137" s="646"/>
      <c r="Y137" s="646"/>
      <c r="Z137" s="646"/>
      <c r="AA137" s="647"/>
      <c r="AC137" s="732"/>
      <c r="AD137" s="733"/>
      <c r="AE137" s="1381" t="s">
        <v>2315</v>
      </c>
      <c r="AF137" s="1382"/>
      <c r="AG137" s="1382"/>
      <c r="AH137" s="1382"/>
      <c r="AI137" s="1382"/>
      <c r="AJ137" s="1389"/>
      <c r="AK137" s="1381" t="s">
        <v>2316</v>
      </c>
      <c r="AL137" s="1382"/>
      <c r="AM137" s="1382"/>
      <c r="AN137" s="1382"/>
      <c r="AO137" s="1382"/>
      <c r="AP137" s="1383"/>
    </row>
    <row r="138" spans="1:42" ht="18" customHeight="1" x14ac:dyDescent="0.25">
      <c r="A138" s="302">
        <f>IF(ISBLANK('Table 3-A| Emission Units'!A127),0,'Table 3-A| Emission Units'!A127&amp;"-"&amp;'Table 3-A| Emission Units'!B127)</f>
        <v>0</v>
      </c>
      <c r="B138" s="303">
        <f>IF(OR(ISBLANK('Table 3-A| Emission Units'!C127),ISTEXT('Table 3-A| Emission Units'!C127)),0,'Table 3-A| Emission Units'!C127)</f>
        <v>0</v>
      </c>
      <c r="C138" s="304"/>
      <c r="D138" s="242"/>
      <c r="E138" s="305">
        <f t="shared" si="77"/>
        <v>0</v>
      </c>
      <c r="F138" s="304"/>
      <c r="G138" s="306"/>
      <c r="H138" s="307"/>
      <c r="I138" s="307"/>
      <c r="J138" s="307"/>
      <c r="K138" s="307"/>
      <c r="L138" s="307"/>
      <c r="M138" s="307"/>
      <c r="N138" s="307"/>
      <c r="O138" s="308"/>
      <c r="S138" s="645"/>
      <c r="T138" s="646"/>
      <c r="U138" s="646"/>
      <c r="V138" s="646"/>
      <c r="W138" s="646"/>
      <c r="X138" s="646"/>
      <c r="Y138" s="646"/>
      <c r="Z138" s="646"/>
      <c r="AA138" s="647"/>
      <c r="AC138" s="734"/>
      <c r="AE138" s="539" t="s">
        <v>2219</v>
      </c>
      <c r="AF138" s="539" t="s">
        <v>2220</v>
      </c>
      <c r="AG138" s="539" t="s">
        <v>2221</v>
      </c>
      <c r="AH138" s="539" t="s">
        <v>2222</v>
      </c>
      <c r="AI138" s="539" t="s">
        <v>2223</v>
      </c>
      <c r="AJ138" s="539" t="s">
        <v>2224</v>
      </c>
      <c r="AK138" s="539" t="s">
        <v>2219</v>
      </c>
      <c r="AL138" s="539" t="s">
        <v>2220</v>
      </c>
      <c r="AM138" s="539" t="s">
        <v>2221</v>
      </c>
      <c r="AN138" s="539" t="s">
        <v>2222</v>
      </c>
      <c r="AO138" s="539" t="s">
        <v>2223</v>
      </c>
      <c r="AP138" s="735" t="s">
        <v>2224</v>
      </c>
    </row>
    <row r="139" spans="1:42" ht="18" customHeight="1" x14ac:dyDescent="0.25">
      <c r="A139" s="302">
        <f>IF(ISBLANK('Table 3-A| Emission Units'!A128),0,'Table 3-A| Emission Units'!A128&amp;"-"&amp;'Table 3-A| Emission Units'!B128)</f>
        <v>0</v>
      </c>
      <c r="B139" s="303">
        <f>IF(OR(ISBLANK('Table 3-A| Emission Units'!C128),ISTEXT('Table 3-A| Emission Units'!C128)),0,'Table 3-A| Emission Units'!C128)</f>
        <v>0</v>
      </c>
      <c r="C139" s="304"/>
      <c r="D139" s="242"/>
      <c r="E139" s="305">
        <f t="shared" si="77"/>
        <v>0</v>
      </c>
      <c r="F139" s="304"/>
      <c r="G139" s="306"/>
      <c r="H139" s="307"/>
      <c r="I139" s="307"/>
      <c r="J139" s="307"/>
      <c r="K139" s="307"/>
      <c r="L139" s="307"/>
      <c r="M139" s="307"/>
      <c r="N139" s="307"/>
      <c r="O139" s="308"/>
      <c r="S139" s="645"/>
      <c r="T139" s="646"/>
      <c r="U139" s="646"/>
      <c r="V139" s="646"/>
      <c r="W139" s="646"/>
      <c r="X139" s="646"/>
      <c r="Y139" s="646"/>
      <c r="Z139" s="646"/>
      <c r="AA139" s="647"/>
      <c r="AC139" s="1384" t="s">
        <v>2462</v>
      </c>
      <c r="AD139" s="1385"/>
      <c r="AE139" s="593">
        <f>AE$121*($AG$151*($AG$152^0.91)*(SUM($J$23,$J$24)^1.02))</f>
        <v>0</v>
      </c>
      <c r="AF139" s="593">
        <f>AF$121*($AG$151*($AG$152^0.91)*(SUM($J$23,$J$24)^1.02))</f>
        <v>0</v>
      </c>
      <c r="AG139" s="593">
        <f>AG$121*($AG$151*($AG$152^0.91)*(SUM($J$23,$J$24)^1.02))</f>
        <v>0</v>
      </c>
      <c r="AH139" s="593">
        <f>AH$121*($AG$151*($AG$152^0.91)*($J$24^1.02))</f>
        <v>0</v>
      </c>
      <c r="AI139" s="593">
        <f>AI$121*($AG$151*($AG$152^0.91)*($J$24^1.02))</f>
        <v>0</v>
      </c>
      <c r="AJ139" s="593">
        <f>AJ$121*($AG$151*($AG$152^0.91)*($J$24^1.02))</f>
        <v>0</v>
      </c>
      <c r="AK139" s="713"/>
      <c r="AL139" s="713"/>
      <c r="AM139" s="713"/>
      <c r="AN139" s="713"/>
      <c r="AO139" s="713"/>
      <c r="AP139" s="736"/>
    </row>
    <row r="140" spans="1:42" ht="18" customHeight="1" x14ac:dyDescent="0.25">
      <c r="A140" s="302">
        <f>IF(ISBLANK('Table 3-A| Emission Units'!A129),0,'Table 3-A| Emission Units'!A129&amp;"-"&amp;'Table 3-A| Emission Units'!B129)</f>
        <v>0</v>
      </c>
      <c r="B140" s="303">
        <f>IF(OR(ISBLANK('Table 3-A| Emission Units'!C129),ISTEXT('Table 3-A| Emission Units'!C129)),0,'Table 3-A| Emission Units'!C129)</f>
        <v>0</v>
      </c>
      <c r="C140" s="304"/>
      <c r="D140" s="242"/>
      <c r="E140" s="305">
        <f t="shared" si="77"/>
        <v>0</v>
      </c>
      <c r="F140" s="304"/>
      <c r="G140" s="306"/>
      <c r="H140" s="307"/>
      <c r="I140" s="307"/>
      <c r="J140" s="307"/>
      <c r="K140" s="307"/>
      <c r="L140" s="307"/>
      <c r="M140" s="307"/>
      <c r="N140" s="307"/>
      <c r="O140" s="308"/>
      <c r="S140" s="645"/>
      <c r="T140" s="646"/>
      <c r="U140" s="646"/>
      <c r="V140" s="646"/>
      <c r="W140" s="646"/>
      <c r="X140" s="646"/>
      <c r="Y140" s="646"/>
      <c r="Z140" s="646"/>
      <c r="AA140" s="647"/>
      <c r="AC140" s="1384" t="s">
        <v>2463</v>
      </c>
      <c r="AD140" s="1385"/>
      <c r="AE140" s="593">
        <f>AE$122*($AG$162*(($AG$163/12)^$AG$164)*((SUM($J$23,$J$24)/3)^$AG$166))</f>
        <v>0</v>
      </c>
      <c r="AF140" s="593">
        <f>AF$122*($AG$162*(($AG$163/12)^$AG$164)*((SUM($J$23,$J$24)/3)^$AG$166))</f>
        <v>0</v>
      </c>
      <c r="AG140" s="593">
        <f>AG$122*($AG$162*(($AG$163/12)^$AG$164)*((SUM($J$23,$J$24)/3)^$AG$166))</f>
        <v>0</v>
      </c>
      <c r="AH140" s="593">
        <f>AH$122*($AG$162*(($AG$163/12)^$AG$164)*(($J$24/3)^$AG$166))</f>
        <v>0</v>
      </c>
      <c r="AI140" s="593">
        <f>AI$122*($AG$162*(($AG$163/12)^$AG$164)*(($J$24/3)^$AG$166))</f>
        <v>0</v>
      </c>
      <c r="AJ140" s="593">
        <f>AJ$122*($AG$162*(($AG$163/12)^$AG$164)*(($J$24/3)^$AG$166))</f>
        <v>0</v>
      </c>
      <c r="AK140" s="713"/>
      <c r="AL140" s="713"/>
      <c r="AM140" s="713"/>
      <c r="AN140" s="713"/>
      <c r="AO140" s="713"/>
      <c r="AP140" s="736"/>
    </row>
    <row r="141" spans="1:42" ht="18" customHeight="1" x14ac:dyDescent="0.25">
      <c r="A141" s="302">
        <f>IF(ISBLANK('Table 3-A| Emission Units'!A130),0,'Table 3-A| Emission Units'!A130&amp;"-"&amp;'Table 3-A| Emission Units'!B130)</f>
        <v>0</v>
      </c>
      <c r="B141" s="303">
        <f>IF(OR(ISBLANK('Table 3-A| Emission Units'!C130),ISTEXT('Table 3-A| Emission Units'!C130)),0,'Table 3-A| Emission Units'!C130)</f>
        <v>0</v>
      </c>
      <c r="C141" s="304"/>
      <c r="D141" s="242"/>
      <c r="E141" s="305">
        <f t="shared" si="77"/>
        <v>0</v>
      </c>
      <c r="F141" s="304"/>
      <c r="G141" s="306"/>
      <c r="H141" s="307"/>
      <c r="I141" s="307"/>
      <c r="J141" s="307"/>
      <c r="K141" s="307"/>
      <c r="L141" s="307"/>
      <c r="M141" s="307"/>
      <c r="N141" s="307"/>
      <c r="O141" s="308"/>
      <c r="S141" s="645"/>
      <c r="T141" s="646"/>
      <c r="U141" s="646"/>
      <c r="V141" s="646"/>
      <c r="W141" s="646"/>
      <c r="X141" s="646"/>
      <c r="Y141" s="646"/>
      <c r="Z141" s="646"/>
      <c r="AA141" s="647"/>
      <c r="AB141" s="539"/>
      <c r="AC141" s="1384" t="s">
        <v>2464</v>
      </c>
      <c r="AD141" s="1385"/>
      <c r="AE141" s="593">
        <f>AE$123*($AG$151*($AG$152^0.91)*(SUM($J$27,$J$28)^1.02))</f>
        <v>0</v>
      </c>
      <c r="AF141" s="593">
        <f>AF$123*($AG$151*($AG$152^0.91)*(SUM($J$27,$J$28)^1.02))</f>
        <v>0</v>
      </c>
      <c r="AG141" s="593">
        <f>AG$123*($AG$151*($AG$152^0.91)*(SUM($J$27,$J$28)^1.02))</f>
        <v>0</v>
      </c>
      <c r="AH141" s="593">
        <f>AH$123*($AG$151*($AG$152^0.91)*($J$28^1.02))</f>
        <v>0</v>
      </c>
      <c r="AI141" s="593">
        <f>AI$123*($AG$151*($AG$152^0.91)*($J$28^1.02))</f>
        <v>0</v>
      </c>
      <c r="AJ141" s="593">
        <f>AJ$123*($AG$151*($AG$152^0.91)*($J$28^1.02))</f>
        <v>0</v>
      </c>
      <c r="AK141" s="713"/>
      <c r="AL141" s="713"/>
      <c r="AM141" s="713"/>
      <c r="AN141" s="713"/>
      <c r="AO141" s="713"/>
      <c r="AP141" s="736"/>
    </row>
    <row r="142" spans="1:42" ht="18" customHeight="1" x14ac:dyDescent="0.25">
      <c r="A142" s="302">
        <f>IF(ISBLANK('Table 3-A| Emission Units'!A131),0,'Table 3-A| Emission Units'!A131&amp;"-"&amp;'Table 3-A| Emission Units'!B131)</f>
        <v>0</v>
      </c>
      <c r="B142" s="303">
        <f>IF(OR(ISBLANK('Table 3-A| Emission Units'!C131),ISTEXT('Table 3-A| Emission Units'!C131)),0,'Table 3-A| Emission Units'!C131)</f>
        <v>0</v>
      </c>
      <c r="C142" s="304"/>
      <c r="D142" s="242"/>
      <c r="E142" s="305">
        <f t="shared" si="77"/>
        <v>0</v>
      </c>
      <c r="F142" s="304"/>
      <c r="G142" s="306"/>
      <c r="H142" s="307"/>
      <c r="I142" s="307"/>
      <c r="J142" s="307"/>
      <c r="K142" s="307"/>
      <c r="L142" s="307"/>
      <c r="M142" s="307"/>
      <c r="N142" s="307"/>
      <c r="O142" s="308"/>
      <c r="S142" s="645"/>
      <c r="T142" s="646"/>
      <c r="U142" s="646"/>
      <c r="V142" s="646"/>
      <c r="W142" s="646"/>
      <c r="X142" s="646"/>
      <c r="Y142" s="646"/>
      <c r="Z142" s="646"/>
      <c r="AA142" s="647"/>
      <c r="AC142" s="1384" t="s">
        <v>2465</v>
      </c>
      <c r="AD142" s="1385"/>
      <c r="AE142" s="593">
        <f>AE$124*($AG$162*(($AG$163/12)^$AG$164)*((SUM($J$27,$J$28)/3)^$AG$166))</f>
        <v>0</v>
      </c>
      <c r="AF142" s="593">
        <f>AF$124*($AG$162*(($AG$163/12)^$AG$164)*((SUM($J$27,$J$28)/3)^$AG$166))</f>
        <v>0</v>
      </c>
      <c r="AG142" s="593">
        <f>AG$124*($AG$162*(($AG$163/12)^$AG$164)*((SUM($J$27,$J$28)/3)^$AG$166))</f>
        <v>0</v>
      </c>
      <c r="AH142" s="593">
        <f>AH$124*($AG$162*(($AG$163/12)^$AG$164)*(($J$28/3)^$AG$166))</f>
        <v>0</v>
      </c>
      <c r="AI142" s="593">
        <f>AI$124*($AG$162*(($AG$163/12)^$AG$164)*(($J$28/3)^$AG$166))</f>
        <v>0</v>
      </c>
      <c r="AJ142" s="593">
        <f>AJ$124*($AG$162*(($AG$163/12)^$AG$164)*(($J$28/3)^$AG$166))</f>
        <v>0</v>
      </c>
      <c r="AK142" s="713"/>
      <c r="AL142" s="713"/>
      <c r="AM142" s="713"/>
      <c r="AN142" s="713"/>
      <c r="AO142" s="713"/>
      <c r="AP142" s="736"/>
    </row>
    <row r="143" spans="1:42" ht="18" customHeight="1" x14ac:dyDescent="0.25">
      <c r="A143" s="302">
        <f>IF(ISBLANK('Table 3-A| Emission Units'!A132),0,'Table 3-A| Emission Units'!A132&amp;"-"&amp;'Table 3-A| Emission Units'!B132)</f>
        <v>0</v>
      </c>
      <c r="B143" s="303">
        <f>IF(OR(ISBLANK('Table 3-A| Emission Units'!C132),ISTEXT('Table 3-A| Emission Units'!C132)),0,'Table 3-A| Emission Units'!C132)</f>
        <v>0</v>
      </c>
      <c r="C143" s="304"/>
      <c r="D143" s="242"/>
      <c r="E143" s="305">
        <f t="shared" si="77"/>
        <v>0</v>
      </c>
      <c r="F143" s="304"/>
      <c r="G143" s="306"/>
      <c r="H143" s="307"/>
      <c r="I143" s="307"/>
      <c r="J143" s="307"/>
      <c r="K143" s="307"/>
      <c r="L143" s="307"/>
      <c r="M143" s="307"/>
      <c r="N143" s="307"/>
      <c r="O143" s="308"/>
      <c r="S143" s="645"/>
      <c r="T143" s="646"/>
      <c r="U143" s="646"/>
      <c r="V143" s="646"/>
      <c r="W143" s="646"/>
      <c r="X143" s="646"/>
      <c r="Y143" s="646"/>
      <c r="Z143" s="646"/>
      <c r="AA143" s="647"/>
      <c r="AC143" s="1384" t="s">
        <v>2300</v>
      </c>
      <c r="AD143" s="1385"/>
      <c r="AE143" s="593">
        <f>AE$125*($AG$151*($AG$152^0.91)*(SUM($J$31,$J$32)^1.02))</f>
        <v>0</v>
      </c>
      <c r="AF143" s="593">
        <f>AF$125*($AG$151*($AG$152^0.91)*(SUM($J$31,$J$32)^1.02))</f>
        <v>0</v>
      </c>
      <c r="AG143" s="593">
        <f>AG$125*($AG$151*($AG$152^0.91)*(SUM($J$31,$J$32)^1.02))</f>
        <v>0</v>
      </c>
      <c r="AH143" s="593">
        <f>AH$125*($AG$151*($AG$152^0.91)*($J$32^1.02))</f>
        <v>0</v>
      </c>
      <c r="AI143" s="593">
        <f>AI$125*($AG$151*($AG$152^0.91)*($J$32^1.02))</f>
        <v>0</v>
      </c>
      <c r="AJ143" s="593">
        <f>AJ$125*($AG$151*($AG$152^0.91)*($J$32^1.02))</f>
        <v>0</v>
      </c>
      <c r="AK143" s="593">
        <f>AK$125*($AG$151*($AG$152^0.91)*(SUM($M$35,$J$36)^1.02))</f>
        <v>0</v>
      </c>
      <c r="AL143" s="593">
        <f>AL$125*($AG$151*($AG$152^0.91)*(SUM($M$35,$J$36)^1.02))</f>
        <v>0</v>
      </c>
      <c r="AM143" s="593">
        <f>AM$125*($AG$151*($AG$152^0.91)*(SUM($M$35,$J$36)^1.02))</f>
        <v>0</v>
      </c>
      <c r="AN143" s="593">
        <f>AN$125*($AG$151*($AG$152^0.91)*($J$36^1.02))</f>
        <v>0</v>
      </c>
      <c r="AO143" s="593">
        <f>AO$125*($AG$151*($AG$152^0.91)*($J$36^1.02))</f>
        <v>0</v>
      </c>
      <c r="AP143" s="741">
        <f>AP$125*($AG$151*($AG$152^0.91)*($J$36^1.02))</f>
        <v>0</v>
      </c>
    </row>
    <row r="144" spans="1:42" ht="18" customHeight="1" thickBot="1" x14ac:dyDescent="0.3">
      <c r="A144" s="302">
        <f>IF(ISBLANK('Table 3-A| Emission Units'!A133),0,'Table 3-A| Emission Units'!A133&amp;"-"&amp;'Table 3-A| Emission Units'!B133)</f>
        <v>0</v>
      </c>
      <c r="B144" s="303">
        <f>IF(OR(ISBLANK('Table 3-A| Emission Units'!C133),ISTEXT('Table 3-A| Emission Units'!C133)),0,'Table 3-A| Emission Units'!C133)</f>
        <v>0</v>
      </c>
      <c r="C144" s="304"/>
      <c r="D144" s="242"/>
      <c r="E144" s="305">
        <f t="shared" si="77"/>
        <v>0</v>
      </c>
      <c r="F144" s="304"/>
      <c r="G144" s="306"/>
      <c r="H144" s="307"/>
      <c r="I144" s="307"/>
      <c r="J144" s="307"/>
      <c r="K144" s="307"/>
      <c r="L144" s="307"/>
      <c r="M144" s="307"/>
      <c r="N144" s="307"/>
      <c r="O144" s="308"/>
      <c r="S144" s="645"/>
      <c r="T144" s="646"/>
      <c r="U144" s="646"/>
      <c r="V144" s="646"/>
      <c r="W144" s="646"/>
      <c r="X144" s="646"/>
      <c r="Y144" s="646"/>
      <c r="Z144" s="646"/>
      <c r="AA144" s="647"/>
      <c r="AC144" s="1386" t="s">
        <v>2301</v>
      </c>
      <c r="AD144" s="1387"/>
      <c r="AE144" s="738">
        <f>AE$126*($AG$162*(($AG$163/12)^$AG$164)*((SUM($J$31,$J$32)/3)^$AG$166))</f>
        <v>0</v>
      </c>
      <c r="AF144" s="738">
        <f>AF$126*($AG$162*(($AG$163/12)^$AG$164)*((SUM($J$31,$J$32)/3)^$AG$166))</f>
        <v>0</v>
      </c>
      <c r="AG144" s="738">
        <f>AG$126*($AG$162*(($AG$163/12)^$AG$164)*((SUM($J$31,$J$32)/3)^$AG$166))</f>
        <v>0</v>
      </c>
      <c r="AH144" s="738">
        <f>AH$126*($AG$162*(($AG$163/12)^$AG$164)*(($J$32/3)^$AG$166))</f>
        <v>0</v>
      </c>
      <c r="AI144" s="738">
        <f>AI$126*($AG$162*(($AG$163/12)^$AG$164)*(($J$32/3)^$AG$166))</f>
        <v>0</v>
      </c>
      <c r="AJ144" s="738">
        <f>AJ$126*($AG$162*(($AG$163/12)^$AG$164)*(($J$32/3)^$AG$166))</f>
        <v>0</v>
      </c>
      <c r="AK144" s="738">
        <f>AK$126*($AG$162*(($AG$163/12)^$AG$164)*((SUM($M$35,$J$36)/3)^$AG$166))</f>
        <v>0</v>
      </c>
      <c r="AL144" s="738">
        <f>AL$126*($AG$162*(($AG$163/12)^$AG$164)*((SUM($M$35,$J$36)/3)^$AG$166))</f>
        <v>0</v>
      </c>
      <c r="AM144" s="738">
        <f>AM$126*($AG$162*(($AG$163/12)^$AG$164)*((SUM($M$35,$J$36)/3)^$AG$166))</f>
        <v>0</v>
      </c>
      <c r="AN144" s="738">
        <f>AN$126*($AG$162*(($AG$163/12)^$AG$164)*(($J$36/3)^$AG$166))</f>
        <v>0</v>
      </c>
      <c r="AO144" s="738">
        <f>AO$126*($AG$162*(($AG$163/12)^$AG$164)*(($J$36/3)^$AG$166))</f>
        <v>0</v>
      </c>
      <c r="AP144" s="742">
        <f>AP$126*($AG$162*(($AG$163/12)^$AG$164)*(($J$36/3)^$AG$166))</f>
        <v>0</v>
      </c>
    </row>
    <row r="145" spans="1:36" ht="18" customHeight="1" x14ac:dyDescent="0.25">
      <c r="A145" s="302">
        <f>IF(ISBLANK('Table 3-A| Emission Units'!A134),0,'Table 3-A| Emission Units'!A134&amp;"-"&amp;'Table 3-A| Emission Units'!B134)</f>
        <v>0</v>
      </c>
      <c r="B145" s="303">
        <f>IF(OR(ISBLANK('Table 3-A| Emission Units'!C134),ISTEXT('Table 3-A| Emission Units'!C134)),0,'Table 3-A| Emission Units'!C134)</f>
        <v>0</v>
      </c>
      <c r="C145" s="304"/>
      <c r="D145" s="242"/>
      <c r="E145" s="305">
        <f t="shared" si="77"/>
        <v>0</v>
      </c>
      <c r="F145" s="304"/>
      <c r="G145" s="306"/>
      <c r="H145" s="307"/>
      <c r="I145" s="307"/>
      <c r="J145" s="307"/>
      <c r="K145" s="307"/>
      <c r="L145" s="307"/>
      <c r="M145" s="307"/>
      <c r="N145" s="307"/>
      <c r="O145" s="308"/>
      <c r="S145" s="645"/>
      <c r="T145" s="646"/>
      <c r="U145" s="646"/>
      <c r="V145" s="646"/>
      <c r="W145" s="646"/>
      <c r="X145" s="646"/>
      <c r="Y145" s="646"/>
      <c r="Z145" s="646"/>
      <c r="AA145" s="647"/>
    </row>
    <row r="146" spans="1:36" ht="18" customHeight="1" x14ac:dyDescent="0.25">
      <c r="A146" s="302">
        <f>IF(ISBLANK('Table 3-A| Emission Units'!A135),0,'Table 3-A| Emission Units'!A135&amp;"-"&amp;'Table 3-A| Emission Units'!B135)</f>
        <v>0</v>
      </c>
      <c r="B146" s="303">
        <f>IF(OR(ISBLANK('Table 3-A| Emission Units'!C135),ISTEXT('Table 3-A| Emission Units'!C135)),0,'Table 3-A| Emission Units'!C135)</f>
        <v>0</v>
      </c>
      <c r="C146" s="304"/>
      <c r="D146" s="242"/>
      <c r="E146" s="305">
        <f t="shared" si="77"/>
        <v>0</v>
      </c>
      <c r="F146" s="304"/>
      <c r="G146" s="306"/>
      <c r="H146" s="307"/>
      <c r="I146" s="307"/>
      <c r="J146" s="307"/>
      <c r="K146" s="307"/>
      <c r="L146" s="307"/>
      <c r="M146" s="307"/>
      <c r="N146" s="307"/>
      <c r="O146" s="308"/>
      <c r="S146" s="645"/>
      <c r="T146" s="646"/>
      <c r="U146" s="646"/>
      <c r="V146" s="646"/>
      <c r="W146" s="646"/>
      <c r="X146" s="646"/>
      <c r="Y146" s="646"/>
      <c r="Z146" s="646"/>
      <c r="AA146" s="647"/>
      <c r="AC146" s="64" t="s">
        <v>2227</v>
      </c>
      <c r="AD146" s="64"/>
      <c r="AE146" s="64"/>
      <c r="AF146" s="64"/>
      <c r="AG146" s="64"/>
      <c r="AH146" s="124"/>
      <c r="AI146" s="124"/>
      <c r="AJ146" s="124"/>
    </row>
    <row r="147" spans="1:36" ht="18" customHeight="1" x14ac:dyDescent="0.25">
      <c r="A147" s="302">
        <f>IF(ISBLANK('Table 3-A| Emission Units'!A136),0,'Table 3-A| Emission Units'!A136&amp;"-"&amp;'Table 3-A| Emission Units'!B136)</f>
        <v>0</v>
      </c>
      <c r="B147" s="303">
        <f>IF(OR(ISBLANK('Table 3-A| Emission Units'!C136),ISTEXT('Table 3-A| Emission Units'!C136)),0,'Table 3-A| Emission Units'!C136)</f>
        <v>0</v>
      </c>
      <c r="C147" s="304"/>
      <c r="D147" s="242"/>
      <c r="E147" s="305">
        <f t="shared" si="77"/>
        <v>0</v>
      </c>
      <c r="F147" s="304"/>
      <c r="G147" s="306"/>
      <c r="H147" s="307"/>
      <c r="I147" s="307"/>
      <c r="J147" s="307"/>
      <c r="K147" s="307"/>
      <c r="L147" s="307"/>
      <c r="M147" s="307"/>
      <c r="N147" s="307"/>
      <c r="O147" s="308"/>
      <c r="S147" s="645"/>
      <c r="T147" s="646"/>
      <c r="U147" s="646"/>
      <c r="V147" s="646"/>
      <c r="W147" s="646"/>
      <c r="X147" s="646"/>
      <c r="Y147" s="646"/>
      <c r="Z147" s="646"/>
      <c r="AA147" s="647"/>
      <c r="AC147" s="64"/>
      <c r="AD147" s="64"/>
      <c r="AE147" s="64"/>
      <c r="AF147" s="64"/>
      <c r="AG147" s="64" t="s">
        <v>2228</v>
      </c>
      <c r="AH147" s="124"/>
      <c r="AI147" s="124"/>
      <c r="AJ147" s="124"/>
    </row>
    <row r="148" spans="1:36" ht="18" customHeight="1" x14ac:dyDescent="0.25">
      <c r="A148" s="302">
        <f>IF(ISBLANK('Table 3-A| Emission Units'!A137),0,'Table 3-A| Emission Units'!A137&amp;"-"&amp;'Table 3-A| Emission Units'!B137)</f>
        <v>0</v>
      </c>
      <c r="B148" s="303">
        <f>IF(OR(ISBLANK('Table 3-A| Emission Units'!C137),ISTEXT('Table 3-A| Emission Units'!C137)),0,'Table 3-A| Emission Units'!C137)</f>
        <v>0</v>
      </c>
      <c r="C148" s="304"/>
      <c r="D148" s="242"/>
      <c r="E148" s="305">
        <f t="shared" si="77"/>
        <v>0</v>
      </c>
      <c r="F148" s="304"/>
      <c r="G148" s="306"/>
      <c r="H148" s="307"/>
      <c r="I148" s="307"/>
      <c r="J148" s="307"/>
      <c r="K148" s="307"/>
      <c r="L148" s="307"/>
      <c r="M148" s="307"/>
      <c r="N148" s="307"/>
      <c r="O148" s="308"/>
      <c r="S148" s="645"/>
      <c r="T148" s="646"/>
      <c r="U148" s="646"/>
      <c r="V148" s="646"/>
      <c r="W148" s="646"/>
      <c r="X148" s="646"/>
      <c r="Y148" s="646"/>
      <c r="Z148" s="646"/>
      <c r="AA148" s="647"/>
      <c r="AC148" s="659" t="s">
        <v>2229</v>
      </c>
      <c r="AD148" s="660"/>
      <c r="AE148" s="660"/>
      <c r="AF148" s="660"/>
      <c r="AG148" s="660"/>
      <c r="AH148" s="661"/>
      <c r="AI148" s="661"/>
      <c r="AJ148" s="661"/>
    </row>
    <row r="149" spans="1:36" ht="18" customHeight="1" x14ac:dyDescent="0.25">
      <c r="A149" s="302">
        <f>IF(ISBLANK('Table 3-A| Emission Units'!A138),0,'Table 3-A| Emission Units'!A138&amp;"-"&amp;'Table 3-A| Emission Units'!B138)</f>
        <v>0</v>
      </c>
      <c r="B149" s="303">
        <f>IF(OR(ISBLANK('Table 3-A| Emission Units'!C138),ISTEXT('Table 3-A| Emission Units'!C138)),0,'Table 3-A| Emission Units'!C138)</f>
        <v>0</v>
      </c>
      <c r="C149" s="304"/>
      <c r="D149" s="242"/>
      <c r="E149" s="305">
        <f t="shared" si="77"/>
        <v>0</v>
      </c>
      <c r="F149" s="304"/>
      <c r="G149" s="306"/>
      <c r="H149" s="307"/>
      <c r="I149" s="307"/>
      <c r="J149" s="307"/>
      <c r="K149" s="307"/>
      <c r="L149" s="307"/>
      <c r="M149" s="307"/>
      <c r="N149" s="307"/>
      <c r="O149" s="308"/>
      <c r="S149" s="645"/>
      <c r="T149" s="646"/>
      <c r="U149" s="646"/>
      <c r="V149" s="646"/>
      <c r="W149" s="646"/>
      <c r="X149" s="646"/>
      <c r="Y149" s="646"/>
      <c r="Z149" s="646"/>
      <c r="AA149" s="647"/>
      <c r="AC149" s="1425" t="s">
        <v>2230</v>
      </c>
      <c r="AD149" s="1425"/>
      <c r="AE149" s="1425"/>
      <c r="AF149" s="64"/>
      <c r="AG149" s="124"/>
      <c r="AH149" s="124"/>
      <c r="AI149" s="124"/>
      <c r="AJ149" s="124"/>
    </row>
    <row r="150" spans="1:36" ht="18" customHeight="1" x14ac:dyDescent="0.25">
      <c r="A150" s="302">
        <f>IF(ISBLANK('Table 3-A| Emission Units'!A139),0,'Table 3-A| Emission Units'!A139&amp;"-"&amp;'Table 3-A| Emission Units'!B139)</f>
        <v>0</v>
      </c>
      <c r="B150" s="303">
        <f>IF(OR(ISBLANK('Table 3-A| Emission Units'!C139),ISTEXT('Table 3-A| Emission Units'!C139)),0,'Table 3-A| Emission Units'!C139)</f>
        <v>0</v>
      </c>
      <c r="C150" s="304"/>
      <c r="D150" s="242"/>
      <c r="E150" s="305">
        <f t="shared" si="77"/>
        <v>0</v>
      </c>
      <c r="F150" s="304"/>
      <c r="G150" s="306"/>
      <c r="H150" s="307"/>
      <c r="I150" s="307"/>
      <c r="J150" s="307"/>
      <c r="K150" s="307"/>
      <c r="L150" s="307"/>
      <c r="M150" s="307"/>
      <c r="N150" s="307"/>
      <c r="O150" s="308"/>
      <c r="S150" s="645"/>
      <c r="T150" s="646"/>
      <c r="U150" s="646"/>
      <c r="V150" s="646"/>
      <c r="W150" s="646"/>
      <c r="X150" s="646"/>
      <c r="Y150" s="646"/>
      <c r="Z150" s="646"/>
      <c r="AA150" s="647"/>
      <c r="AC150" s="1424" t="s">
        <v>2231</v>
      </c>
      <c r="AD150" s="1424"/>
      <c r="AE150" s="1424"/>
      <c r="AF150" s="66" t="s">
        <v>2202</v>
      </c>
      <c r="AG150" s="662">
        <v>2.2000000000000001E-3</v>
      </c>
      <c r="AH150" s="663" t="s">
        <v>2232</v>
      </c>
      <c r="AI150" s="124"/>
      <c r="AJ150" s="124"/>
    </row>
    <row r="151" spans="1:36" ht="18" customHeight="1" x14ac:dyDescent="0.25">
      <c r="A151" s="302">
        <f>IF(ISBLANK('Table 3-A| Emission Units'!A140),0,'Table 3-A| Emission Units'!A140&amp;"-"&amp;'Table 3-A| Emission Units'!B140)</f>
        <v>0</v>
      </c>
      <c r="B151" s="303">
        <f>IF(OR(ISBLANK('Table 3-A| Emission Units'!C140),ISTEXT('Table 3-A| Emission Units'!C140)),0,'Table 3-A| Emission Units'!C140)</f>
        <v>0</v>
      </c>
      <c r="C151" s="304"/>
      <c r="D151" s="242"/>
      <c r="E151" s="305">
        <f t="shared" si="77"/>
        <v>0</v>
      </c>
      <c r="F151" s="304"/>
      <c r="G151" s="306"/>
      <c r="H151" s="307"/>
      <c r="I151" s="307"/>
      <c r="J151" s="307"/>
      <c r="K151" s="307"/>
      <c r="L151" s="307"/>
      <c r="M151" s="307"/>
      <c r="N151" s="307"/>
      <c r="O151" s="308"/>
      <c r="S151" s="645"/>
      <c r="T151" s="646"/>
      <c r="U151" s="646"/>
      <c r="V151" s="646"/>
      <c r="W151" s="646"/>
      <c r="X151" s="646"/>
      <c r="Y151" s="646"/>
      <c r="Z151" s="646"/>
      <c r="AA151" s="647"/>
      <c r="AG151" s="662">
        <v>5.4000000000000001E-4</v>
      </c>
      <c r="AH151" s="663" t="s">
        <v>2248</v>
      </c>
      <c r="AI151" s="124"/>
      <c r="AJ151" s="124"/>
    </row>
    <row r="152" spans="1:36" ht="18" customHeight="1" x14ac:dyDescent="0.25">
      <c r="A152" s="302">
        <f>IF(ISBLANK('Table 3-A| Emission Units'!A141),0,'Table 3-A| Emission Units'!A141&amp;"-"&amp;'Table 3-A| Emission Units'!B141)</f>
        <v>0</v>
      </c>
      <c r="B152" s="303">
        <f>IF(OR(ISBLANK('Table 3-A| Emission Units'!C141),ISTEXT('Table 3-A| Emission Units'!C141)),0,'Table 3-A| Emission Units'!C141)</f>
        <v>0</v>
      </c>
      <c r="C152" s="304"/>
      <c r="D152" s="242"/>
      <c r="E152" s="305">
        <f t="shared" si="77"/>
        <v>0</v>
      </c>
      <c r="F152" s="304"/>
      <c r="G152" s="306"/>
      <c r="H152" s="307"/>
      <c r="I152" s="307"/>
      <c r="J152" s="307"/>
      <c r="K152" s="307"/>
      <c r="L152" s="307"/>
      <c r="M152" s="307"/>
      <c r="N152" s="307"/>
      <c r="O152" s="308"/>
      <c r="S152" s="645"/>
      <c r="T152" s="646"/>
      <c r="U152" s="646"/>
      <c r="V152" s="646"/>
      <c r="W152" s="646"/>
      <c r="X152" s="646"/>
      <c r="Y152" s="646"/>
      <c r="Z152" s="646"/>
      <c r="AA152" s="647"/>
      <c r="AC152" s="1423" t="s">
        <v>2233</v>
      </c>
      <c r="AD152" s="1423"/>
      <c r="AE152" s="1423"/>
      <c r="AF152" s="66" t="s">
        <v>2202</v>
      </c>
      <c r="AG152" s="662">
        <v>12</v>
      </c>
      <c r="AH152" s="663" t="s">
        <v>2234</v>
      </c>
      <c r="AI152" s="124"/>
      <c r="AJ152" s="124"/>
    </row>
    <row r="153" spans="1:36" ht="18" customHeight="1" thickBot="1" x14ac:dyDescent="0.3">
      <c r="A153" s="717">
        <f>IF(ISBLANK('Table 3-A| Emission Units'!A142),0,'Table 3-A| Emission Units'!A142&amp;"-"&amp;'Table 3-A| Emission Units'!B142)</f>
        <v>0</v>
      </c>
      <c r="B153" s="718">
        <f>IF(OR(ISBLANK('Table 3-A| Emission Units'!C142),ISTEXT('Table 3-A| Emission Units'!C142)),0,'Table 3-A| Emission Units'!C142)</f>
        <v>0</v>
      </c>
      <c r="C153" s="719"/>
      <c r="D153" s="720"/>
      <c r="E153" s="721">
        <f t="shared" si="77"/>
        <v>0</v>
      </c>
      <c r="F153" s="719"/>
      <c r="G153" s="722"/>
      <c r="H153" s="723"/>
      <c r="I153" s="723"/>
      <c r="J153" s="723"/>
      <c r="K153" s="723"/>
      <c r="L153" s="723"/>
      <c r="M153" s="723"/>
      <c r="N153" s="723"/>
      <c r="O153" s="724"/>
      <c r="S153" s="648"/>
      <c r="T153" s="649"/>
      <c r="U153" s="649"/>
      <c r="V153" s="649"/>
      <c r="W153" s="649"/>
      <c r="X153" s="649"/>
      <c r="Y153" s="649"/>
      <c r="Z153" s="649"/>
      <c r="AA153" s="650"/>
      <c r="AC153" s="1423" t="s">
        <v>2235</v>
      </c>
      <c r="AD153" s="1424"/>
      <c r="AE153" s="1424"/>
      <c r="AF153" s="66"/>
      <c r="AH153" s="663"/>
    </row>
    <row r="154" spans="1:36" ht="18" customHeight="1" x14ac:dyDescent="0.25"/>
    <row r="155" spans="1:36" ht="18" customHeight="1" x14ac:dyDescent="0.25">
      <c r="F155" s="728" t="s">
        <v>2335</v>
      </c>
      <c r="G155" s="716">
        <f t="shared" ref="G155:O155" si="78">IFERROR(SUM(G$78:G$153),0)</f>
        <v>0</v>
      </c>
      <c r="H155" s="716">
        <f t="shared" si="78"/>
        <v>0</v>
      </c>
      <c r="I155" s="716">
        <f t="shared" si="78"/>
        <v>0</v>
      </c>
      <c r="J155" s="716">
        <f t="shared" si="78"/>
        <v>0</v>
      </c>
      <c r="K155" s="716">
        <f t="shared" si="78"/>
        <v>0</v>
      </c>
      <c r="L155" s="716">
        <f t="shared" si="78"/>
        <v>0</v>
      </c>
      <c r="M155" s="716">
        <f t="shared" si="78"/>
        <v>0</v>
      </c>
      <c r="N155" s="716">
        <f t="shared" si="78"/>
        <v>0</v>
      </c>
      <c r="O155" s="716">
        <f t="shared" ca="1" si="78"/>
        <v>0</v>
      </c>
      <c r="AC155" s="64" t="s">
        <v>2236</v>
      </c>
      <c r="AD155" s="64"/>
      <c r="AE155" s="64"/>
      <c r="AF155" s="64"/>
      <c r="AG155" s="124"/>
      <c r="AH155" s="124"/>
    </row>
    <row r="156" spans="1:36" ht="18" customHeight="1" x14ac:dyDescent="0.25">
      <c r="F156" s="728" t="s">
        <v>2336</v>
      </c>
      <c r="G156" s="716">
        <f>IFERROR(SUM('Table 5-B| Reclaim MPTE'!G$46:G$82),0)</f>
        <v>0</v>
      </c>
      <c r="H156" s="716">
        <f>IFERROR(SUM('Table 5-B| Reclaim MPTE'!H$46:H$82),0)</f>
        <v>0</v>
      </c>
      <c r="I156" s="716">
        <f>IFERROR(SUM('Table 5-B| Reclaim MPTE'!I$46:I$82),0)</f>
        <v>0</v>
      </c>
      <c r="J156" s="716">
        <f>IFERROR(SUM('Table 5-B| Reclaim MPTE'!J$46:J$82),0)</f>
        <v>0</v>
      </c>
      <c r="K156" s="716">
        <f>IFERROR(SUM('Table 5-B| Reclaim MPTE'!K$46:K$82),0)</f>
        <v>0</v>
      </c>
      <c r="L156" s="716">
        <f>IFERROR(SUM('Table 5-B| Reclaim MPTE'!L$46:L$82),0)</f>
        <v>0</v>
      </c>
      <c r="M156" s="716">
        <f>IFERROR(SUM('Table 5-B| Reclaim MPTE'!M$46:M$82),0)</f>
        <v>0</v>
      </c>
      <c r="N156" s="716">
        <f>IFERROR(SUM('Table 5-B| Reclaim MPTE'!N$46:N$82),0)</f>
        <v>0</v>
      </c>
      <c r="O156" s="716">
        <f>IFERROR(SUM('Table 5-B| Reclaim MPTE'!O$46:O$82),0)</f>
        <v>0</v>
      </c>
      <c r="AC156" s="64"/>
      <c r="AD156" s="64"/>
      <c r="AE156" s="64"/>
      <c r="AF156" s="64"/>
      <c r="AG156" s="64" t="s">
        <v>2237</v>
      </c>
      <c r="AH156" s="124"/>
    </row>
    <row r="157" spans="1:36" ht="18" customHeight="1" x14ac:dyDescent="0.25">
      <c r="F157" s="728" t="s">
        <v>2334</v>
      </c>
      <c r="G157" s="716">
        <f>IF(SUM(G$155:G$156)&lt;100,ROUND(SUM(G$155:G$156),3),IF(SUM(G$155:G$156)&lt;1000,ROUND(SUM(G$155:G$156),2),IF(SUM(G$155:G$156)&lt;10000,ROUND(SUM(G$155:G$156),1),ROUND(SUM(G$155:G$156),0))))</f>
        <v>0</v>
      </c>
      <c r="H157" s="716">
        <f t="shared" ref="H157:O157" si="79">IF(SUM(H$155:H$156)&lt;100,ROUND(SUM(H$155:H$156),3),IF(SUM(H$155:H$156)&lt;1000,ROUND(SUM(H$155:H$156),2),IF(SUM(H$155:H$156)&lt;10000,ROUND(SUM(H$155:H$156),1),ROUND(SUM(H$155:H$156),0))))</f>
        <v>0</v>
      </c>
      <c r="I157" s="716">
        <f t="shared" si="79"/>
        <v>0</v>
      </c>
      <c r="J157" s="716">
        <f t="shared" si="79"/>
        <v>0</v>
      </c>
      <c r="K157" s="716">
        <f t="shared" si="79"/>
        <v>0</v>
      </c>
      <c r="L157" s="716">
        <f t="shared" si="79"/>
        <v>0</v>
      </c>
      <c r="M157" s="716">
        <f t="shared" si="79"/>
        <v>0</v>
      </c>
      <c r="N157" s="716">
        <f t="shared" si="79"/>
        <v>0</v>
      </c>
      <c r="O157" s="716">
        <f t="shared" ca="1" si="79"/>
        <v>0</v>
      </c>
      <c r="AC157" s="659"/>
      <c r="AD157" s="660"/>
      <c r="AE157" s="660"/>
      <c r="AF157" s="660"/>
      <c r="AG157" s="660"/>
      <c r="AH157" s="661"/>
    </row>
    <row r="158" spans="1:36" ht="18" customHeight="1" x14ac:dyDescent="0.25">
      <c r="F158" s="728" t="s">
        <v>2333</v>
      </c>
      <c r="G158" s="716">
        <f t="shared" ref="G158:O158" si="80">IF((G157/2000)&lt;100,ROUND(G157/2000,3),IF((G157/2000)&lt;1000,ROUND(G157/2000,2),IF((G157/2000)&lt;10000,ROUND(G157/2000,1),ROUND(G157/2000,0))))</f>
        <v>0</v>
      </c>
      <c r="H158" s="716">
        <f t="shared" si="80"/>
        <v>0</v>
      </c>
      <c r="I158" s="716">
        <f t="shared" si="80"/>
        <v>0</v>
      </c>
      <c r="J158" s="716">
        <f t="shared" si="80"/>
        <v>0</v>
      </c>
      <c r="K158" s="716">
        <f t="shared" si="80"/>
        <v>0</v>
      </c>
      <c r="L158" s="716">
        <f t="shared" si="80"/>
        <v>0</v>
      </c>
      <c r="M158" s="716">
        <f t="shared" si="80"/>
        <v>0</v>
      </c>
      <c r="N158" s="716">
        <f t="shared" si="80"/>
        <v>0</v>
      </c>
      <c r="O158" s="716">
        <f t="shared" ca="1" si="80"/>
        <v>0</v>
      </c>
      <c r="AC158" s="1425" t="s">
        <v>2238</v>
      </c>
      <c r="AD158" s="1425"/>
      <c r="AE158" s="1425"/>
      <c r="AF158" s="64"/>
      <c r="AG158" s="124"/>
      <c r="AH158" s="124"/>
    </row>
    <row r="159" spans="1:36" ht="18" customHeight="1" x14ac:dyDescent="0.25">
      <c r="AC159" s="1425" t="s">
        <v>2238</v>
      </c>
      <c r="AD159" s="1425"/>
      <c r="AE159" s="1425"/>
      <c r="AF159" s="64"/>
      <c r="AG159" s="124"/>
      <c r="AH159" s="124"/>
    </row>
    <row r="160" spans="1:36" ht="18" customHeight="1" x14ac:dyDescent="0.25">
      <c r="F160" s="539" t="s">
        <v>2320</v>
      </c>
      <c r="G160" s="716">
        <f>G158</f>
        <v>0</v>
      </c>
      <c r="AC160" s="1425" t="s">
        <v>2238</v>
      </c>
      <c r="AD160" s="1425"/>
      <c r="AE160" s="1425"/>
      <c r="AF160" s="64"/>
      <c r="AG160" s="124"/>
      <c r="AH160" s="124"/>
    </row>
    <row r="161" spans="6:34" ht="18" customHeight="1" x14ac:dyDescent="0.25">
      <c r="F161" s="539" t="s">
        <v>2321</v>
      </c>
      <c r="G161" s="716">
        <f>H158</f>
        <v>0</v>
      </c>
      <c r="AC161" s="1424" t="s">
        <v>2231</v>
      </c>
      <c r="AD161" s="1424"/>
      <c r="AE161" s="1424"/>
      <c r="AF161" s="66" t="s">
        <v>2202</v>
      </c>
      <c r="AG161" s="662">
        <v>1.5</v>
      </c>
      <c r="AH161" s="663" t="s">
        <v>2239</v>
      </c>
    </row>
    <row r="162" spans="6:34" ht="18" customHeight="1" x14ac:dyDescent="0.25">
      <c r="F162" s="539" t="s">
        <v>3</v>
      </c>
      <c r="G162" s="716">
        <f>I158</f>
        <v>0</v>
      </c>
      <c r="AG162" s="662">
        <v>0.15</v>
      </c>
      <c r="AH162" s="663" t="s">
        <v>2247</v>
      </c>
    </row>
    <row r="163" spans="6:34" ht="18" customHeight="1" x14ac:dyDescent="0.25">
      <c r="F163" s="539" t="s">
        <v>4</v>
      </c>
      <c r="G163" s="716">
        <f>J158</f>
        <v>0</v>
      </c>
      <c r="AC163" s="1423" t="s">
        <v>2240</v>
      </c>
      <c r="AD163" s="1423"/>
      <c r="AE163" s="1423"/>
      <c r="AF163" s="66" t="s">
        <v>2202</v>
      </c>
      <c r="AG163" s="662">
        <v>10</v>
      </c>
      <c r="AH163" s="663" t="s">
        <v>2241</v>
      </c>
    </row>
    <row r="164" spans="6:34" ht="18" customHeight="1" x14ac:dyDescent="0.25">
      <c r="F164" s="539" t="s">
        <v>0</v>
      </c>
      <c r="G164" s="716">
        <f>K158</f>
        <v>0</v>
      </c>
      <c r="AC164" s="1423" t="s">
        <v>2242</v>
      </c>
      <c r="AD164" s="1424"/>
      <c r="AE164" s="1424"/>
      <c r="AF164" s="66" t="s">
        <v>2202</v>
      </c>
      <c r="AG164" s="662">
        <v>0.9</v>
      </c>
      <c r="AH164" s="663" t="s">
        <v>2243</v>
      </c>
    </row>
    <row r="165" spans="6:34" ht="18" customHeight="1" x14ac:dyDescent="0.25">
      <c r="F165" s="539" t="s">
        <v>5</v>
      </c>
      <c r="G165" s="716">
        <f>L158</f>
        <v>0</v>
      </c>
      <c r="AC165" s="1423" t="s">
        <v>2235</v>
      </c>
      <c r="AD165" s="1424"/>
      <c r="AE165" s="1424"/>
      <c r="AF165" s="66"/>
      <c r="AG165" s="124"/>
      <c r="AH165" s="124"/>
    </row>
    <row r="166" spans="6:34" ht="18" customHeight="1" x14ac:dyDescent="0.25">
      <c r="F166" s="539" t="s">
        <v>236</v>
      </c>
      <c r="G166" s="716">
        <f>N158</f>
        <v>0</v>
      </c>
      <c r="AC166" s="1423" t="s">
        <v>2244</v>
      </c>
      <c r="AD166" s="1424"/>
      <c r="AE166" s="1424"/>
      <c r="AF166" s="66" t="s">
        <v>2202</v>
      </c>
      <c r="AG166" s="662">
        <v>0.45</v>
      </c>
      <c r="AH166" s="663" t="s">
        <v>2243</v>
      </c>
    </row>
    <row r="167" spans="6:34" ht="18" customHeight="1" x14ac:dyDescent="0.25">
      <c r="F167" s="539" t="s">
        <v>2322</v>
      </c>
      <c r="G167" s="716">
        <f>M158</f>
        <v>0</v>
      </c>
    </row>
    <row r="168" spans="6:34" ht="18" customHeight="1" x14ac:dyDescent="0.25">
      <c r="F168" s="539"/>
      <c r="G168" s="716"/>
    </row>
    <row r="169" spans="6:34" ht="18" customHeight="1" x14ac:dyDescent="0.25">
      <c r="F169" s="539" t="s">
        <v>2323</v>
      </c>
      <c r="G169" s="716">
        <f ca="1">SUM('Table 5-E| MPTE Thresholds'!$B$25)</f>
        <v>0</v>
      </c>
    </row>
    <row r="170" spans="6:34" ht="18" customHeight="1" x14ac:dyDescent="0.25">
      <c r="F170" s="539" t="s">
        <v>2324</v>
      </c>
      <c r="G170" s="716">
        <f ca="1">O158</f>
        <v>0</v>
      </c>
    </row>
    <row r="171" spans="6:34" ht="18" customHeight="1" x14ac:dyDescent="0.25"/>
    <row r="172" spans="6:34" ht="18" customHeight="1" x14ac:dyDescent="0.25"/>
    <row r="173" spans="6:34" ht="18" customHeight="1" x14ac:dyDescent="0.25"/>
    <row r="174" spans="6:34" ht="18" customHeight="1" x14ac:dyDescent="0.25">
      <c r="AB174" s="715"/>
    </row>
    <row r="175" spans="6:34" ht="18" customHeight="1" x14ac:dyDescent="0.25">
      <c r="AB175" s="539"/>
    </row>
    <row r="176" spans="6:34" ht="18" customHeight="1" x14ac:dyDescent="0.25"/>
    <row r="177" ht="18" customHeight="1" x14ac:dyDescent="0.25"/>
    <row r="178" ht="18" customHeight="1" x14ac:dyDescent="0.25"/>
    <row r="179" ht="18" customHeight="1" x14ac:dyDescent="0.25"/>
    <row r="180" ht="18" customHeight="1" x14ac:dyDescent="0.25"/>
  </sheetData>
  <sheetProtection algorithmName="SHA-512" hashValue="imgbDTlJLebtCCgxWD5gXpdUe2J3YKnYXrhZ9okMFSgACT86lugoRyykZa7Z6Azg65zSgHerWQP2TxrO4sZIyg==" saltValue="4RGOUtIJHXCcpzkYx3xI+Q==" spinCount="100000" sheet="1" objects="1" scenarios="1"/>
  <mergeCells count="176">
    <mergeCell ref="L112:L114"/>
    <mergeCell ref="E112:E114"/>
    <mergeCell ref="F112:F114"/>
    <mergeCell ref="G112:G114"/>
    <mergeCell ref="H112:H114"/>
    <mergeCell ref="I112:I114"/>
    <mergeCell ref="J112:J114"/>
    <mergeCell ref="K112:K114"/>
    <mergeCell ref="F99:F101"/>
    <mergeCell ref="G99:G101"/>
    <mergeCell ref="H99:H101"/>
    <mergeCell ref="I99:I101"/>
    <mergeCell ref="J99:J101"/>
    <mergeCell ref="K99:K101"/>
    <mergeCell ref="M112:M114"/>
    <mergeCell ref="N112:N114"/>
    <mergeCell ref="O112:O114"/>
    <mergeCell ref="M86:M88"/>
    <mergeCell ref="N86:N88"/>
    <mergeCell ref="O86:O88"/>
    <mergeCell ref="C112:C114"/>
    <mergeCell ref="D112:D114"/>
    <mergeCell ref="A7:A8"/>
    <mergeCell ref="B7:I8"/>
    <mergeCell ref="M7:O7"/>
    <mergeCell ref="M8:O8"/>
    <mergeCell ref="A10:A11"/>
    <mergeCell ref="B10:I11"/>
    <mergeCell ref="M10:O10"/>
    <mergeCell ref="M11:O11"/>
    <mergeCell ref="N13:P13"/>
    <mergeCell ref="N14:Q14"/>
    <mergeCell ref="C36:I36"/>
    <mergeCell ref="C25:I25"/>
    <mergeCell ref="C26:I26"/>
    <mergeCell ref="C27:I27"/>
    <mergeCell ref="C28:I28"/>
    <mergeCell ref="C29:I29"/>
    <mergeCell ref="A39:O39"/>
    <mergeCell ref="A1:S1"/>
    <mergeCell ref="B41:O41"/>
    <mergeCell ref="A4:A5"/>
    <mergeCell ref="B4:I5"/>
    <mergeCell ref="M4:O4"/>
    <mergeCell ref="M5:O5"/>
    <mergeCell ref="M20:O20"/>
    <mergeCell ref="C21:I21"/>
    <mergeCell ref="M21:O22"/>
    <mergeCell ref="C22:I22"/>
    <mergeCell ref="C23:I23"/>
    <mergeCell ref="C24:I24"/>
    <mergeCell ref="A16:A17"/>
    <mergeCell ref="B16:I17"/>
    <mergeCell ref="C30:I30"/>
    <mergeCell ref="C31:I31"/>
    <mergeCell ref="C32:I32"/>
    <mergeCell ref="M25:Q27"/>
    <mergeCell ref="M29:Q31"/>
    <mergeCell ref="M33:Q34"/>
    <mergeCell ref="A2:O2"/>
    <mergeCell ref="A13:A14"/>
    <mergeCell ref="C34:I34"/>
    <mergeCell ref="B40:O40"/>
    <mergeCell ref="AC163:AE163"/>
    <mergeCell ref="AC164:AE164"/>
    <mergeCell ref="A3:O3"/>
    <mergeCell ref="B20:I20"/>
    <mergeCell ref="B19:I19"/>
    <mergeCell ref="A130:O130"/>
    <mergeCell ref="A125:O125"/>
    <mergeCell ref="A118:O118"/>
    <mergeCell ref="A123:O123"/>
    <mergeCell ref="A71:O71"/>
    <mergeCell ref="A76:O76"/>
    <mergeCell ref="J42:L42"/>
    <mergeCell ref="A61:O61"/>
    <mergeCell ref="A52:O52"/>
    <mergeCell ref="N70:O70"/>
    <mergeCell ref="A72:O72"/>
    <mergeCell ref="G70:H70"/>
    <mergeCell ref="M42:O42"/>
    <mergeCell ref="B42:C42"/>
    <mergeCell ref="D42:F42"/>
    <mergeCell ref="G42:I42"/>
    <mergeCell ref="A74:O74"/>
    <mergeCell ref="N65:O65"/>
    <mergeCell ref="AC165:AE165"/>
    <mergeCell ref="AC166:AE166"/>
    <mergeCell ref="S118:AA118"/>
    <mergeCell ref="AC160:AE160"/>
    <mergeCell ref="AC159:AE159"/>
    <mergeCell ref="S123:AA123"/>
    <mergeCell ref="S125:AA125"/>
    <mergeCell ref="AC149:AE149"/>
    <mergeCell ref="AC150:AE150"/>
    <mergeCell ref="AC152:AE152"/>
    <mergeCell ref="AC153:AE153"/>
    <mergeCell ref="AC158:AE158"/>
    <mergeCell ref="AC161:AE161"/>
    <mergeCell ref="AE128:AJ128"/>
    <mergeCell ref="AE137:AJ137"/>
    <mergeCell ref="A54:O54"/>
    <mergeCell ref="A43:O43"/>
    <mergeCell ref="L99:L101"/>
    <mergeCell ref="M99:M101"/>
    <mergeCell ref="N99:N101"/>
    <mergeCell ref="O99:O101"/>
    <mergeCell ref="A62:O62"/>
    <mergeCell ref="A45:O45"/>
    <mergeCell ref="C86:C88"/>
    <mergeCell ref="D86:D88"/>
    <mergeCell ref="E86:E88"/>
    <mergeCell ref="F86:F88"/>
    <mergeCell ref="C99:C101"/>
    <mergeCell ref="D99:D101"/>
    <mergeCell ref="E99:E101"/>
    <mergeCell ref="L86:L88"/>
    <mergeCell ref="G86:G88"/>
    <mergeCell ref="H86:H88"/>
    <mergeCell ref="I86:I88"/>
    <mergeCell ref="J86:J88"/>
    <mergeCell ref="K86:K88"/>
    <mergeCell ref="B13:I14"/>
    <mergeCell ref="S78:AA78"/>
    <mergeCell ref="A64:D64"/>
    <mergeCell ref="A70:F70"/>
    <mergeCell ref="I70:M70"/>
    <mergeCell ref="I69:M69"/>
    <mergeCell ref="I68:M68"/>
    <mergeCell ref="I67:M67"/>
    <mergeCell ref="I66:M66"/>
    <mergeCell ref="I65:M65"/>
    <mergeCell ref="I64:M64"/>
    <mergeCell ref="A75:O75"/>
    <mergeCell ref="S76:AA76"/>
    <mergeCell ref="N66:O66"/>
    <mergeCell ref="N67:O67"/>
    <mergeCell ref="N68:O68"/>
    <mergeCell ref="N69:O69"/>
    <mergeCell ref="E64:F64"/>
    <mergeCell ref="N64:O64"/>
    <mergeCell ref="A73:O73"/>
    <mergeCell ref="A78:O78"/>
    <mergeCell ref="C33:I33"/>
    <mergeCell ref="C35:I35"/>
    <mergeCell ref="A38:O38"/>
    <mergeCell ref="AR76:AW76"/>
    <mergeCell ref="AC121:AD121"/>
    <mergeCell ref="AC122:AD122"/>
    <mergeCell ref="AC123:AD123"/>
    <mergeCell ref="AC124:AD124"/>
    <mergeCell ref="AC125:AD125"/>
    <mergeCell ref="AC126:AD126"/>
    <mergeCell ref="AD77:AF77"/>
    <mergeCell ref="AC76:AO76"/>
    <mergeCell ref="AE119:AJ119"/>
    <mergeCell ref="AK119:AP119"/>
    <mergeCell ref="AR88:AY88"/>
    <mergeCell ref="P131:R136"/>
    <mergeCell ref="AR83:AT86"/>
    <mergeCell ref="AK137:AP137"/>
    <mergeCell ref="AC139:AD139"/>
    <mergeCell ref="AC140:AD140"/>
    <mergeCell ref="AC141:AD141"/>
    <mergeCell ref="AC142:AD142"/>
    <mergeCell ref="AC143:AD143"/>
    <mergeCell ref="AC144:AD144"/>
    <mergeCell ref="AK128:AP128"/>
    <mergeCell ref="AC130:AD130"/>
    <mergeCell ref="AC131:AD131"/>
    <mergeCell ref="AC132:AD132"/>
    <mergeCell ref="AC133:AD133"/>
    <mergeCell ref="AC134:AD134"/>
    <mergeCell ref="AC135:AD135"/>
    <mergeCell ref="P121:Q122"/>
    <mergeCell ref="P119:Q120"/>
  </mergeCells>
  <conditionalFormatting sqref="A79:A117 C79:C117 E79:E117 G79:O117 A119:A122 C119:C122 E119:E122 G119:O122 A124 C124 E124 G124:O124 A126:A129 C126:C129 E126:E129 G126:O129 A131:A153 C131:C153 E131:E153 G131:O153">
    <cfRule type="cellIs" dxfId="270" priority="5" operator="equal">
      <formula>0</formula>
    </cfRule>
  </conditionalFormatting>
  <conditionalFormatting sqref="A78:O85 A86:B88 A89:O98 A99:B101 A102:O111 A112:B114 A115:O153">
    <cfRule type="expression" dxfId="269" priority="4">
      <formula>$A78=0</formula>
    </cfRule>
  </conditionalFormatting>
  <conditionalFormatting sqref="A131:O153">
    <cfRule type="expression" dxfId="268" priority="214">
      <formula>AND(NOT($A131=0),ISBLANK(A131))</formula>
    </cfRule>
  </conditionalFormatting>
  <conditionalFormatting sqref="B119:B122">
    <cfRule type="expression" dxfId="267" priority="222">
      <formula>$B119&gt;99999999</formula>
    </cfRule>
  </conditionalFormatting>
  <conditionalFormatting sqref="B4:I5">
    <cfRule type="expression" dxfId="266" priority="95">
      <formula>$J$4=0</formula>
    </cfRule>
  </conditionalFormatting>
  <conditionalFormatting sqref="B7:I8">
    <cfRule type="expression" dxfId="265" priority="61">
      <formula>$J$4=0</formula>
    </cfRule>
  </conditionalFormatting>
  <conditionalFormatting sqref="B10:I11">
    <cfRule type="expression" dxfId="264" priority="56">
      <formula>$J$4=0</formula>
    </cfRule>
  </conditionalFormatting>
  <conditionalFormatting sqref="B13:I14">
    <cfRule type="expression" dxfId="263" priority="94">
      <formula>$J$13=0</formula>
    </cfRule>
  </conditionalFormatting>
  <conditionalFormatting sqref="B21:I36">
    <cfRule type="expression" dxfId="262" priority="122">
      <formula>AND($J$20="",$K$20="",$L$20="")</formula>
    </cfRule>
  </conditionalFormatting>
  <conditionalFormatting sqref="C79:C117 C119:C122 C124 C126:C129 C131:C153">
    <cfRule type="cellIs" dxfId="261" priority="15" operator="lessThan">
      <formula>0.01</formula>
    </cfRule>
  </conditionalFormatting>
  <conditionalFormatting sqref="C21:I36">
    <cfRule type="expression" dxfId="260" priority="124">
      <formula>AND($J$20="",$K$20="",$L$20="")</formula>
    </cfRule>
  </conditionalFormatting>
  <conditionalFormatting sqref="C86:O88">
    <cfRule type="expression" dxfId="259" priority="3">
      <formula>AND($A$86=0,$A$87=0,$A$88=0)</formula>
    </cfRule>
  </conditionalFormatting>
  <conditionalFormatting sqref="C99:O101">
    <cfRule type="expression" dxfId="258" priority="2">
      <formula>AND($A$99=0,$A$100=0,$A$101=0)</formula>
    </cfRule>
  </conditionalFormatting>
  <conditionalFormatting sqref="C112:O114">
    <cfRule type="expression" dxfId="257" priority="1">
      <formula>AND($A$112=0,$A$113=0,$A$114=0)</formula>
    </cfRule>
  </conditionalFormatting>
  <conditionalFormatting sqref="E55:F60">
    <cfRule type="cellIs" dxfId="256" priority="235" operator="greaterThanOrEqual">
      <formula>1000000</formula>
    </cfRule>
    <cfRule type="cellIs" dxfId="255" priority="236" operator="greaterThanOrEqual">
      <formula>1000</formula>
    </cfRule>
  </conditionalFormatting>
  <conditionalFormatting sqref="E79:O117 E119:O122 E126:O129 E124:O124 E131:O153">
    <cfRule type="cellIs" dxfId="254" priority="11" operator="greaterThanOrEqual">
      <formula>1000</formula>
    </cfRule>
    <cfRule type="cellIs" dxfId="253" priority="215" operator="lessThan">
      <formula>1</formula>
    </cfRule>
  </conditionalFormatting>
  <conditionalFormatting sqref="F46:F51">
    <cfRule type="cellIs" dxfId="252" priority="324" operator="greaterThanOrEqual">
      <formula>1000000</formula>
    </cfRule>
    <cfRule type="cellIs" dxfId="251" priority="325" operator="greaterThanOrEqual">
      <formula>1000</formula>
    </cfRule>
  </conditionalFormatting>
  <conditionalFormatting sqref="G46:O51">
    <cfRule type="cellIs" dxfId="250" priority="115" operator="equal">
      <formula>0</formula>
    </cfRule>
  </conditionalFormatting>
  <conditionalFormatting sqref="G55:O60">
    <cfRule type="cellIs" dxfId="249" priority="242" stopIfTrue="1" operator="greaterThanOrEqual">
      <formula>1000000</formula>
    </cfRule>
    <cfRule type="cellIs" dxfId="248" priority="243" stopIfTrue="1" operator="greaterThanOrEqual">
      <formula>1000</formula>
    </cfRule>
    <cfRule type="cellIs" dxfId="247" priority="244" stopIfTrue="1" operator="equal">
      <formula>0</formula>
    </cfRule>
  </conditionalFormatting>
  <conditionalFormatting sqref="G79:O117 G119:O122 G126:O129">
    <cfRule type="cellIs" dxfId="246" priority="6" operator="greaterThanOrEqual">
      <formula>1000000</formula>
    </cfRule>
    <cfRule type="cellIs" dxfId="245" priority="202" operator="lessThan">
      <formula>0.01</formula>
    </cfRule>
  </conditionalFormatting>
  <conditionalFormatting sqref="G155:O158">
    <cfRule type="cellIs" dxfId="244" priority="96" operator="lessThan">
      <formula>100</formula>
    </cfRule>
    <cfRule type="cellIs" dxfId="243" priority="97" operator="lessThan">
      <formula>1000</formula>
    </cfRule>
    <cfRule type="cellIs" dxfId="242" priority="98" operator="lessThan">
      <formula>10000</formula>
    </cfRule>
    <cfRule type="cellIs" dxfId="241" priority="99" operator="greaterThanOrEqual">
      <formula>10000</formula>
    </cfRule>
  </conditionalFormatting>
  <conditionalFormatting sqref="J16">
    <cfRule type="expression" dxfId="240" priority="92">
      <formula>$J$16=0</formula>
    </cfRule>
  </conditionalFormatting>
  <conditionalFormatting sqref="J17">
    <cfRule type="expression" dxfId="239" priority="93">
      <formula>$J$16=0</formula>
    </cfRule>
    <cfRule type="expression" dxfId="238" priority="191">
      <formula>ISBLANK(J17)</formula>
    </cfRule>
  </conditionalFormatting>
  <conditionalFormatting sqref="J23:J24">
    <cfRule type="expression" dxfId="237" priority="127">
      <formula>ISBLANK(J23)</formula>
    </cfRule>
  </conditionalFormatting>
  <conditionalFormatting sqref="J27:J28">
    <cfRule type="expression" dxfId="236" priority="145">
      <formula>ISBLANK(J27)</formula>
    </cfRule>
  </conditionalFormatting>
  <conditionalFormatting sqref="J31:J32">
    <cfRule type="expression" dxfId="235" priority="153">
      <formula>ISBLANK(J31)</formula>
    </cfRule>
  </conditionalFormatting>
  <conditionalFormatting sqref="J35:J36">
    <cfRule type="expression" dxfId="234" priority="1044">
      <formula>ISBLANK(J35)</formula>
    </cfRule>
  </conditionalFormatting>
  <conditionalFormatting sqref="J4:L4">
    <cfRule type="expression" dxfId="233" priority="113">
      <formula>J4=0</formula>
    </cfRule>
  </conditionalFormatting>
  <conditionalFormatting sqref="J5:L5">
    <cfRule type="expression" dxfId="232" priority="186">
      <formula>AND(NOT(J4=0),ISBLANK(J5))</formula>
    </cfRule>
    <cfRule type="expression" dxfId="231" priority="187">
      <formula>J4=0</formula>
    </cfRule>
  </conditionalFormatting>
  <conditionalFormatting sqref="J7:L7">
    <cfRule type="expression" dxfId="230" priority="62">
      <formula>J7=0</formula>
    </cfRule>
  </conditionalFormatting>
  <conditionalFormatting sqref="J8:L8">
    <cfRule type="expression" dxfId="229" priority="63">
      <formula>AND(NOT(J7=0),ISBLANK(J8))</formula>
    </cfRule>
    <cfRule type="expression" dxfId="228" priority="64">
      <formula>J7=0</formula>
    </cfRule>
  </conditionalFormatting>
  <conditionalFormatting sqref="J10:L10">
    <cfRule type="expression" dxfId="227" priority="58">
      <formula>J10=0</formula>
    </cfRule>
  </conditionalFormatting>
  <conditionalFormatting sqref="J11:L11">
    <cfRule type="expression" dxfId="226" priority="59">
      <formula>AND(NOT(J10=0),ISBLANK(J11))</formula>
    </cfRule>
    <cfRule type="expression" dxfId="225" priority="60">
      <formula>J10=0</formula>
    </cfRule>
  </conditionalFormatting>
  <conditionalFormatting sqref="J20:L20">
    <cfRule type="expression" dxfId="224" priority="109">
      <formula>J20=0</formula>
    </cfRule>
  </conditionalFormatting>
  <conditionalFormatting sqref="J21:L22 J25:L26 J29:L30 J33:L34">
    <cfRule type="expression" dxfId="223" priority="105">
      <formula>J$20=0</formula>
    </cfRule>
  </conditionalFormatting>
  <conditionalFormatting sqref="J21:L22">
    <cfRule type="expression" dxfId="222" priority="126">
      <formula>AND(NOT(J$20=0),ISBLANK(J21))</formula>
    </cfRule>
  </conditionalFormatting>
  <conditionalFormatting sqref="J25:L26">
    <cfRule type="expression" dxfId="221" priority="129">
      <formula>AND(NOT(J$20=0),ISBLANK(J25))</formula>
    </cfRule>
  </conditionalFormatting>
  <conditionalFormatting sqref="J29:L30">
    <cfRule type="expression" dxfId="220" priority="146">
      <formula>AND(NOT(J$20=0),ISBLANK(J29))</formula>
    </cfRule>
  </conditionalFormatting>
  <conditionalFormatting sqref="J33:L34">
    <cfRule type="expression" dxfId="219" priority="1043">
      <formula>AND(NOT(J$20=0),ISBLANK(J33))</formula>
    </cfRule>
  </conditionalFormatting>
  <conditionalFormatting sqref="J13:M13">
    <cfRule type="expression" dxfId="218" priority="110">
      <formula>J13=0</formula>
    </cfRule>
  </conditionalFormatting>
  <conditionalFormatting sqref="J14:M14">
    <cfRule type="expression" dxfId="217" priority="196">
      <formula>AND(NOT(J13=0),ISBLANK(J14))</formula>
    </cfRule>
    <cfRule type="expression" dxfId="216" priority="197">
      <formula>J13=0</formula>
    </cfRule>
  </conditionalFormatting>
  <conditionalFormatting sqref="J21:Q36">
    <cfRule type="expression" dxfId="215" priority="120">
      <formula>AND($J$20=0,$K$20=0,$L$20=0)</formula>
    </cfRule>
  </conditionalFormatting>
  <conditionalFormatting sqref="M21:O22">
    <cfRule type="expression" dxfId="214" priority="133">
      <formula>$J20=""</formula>
    </cfRule>
  </conditionalFormatting>
  <conditionalFormatting sqref="N64:O70">
    <cfRule type="cellIs" dxfId="213" priority="114" operator="equal">
      <formula>0</formula>
    </cfRule>
  </conditionalFormatting>
  <conditionalFormatting sqref="S79:AA117 S124:AA124 S126:AA129">
    <cfRule type="cellIs" dxfId="212" priority="12" operator="greaterThanOrEqual">
      <formula>10000</formula>
    </cfRule>
    <cfRule type="cellIs" dxfId="211" priority="13" operator="equal">
      <formula>0</formula>
    </cfRule>
    <cfRule type="cellIs" dxfId="210" priority="14" operator="lessThan">
      <formula>0.01</formula>
    </cfRule>
  </conditionalFormatting>
  <conditionalFormatting sqref="AG78:AO115">
    <cfRule type="cellIs" dxfId="209" priority="85" operator="equal">
      <formula>0</formula>
    </cfRule>
    <cfRule type="cellIs" dxfId="208" priority="86" operator="greaterThanOrEqual">
      <formula>1000</formula>
    </cfRule>
    <cfRule type="cellIs" dxfId="207" priority="87" operator="between">
      <formula>100</formula>
      <formula>1000</formula>
    </cfRule>
    <cfRule type="cellIs" dxfId="206" priority="88" operator="between">
      <formula>0.01</formula>
      <formula>100</formula>
    </cfRule>
    <cfRule type="cellIs" dxfId="205" priority="89" operator="lessThan">
      <formula>0.01</formula>
    </cfRule>
  </conditionalFormatting>
  <dataValidations disablePrompts="1" count="1">
    <dataValidation type="list" errorStyle="warning" allowBlank="1" showInputMessage="1" showErrorMessage="1" errorTitle="Error" error="You must select an emission factor source or calculation method." prompt="Select the source of the emission factor or the calculation method used to determine emissions for this emission unit." sqref="F131:F153" xr:uid="{00000000-0002-0000-0900-000000000000}">
      <formula1>$T$64:$T$68</formula1>
    </dataValidation>
  </dataValidations>
  <printOptions horizontalCentered="1"/>
  <pageMargins left="0.5" right="0.5" top="0.5" bottom="0.5" header="0.3" footer="0.3"/>
  <pageSetup scale="71" fitToHeight="0" orientation="landscape" r:id="rId1"/>
  <headerFooter>
    <oddFooter>&amp;LRev. 7/2016&amp;C&amp;A&amp;RPage &amp;P</oddFooter>
  </headerFooter>
  <ignoredErrors>
    <ignoredError sqref="D85" formula="1"/>
  </ignoredErrors>
  <drawing r:id="rId2"/>
  <legacyDrawing r:id="rId3"/>
  <oleObjects>
    <mc:AlternateContent xmlns:mc="http://schemas.openxmlformats.org/markup-compatibility/2006">
      <mc:Choice Requires="x14">
        <oleObject progId="Equation.3" shapeId="39943" r:id="rId4">
          <objectPr defaultSize="0" autoPict="0" r:id="rId5">
            <anchor moveWithCells="1">
              <from>
                <xdr:col>28</xdr:col>
                <xdr:colOff>38100</xdr:colOff>
                <xdr:row>146</xdr:row>
                <xdr:rowOff>104775</xdr:rowOff>
              </from>
              <to>
                <xdr:col>30</xdr:col>
                <xdr:colOff>390525</xdr:colOff>
                <xdr:row>147</xdr:row>
                <xdr:rowOff>190500</xdr:rowOff>
              </to>
            </anchor>
          </objectPr>
        </oleObject>
      </mc:Choice>
      <mc:Fallback>
        <oleObject progId="Equation.3" shapeId="39943" r:id="rId4"/>
      </mc:Fallback>
    </mc:AlternateContent>
    <mc:AlternateContent xmlns:mc="http://schemas.openxmlformats.org/markup-compatibility/2006">
      <mc:Choice Requires="x14">
        <oleObject progId="Equation.3" shapeId="39944" r:id="rId6">
          <objectPr defaultSize="0" autoPict="0" r:id="rId7">
            <anchor moveWithCells="1">
              <from>
                <xdr:col>28</xdr:col>
                <xdr:colOff>47625</xdr:colOff>
                <xdr:row>155</xdr:row>
                <xdr:rowOff>0</xdr:rowOff>
              </from>
              <to>
                <xdr:col>30</xdr:col>
                <xdr:colOff>390525</xdr:colOff>
                <xdr:row>157</xdr:row>
                <xdr:rowOff>28575</xdr:rowOff>
              </to>
            </anchor>
          </objectPr>
        </oleObject>
      </mc:Choice>
      <mc:Fallback>
        <oleObject progId="Equation.3" shapeId="39944" r:id="rId6"/>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4">
    <tabColor rgb="FF002060"/>
    <pageSetUpPr fitToPage="1"/>
  </sheetPr>
  <dimension ref="A1:AW144"/>
  <sheetViews>
    <sheetView showGridLines="0" zoomScaleNormal="100" workbookViewId="0">
      <selection sqref="A1:O1"/>
    </sheetView>
  </sheetViews>
  <sheetFormatPr defaultRowHeight="14.25" x14ac:dyDescent="0.25"/>
  <cols>
    <col min="1" max="1" width="10" style="130" customWidth="1"/>
    <col min="2" max="2" width="15.42578125" style="48" customWidth="1"/>
    <col min="3" max="3" width="12.140625" style="48" customWidth="1"/>
    <col min="4" max="4" width="11.28515625" style="48" customWidth="1"/>
    <col min="5" max="5" width="14.7109375" style="48" customWidth="1"/>
    <col min="6" max="6" width="14.5703125" style="48" customWidth="1"/>
    <col min="7" max="15" width="11.140625" style="48" customWidth="1"/>
    <col min="16" max="16" width="3.7109375" style="48" customWidth="1"/>
    <col min="17" max="19" width="9.140625" style="48"/>
    <col min="20" max="20" width="11.5703125" style="48" bestFit="1" customWidth="1"/>
    <col min="21" max="28" width="9.140625" style="48"/>
    <col min="29" max="29" width="11" style="48" bestFit="1" customWidth="1"/>
    <col min="30" max="30" width="12.28515625" style="48" customWidth="1"/>
    <col min="31" max="16384" width="9.140625" style="48"/>
  </cols>
  <sheetData>
    <row r="1" spans="1:27" s="69" customFormat="1" ht="26.25" customHeight="1" thickBot="1" x14ac:dyDescent="0.3">
      <c r="A1" s="1315" t="s">
        <v>2330</v>
      </c>
      <c r="B1" s="1315"/>
      <c r="C1" s="1315"/>
      <c r="D1" s="1315"/>
      <c r="E1" s="1315"/>
      <c r="F1" s="1315"/>
      <c r="G1" s="1315"/>
      <c r="H1" s="1315"/>
      <c r="I1" s="1315"/>
      <c r="J1" s="1315"/>
      <c r="K1" s="1315"/>
      <c r="L1" s="1315"/>
      <c r="M1" s="1315"/>
      <c r="N1" s="1315"/>
      <c r="O1" s="1315"/>
    </row>
    <row r="2" spans="1:27" s="160" customFormat="1" ht="35.1" customHeight="1" thickBot="1" x14ac:dyDescent="0.3">
      <c r="A2" s="1448" t="s">
        <v>2340</v>
      </c>
      <c r="B2" s="1448"/>
      <c r="C2" s="1448"/>
      <c r="D2" s="1448"/>
      <c r="E2" s="1448"/>
      <c r="F2" s="1448"/>
      <c r="G2" s="1448"/>
      <c r="H2" s="1448"/>
      <c r="I2" s="1448"/>
      <c r="J2" s="1448"/>
      <c r="K2" s="1448"/>
      <c r="L2" s="1448"/>
      <c r="M2" s="1448"/>
      <c r="N2" s="1448"/>
      <c r="O2" s="1448"/>
    </row>
    <row r="3" spans="1:27" s="640" customFormat="1" ht="30" customHeight="1" thickBot="1" x14ac:dyDescent="0.3">
      <c r="A3" s="1427" t="s">
        <v>2211</v>
      </c>
      <c r="B3" s="1428"/>
      <c r="C3" s="1428"/>
      <c r="D3" s="1428"/>
      <c r="E3" s="1428"/>
      <c r="F3" s="1428"/>
      <c r="G3" s="1428"/>
      <c r="H3" s="1428"/>
      <c r="I3" s="1428"/>
      <c r="J3" s="1428"/>
      <c r="K3" s="1428"/>
      <c r="L3" s="1428"/>
      <c r="M3" s="1428"/>
      <c r="N3" s="1428"/>
      <c r="O3" s="1428"/>
    </row>
    <row r="4" spans="1:27" s="68" customFormat="1" ht="35.1" customHeight="1" thickBot="1" x14ac:dyDescent="0.3">
      <c r="A4" s="1440">
        <v>1</v>
      </c>
      <c r="B4" s="1390" t="str">
        <f>IF('Table 3-A| Emission Units'!$E$4&gt;0,AA4,AA5)</f>
        <v>Proceed to the next question.</v>
      </c>
      <c r="C4" s="1390"/>
      <c r="D4" s="1390"/>
      <c r="E4" s="1390"/>
      <c r="F4" s="1390"/>
      <c r="G4" s="1390"/>
      <c r="H4" s="1390"/>
      <c r="I4" s="1390"/>
      <c r="J4" s="695">
        <f>'Table 3-A| Emission Units'!$A$70</f>
        <v>0</v>
      </c>
      <c r="K4" s="695">
        <f>'Table 3-A| Emission Units'!$A$81</f>
        <v>0</v>
      </c>
      <c r="L4" s="695">
        <f>'Table 3-A| Emission Units'!$A$92</f>
        <v>0</v>
      </c>
      <c r="M4" s="1445" t="str">
        <f>IF(J4=0,"","&lt;&lt;&lt; Concrete/Asphalt Crushing Units")</f>
        <v/>
      </c>
      <c r="N4" s="1445"/>
      <c r="O4" s="1445"/>
      <c r="AA4" s="68" t="s">
        <v>2345</v>
      </c>
    </row>
    <row r="5" spans="1:27" s="68" customFormat="1" ht="20.100000000000001" customHeight="1" thickBot="1" x14ac:dyDescent="0.3">
      <c r="A5" s="1440"/>
      <c r="B5" s="1390"/>
      <c r="C5" s="1390"/>
      <c r="D5" s="1390"/>
      <c r="E5" s="1390"/>
      <c r="F5" s="1390"/>
      <c r="G5" s="1390"/>
      <c r="H5" s="1390"/>
      <c r="I5" s="1390"/>
      <c r="J5" s="689"/>
      <c r="K5" s="689"/>
      <c r="L5" s="689"/>
      <c r="M5" s="1443" t="str">
        <f>IF(J4=0,"","Do not include labels in boxes.")</f>
        <v/>
      </c>
      <c r="N5" s="1444"/>
      <c r="O5" s="1444"/>
      <c r="AA5" s="68" t="s">
        <v>2212</v>
      </c>
    </row>
    <row r="6" spans="1:27" s="160" customFormat="1" ht="12" customHeight="1" x14ac:dyDescent="0.25">
      <c r="A6" s="697"/>
      <c r="B6" s="697"/>
      <c r="C6" s="697"/>
      <c r="D6" s="697"/>
      <c r="E6" s="697"/>
      <c r="F6" s="697"/>
      <c r="G6" s="697"/>
      <c r="H6" s="697"/>
      <c r="I6" s="697"/>
      <c r="J6" s="701" t="str">
        <f>IF(J4=0,"","tons/hr")</f>
        <v/>
      </c>
      <c r="K6" s="701" t="str">
        <f>IF(K4=0,"","tons/hr")</f>
        <v/>
      </c>
      <c r="L6" s="701" t="str">
        <f>IF(L4=0,"","tons/hr")</f>
        <v/>
      </c>
      <c r="M6" s="697"/>
    </row>
    <row r="7" spans="1:27" s="68" customFormat="1" ht="35.1" customHeight="1" thickBot="1" x14ac:dyDescent="0.3">
      <c r="A7" s="1440">
        <v>2</v>
      </c>
      <c r="B7" s="1390" t="str">
        <f>IF('Table 3-A| Emission Units'!$E$5&gt;0,AA7,AA8)</f>
        <v>Proceed to the next question.</v>
      </c>
      <c r="C7" s="1390"/>
      <c r="D7" s="1390"/>
      <c r="E7" s="1390"/>
      <c r="F7" s="1390"/>
      <c r="G7" s="1390"/>
      <c r="H7" s="1390"/>
      <c r="I7" s="1390"/>
      <c r="J7" s="695">
        <f>IF('Table 3-A| Emission Units'!$M$104&gt;0,'Table 3-A| Emission Units'!$A104&amp;"-"&amp;'Table 3-A| Emission Units'!$B104,0)</f>
        <v>0</v>
      </c>
      <c r="K7" s="695">
        <f>IF('Table 3-A| Emission Units'!$M$105&gt;0,'Table 3-A| Emission Units'!$A105&amp;"-"&amp;'Table 3-A| Emission Units'!$B105,0)</f>
        <v>0</v>
      </c>
      <c r="L7" s="695">
        <f>IF('Table 3-A| Emission Units'!$M$106&gt;0,'Table 3-A| Emission Units'!$A106&amp;"-"&amp;'Table 3-A| Emission Units'!$B106,0)</f>
        <v>0</v>
      </c>
      <c r="M7" s="1445" t="str">
        <f>IF(J7=0,"","&lt;&lt; Concrete/Asphalt Screening Units")</f>
        <v/>
      </c>
      <c r="N7" s="1445"/>
      <c r="O7" s="1445"/>
      <c r="AA7" s="68" t="s">
        <v>2276</v>
      </c>
    </row>
    <row r="8" spans="1:27" s="68" customFormat="1" ht="20.100000000000001" customHeight="1" thickBot="1" x14ac:dyDescent="0.3">
      <c r="A8" s="1440"/>
      <c r="B8" s="1390"/>
      <c r="C8" s="1390"/>
      <c r="D8" s="1390"/>
      <c r="E8" s="1390"/>
      <c r="F8" s="1390"/>
      <c r="G8" s="1390"/>
      <c r="H8" s="1390"/>
      <c r="I8" s="1390"/>
      <c r="J8" s="689"/>
      <c r="K8" s="689"/>
      <c r="L8" s="689"/>
      <c r="M8" s="1443" t="str">
        <f>IF(J7=0,"","Do not include labels in boxes.")</f>
        <v/>
      </c>
      <c r="N8" s="1444"/>
      <c r="O8" s="1444"/>
      <c r="AA8" s="68" t="s">
        <v>2212</v>
      </c>
    </row>
    <row r="9" spans="1:27" s="160" customFormat="1" ht="12" customHeight="1" x14ac:dyDescent="0.25">
      <c r="A9" s="697"/>
      <c r="B9" s="697"/>
      <c r="C9" s="697"/>
      <c r="D9" s="697"/>
      <c r="E9" s="697"/>
      <c r="F9" s="697"/>
      <c r="G9" s="697"/>
      <c r="H9" s="697"/>
      <c r="I9" s="697"/>
      <c r="J9" s="701" t="str">
        <f>IF(J7=0,"","tons/hr")</f>
        <v/>
      </c>
      <c r="K9" s="701" t="str">
        <f>IF(K7=0,"","tons/hr")</f>
        <v/>
      </c>
      <c r="L9" s="701" t="str">
        <f>IF(L7=0,"","tons/hr")</f>
        <v/>
      </c>
      <c r="M9" s="697"/>
    </row>
    <row r="10" spans="1:27" s="162" customFormat="1" ht="35.1" customHeight="1" x14ac:dyDescent="0.25">
      <c r="A10" s="1455">
        <v>3</v>
      </c>
      <c r="B10" s="1456" t="str">
        <f>IF('Table 3-A| Emission Units'!$E$5&gt;0,AA10,AA11)</f>
        <v>Proceed to the next question.</v>
      </c>
      <c r="C10" s="1456"/>
      <c r="D10" s="1456"/>
      <c r="E10" s="1456"/>
      <c r="F10" s="1456"/>
      <c r="G10" s="1456"/>
      <c r="H10" s="1456"/>
      <c r="I10" s="1456"/>
      <c r="J10" s="729"/>
      <c r="K10" s="729"/>
      <c r="L10" s="729"/>
      <c r="M10" s="1457"/>
      <c r="N10" s="1457"/>
      <c r="O10" s="1457"/>
      <c r="AA10" s="162" t="s">
        <v>2276</v>
      </c>
    </row>
    <row r="11" spans="1:27" s="68" customFormat="1" ht="20.100000000000001" customHeight="1" x14ac:dyDescent="0.25">
      <c r="A11" s="1440"/>
      <c r="B11" s="1390"/>
      <c r="C11" s="1390"/>
      <c r="D11" s="1390"/>
      <c r="E11" s="1390"/>
      <c r="F11" s="1390"/>
      <c r="G11" s="1390"/>
      <c r="H11" s="1390"/>
      <c r="I11" s="1390"/>
      <c r="J11" s="730"/>
      <c r="K11" s="730"/>
      <c r="L11" s="730"/>
      <c r="M11" s="1444"/>
      <c r="N11" s="1444"/>
      <c r="O11" s="1444"/>
      <c r="AA11" s="68" t="s">
        <v>2212</v>
      </c>
    </row>
    <row r="12" spans="1:27" s="68" customFormat="1" ht="35.1" customHeight="1" thickBot="1" x14ac:dyDescent="0.3">
      <c r="A12" s="120"/>
      <c r="B12" s="1429" t="str">
        <f>IF(AND($J$12=0,$K$12=0,$L$12=0),"Proceed to the next set of questions.  If there are no more questions below, proceed to the instructions that follow.","Complete the following set of questions as they apply to your concrete/asphalt CRUSHING unit(s).")</f>
        <v>Proceed to the next set of questions.  If there are no more questions below, proceed to the instructions that follow.</v>
      </c>
      <c r="C12" s="1429"/>
      <c r="D12" s="1429"/>
      <c r="E12" s="1429"/>
      <c r="F12" s="1429"/>
      <c r="G12" s="1429"/>
      <c r="H12" s="1429"/>
      <c r="I12" s="1429"/>
      <c r="J12" s="695">
        <f>J4</f>
        <v>0</v>
      </c>
      <c r="K12" s="695">
        <f>K4</f>
        <v>0</v>
      </c>
      <c r="L12" s="695">
        <f>L4</f>
        <v>0</v>
      </c>
      <c r="M12" s="1445" t="str">
        <f>IF(J12=0,"","&lt;&lt;&lt; Concrete/Asphalt Crushing Units")</f>
        <v/>
      </c>
      <c r="N12" s="1445"/>
      <c r="O12" s="1445"/>
    </row>
    <row r="13" spans="1:27" s="68" customFormat="1" ht="35.1" customHeight="1" thickBot="1" x14ac:dyDescent="0.3">
      <c r="A13" s="120"/>
      <c r="B13" s="688" t="s">
        <v>1396</v>
      </c>
      <c r="C13" s="1390" t="s">
        <v>2269</v>
      </c>
      <c r="D13" s="1390"/>
      <c r="E13" s="1390"/>
      <c r="F13" s="1390"/>
      <c r="G13" s="1390"/>
      <c r="H13" s="1390"/>
      <c r="I13" s="1403"/>
      <c r="J13" s="689"/>
      <c r="K13" s="689"/>
      <c r="L13" s="689"/>
      <c r="M13" s="1446" t="s">
        <v>2319</v>
      </c>
      <c r="N13" s="1447"/>
      <c r="O13" s="1447"/>
    </row>
    <row r="14" spans="1:27" s="68" customFormat="1" ht="35.1" customHeight="1" thickBot="1" x14ac:dyDescent="0.3">
      <c r="A14" s="120"/>
      <c r="B14" s="688" t="s">
        <v>2047</v>
      </c>
      <c r="C14" s="1390" t="s">
        <v>2270</v>
      </c>
      <c r="D14" s="1390"/>
      <c r="E14" s="1390"/>
      <c r="F14" s="1390"/>
      <c r="G14" s="1390"/>
      <c r="H14" s="1390"/>
      <c r="I14" s="1403"/>
      <c r="J14" s="689"/>
      <c r="K14" s="689"/>
      <c r="L14" s="689"/>
      <c r="M14" s="1446"/>
      <c r="N14" s="1447"/>
      <c r="O14" s="1447"/>
    </row>
    <row r="15" spans="1:27" s="68" customFormat="1" ht="20.100000000000001" customHeight="1" thickBot="1" x14ac:dyDescent="0.3">
      <c r="A15" s="120"/>
      <c r="B15" s="688" t="s">
        <v>2046</v>
      </c>
      <c r="C15" s="1390" t="s">
        <v>2209</v>
      </c>
      <c r="D15" s="1390"/>
      <c r="E15" s="1390"/>
      <c r="F15" s="1390"/>
      <c r="G15" s="1390"/>
      <c r="H15" s="1390"/>
      <c r="I15" s="1403"/>
      <c r="J15" s="690"/>
      <c r="K15" s="693" t="str">
        <f>IF(J12=0,"","tons")</f>
        <v/>
      </c>
      <c r="L15" s="700"/>
      <c r="M15" s="692"/>
      <c r="N15" s="692"/>
      <c r="O15" s="692"/>
    </row>
    <row r="16" spans="1:27" s="68" customFormat="1" ht="20.100000000000001" customHeight="1" thickBot="1" x14ac:dyDescent="0.3">
      <c r="A16" s="120"/>
      <c r="B16" s="688" t="s">
        <v>2048</v>
      </c>
      <c r="C16" s="1390" t="s">
        <v>2207</v>
      </c>
      <c r="D16" s="1390"/>
      <c r="E16" s="1390"/>
      <c r="F16" s="1390"/>
      <c r="G16" s="1390"/>
      <c r="H16" s="1390"/>
      <c r="I16" s="1403"/>
      <c r="J16" s="690"/>
      <c r="K16" s="696" t="str">
        <f>IF(J12=0,"","tons")</f>
        <v/>
      </c>
      <c r="L16" s="692"/>
      <c r="M16" s="692"/>
      <c r="N16" s="692"/>
      <c r="O16" s="692"/>
    </row>
    <row r="17" spans="1:23" s="68" customFormat="1" ht="35.1" customHeight="1" thickBot="1" x14ac:dyDescent="0.3">
      <c r="A17" s="120"/>
      <c r="B17" s="688" t="s">
        <v>2049</v>
      </c>
      <c r="C17" s="1390" t="s">
        <v>2273</v>
      </c>
      <c r="D17" s="1390"/>
      <c r="E17" s="1390"/>
      <c r="F17" s="1390"/>
      <c r="G17" s="1390"/>
      <c r="H17" s="1390"/>
      <c r="I17" s="1403"/>
      <c r="J17" s="689"/>
      <c r="K17" s="689"/>
      <c r="L17" s="689"/>
      <c r="M17" s="1446"/>
      <c r="N17" s="1447"/>
      <c r="O17" s="1447"/>
    </row>
    <row r="18" spans="1:23" s="68" customFormat="1" ht="35.1" customHeight="1" thickBot="1" x14ac:dyDescent="0.3">
      <c r="A18" s="120"/>
      <c r="B18" s="688" t="s">
        <v>2050</v>
      </c>
      <c r="C18" s="1390" t="s">
        <v>2274</v>
      </c>
      <c r="D18" s="1390"/>
      <c r="E18" s="1390"/>
      <c r="F18" s="1390"/>
      <c r="G18" s="1390"/>
      <c r="H18" s="1390"/>
      <c r="I18" s="1403"/>
      <c r="J18" s="689"/>
      <c r="K18" s="689"/>
      <c r="L18" s="689"/>
      <c r="M18" s="1446"/>
      <c r="N18" s="1447"/>
      <c r="O18" s="1447"/>
    </row>
    <row r="19" spans="1:23" s="68" customFormat="1" ht="20.100000000000001" customHeight="1" thickBot="1" x14ac:dyDescent="0.3">
      <c r="A19" s="120"/>
      <c r="B19" s="688" t="s">
        <v>2051</v>
      </c>
      <c r="C19" s="1390" t="s">
        <v>2267</v>
      </c>
      <c r="D19" s="1390"/>
      <c r="E19" s="1390"/>
      <c r="F19" s="1390"/>
      <c r="G19" s="1390"/>
      <c r="H19" s="1390"/>
      <c r="I19" s="1403"/>
      <c r="J19" s="690"/>
      <c r="K19" s="693" t="str">
        <f>IF(J12=0,"","yards")</f>
        <v/>
      </c>
      <c r="M19" s="639" t="str">
        <f>IF(ISBLANK(J19),"",J19*1.5)</f>
        <v/>
      </c>
      <c r="N19" s="691" t="str">
        <f>IF(J12=0,"","tons")</f>
        <v/>
      </c>
      <c r="O19" s="692"/>
    </row>
    <row r="20" spans="1:23" s="68" customFormat="1" ht="20.100000000000001" customHeight="1" thickBot="1" x14ac:dyDescent="0.3">
      <c r="A20" s="120"/>
      <c r="B20" s="688" t="s">
        <v>2052</v>
      </c>
      <c r="C20" s="1390" t="s">
        <v>2268</v>
      </c>
      <c r="D20" s="1390"/>
      <c r="E20" s="1390"/>
      <c r="F20" s="1390"/>
      <c r="G20" s="1390"/>
      <c r="H20" s="1390"/>
      <c r="I20" s="1403"/>
      <c r="J20" s="690"/>
      <c r="K20" s="696" t="str">
        <f>IF(J12=0,"","tons")</f>
        <v/>
      </c>
      <c r="O20" s="692"/>
    </row>
    <row r="21" spans="1:23" s="160" customFormat="1" ht="6" customHeight="1" x14ac:dyDescent="0.25">
      <c r="A21" s="697"/>
      <c r="B21" s="697"/>
      <c r="C21" s="697"/>
      <c r="D21" s="697"/>
      <c r="E21" s="697"/>
      <c r="F21" s="697"/>
      <c r="G21" s="697"/>
      <c r="H21" s="697"/>
      <c r="I21" s="697"/>
      <c r="J21" s="697"/>
      <c r="K21" s="697"/>
      <c r="L21" s="697"/>
      <c r="M21" s="697"/>
    </row>
    <row r="22" spans="1:23" s="68" customFormat="1" ht="20.100000000000001" customHeight="1" thickBot="1" x14ac:dyDescent="0.3">
      <c r="A22" s="120"/>
      <c r="B22" s="1453" t="str">
        <f>IF(AND($J$22=0,$K$22=0,$L$22=0),"Proceed to the instructions that follow.","Complete the following set of questions as they apply to your concrete/asphalt SCREENING unit(s).")</f>
        <v>Proceed to the instructions that follow.</v>
      </c>
      <c r="C22" s="1453"/>
      <c r="D22" s="1453"/>
      <c r="E22" s="1453"/>
      <c r="F22" s="1453"/>
      <c r="G22" s="1453"/>
      <c r="H22" s="1453"/>
      <c r="I22" s="1453"/>
      <c r="J22" s="695">
        <f>IF('Table 3-A| Emission Units'!$M$104&gt;0,'Table 3-A| Emission Units'!A104&amp;" - "&amp;'Table 3-A| Emission Units'!B104,0)</f>
        <v>0</v>
      </c>
      <c r="K22" s="695">
        <f>IF('Table 3-A| Emission Units'!$M$105&gt;0,'Table 3-A| Emission Units'!A105&amp;" - "&amp;'Table 3-A| Emission Units'!B105,0)</f>
        <v>0</v>
      </c>
      <c r="L22" s="695">
        <f>IF('Table 3-A| Emission Units'!$M$106&gt;0,'Table 3-A| Emission Units'!A106&amp;" - "&amp;'Table 3-A| Emission Units'!B106,0)</f>
        <v>0</v>
      </c>
      <c r="M22" s="1454" t="str">
        <f>IF(J22=0,"","&lt;&lt; Concrete/Asphalt Screening Units")</f>
        <v/>
      </c>
      <c r="N22" s="1454"/>
      <c r="O22" s="1454"/>
    </row>
    <row r="23" spans="1:23" s="68" customFormat="1" ht="30" customHeight="1" thickBot="1" x14ac:dyDescent="0.3">
      <c r="A23" s="120"/>
      <c r="B23" s="688" t="s">
        <v>2049</v>
      </c>
      <c r="C23" s="1390" t="s">
        <v>2272</v>
      </c>
      <c r="D23" s="1390"/>
      <c r="E23" s="1390"/>
      <c r="F23" s="1390"/>
      <c r="G23" s="1390"/>
      <c r="H23" s="1390"/>
      <c r="I23" s="1403"/>
      <c r="J23" s="689"/>
      <c r="K23" s="689"/>
      <c r="L23" s="689"/>
      <c r="M23" s="1446" t="s">
        <v>2277</v>
      </c>
      <c r="N23" s="1447"/>
      <c r="O23" s="1447"/>
    </row>
    <row r="24" spans="1:23" s="68" customFormat="1" ht="30" customHeight="1" thickBot="1" x14ac:dyDescent="0.3">
      <c r="A24" s="120"/>
      <c r="B24" s="688" t="s">
        <v>2050</v>
      </c>
      <c r="C24" s="1390" t="s">
        <v>2271</v>
      </c>
      <c r="D24" s="1390"/>
      <c r="E24" s="1390"/>
      <c r="F24" s="1390"/>
      <c r="G24" s="1390"/>
      <c r="H24" s="1390"/>
      <c r="I24" s="1403"/>
      <c r="J24" s="689"/>
      <c r="K24" s="689"/>
      <c r="L24" s="689"/>
      <c r="M24" s="1446"/>
      <c r="N24" s="1447"/>
      <c r="O24" s="1447"/>
    </row>
    <row r="25" spans="1:23" s="68" customFormat="1" ht="20.100000000000001" customHeight="1" thickBot="1" x14ac:dyDescent="0.3">
      <c r="A25" s="120"/>
      <c r="B25" s="688" t="s">
        <v>2051</v>
      </c>
      <c r="C25" s="1390" t="s">
        <v>2210</v>
      </c>
      <c r="D25" s="1390"/>
      <c r="E25" s="1390"/>
      <c r="F25" s="1390"/>
      <c r="G25" s="1390"/>
      <c r="H25" s="1390"/>
      <c r="I25" s="1403"/>
      <c r="J25" s="690"/>
      <c r="K25" s="693" t="str">
        <f>IF(J22="","","yards")</f>
        <v>yards</v>
      </c>
      <c r="M25" s="639" t="str">
        <f>IF(ISBLANK(J25),"",J25*1.5)</f>
        <v/>
      </c>
      <c r="N25" s="691" t="str">
        <f>IF(J22="","","tons")</f>
        <v>tons</v>
      </c>
      <c r="O25" s="692"/>
    </row>
    <row r="26" spans="1:23" s="68" customFormat="1" ht="20.100000000000001" customHeight="1" thickBot="1" x14ac:dyDescent="0.3">
      <c r="A26" s="120"/>
      <c r="B26" s="688" t="s">
        <v>2052</v>
      </c>
      <c r="C26" s="1390" t="s">
        <v>2208</v>
      </c>
      <c r="D26" s="1390"/>
      <c r="E26" s="1390"/>
      <c r="F26" s="1390"/>
      <c r="G26" s="1390"/>
      <c r="H26" s="1390"/>
      <c r="I26" s="1403"/>
      <c r="J26" s="690"/>
      <c r="K26" s="696" t="str">
        <f>IF(J22="","","tons")</f>
        <v>tons</v>
      </c>
      <c r="N26" s="692"/>
      <c r="O26" s="692"/>
    </row>
    <row r="27" spans="1:23" s="160" customFormat="1" ht="6" customHeight="1" x14ac:dyDescent="0.25">
      <c r="A27" s="697"/>
      <c r="B27" s="697"/>
      <c r="C27" s="697"/>
      <c r="D27" s="697"/>
      <c r="E27" s="697"/>
      <c r="F27" s="697"/>
      <c r="G27" s="697"/>
      <c r="H27" s="697"/>
      <c r="I27" s="697"/>
      <c r="J27" s="697"/>
      <c r="K27" s="697"/>
      <c r="L27" s="697"/>
      <c r="M27" s="697"/>
    </row>
    <row r="28" spans="1:23" s="68" customFormat="1" ht="20.100000000000001" customHeight="1" thickBot="1" x14ac:dyDescent="0.3">
      <c r="A28" s="1433"/>
      <c r="B28" s="1433"/>
      <c r="C28" s="1433"/>
      <c r="D28" s="1433"/>
      <c r="E28" s="1433"/>
      <c r="F28" s="1433"/>
      <c r="G28" s="1433"/>
      <c r="H28" s="1433"/>
      <c r="I28" s="1433"/>
      <c r="J28" s="1433"/>
      <c r="K28" s="1433"/>
      <c r="L28" s="1433"/>
      <c r="M28" s="1433"/>
      <c r="N28" s="1433"/>
      <c r="O28" s="1433"/>
    </row>
    <row r="29" spans="1:23" s="68" customFormat="1" ht="27.75" customHeight="1" thickBot="1" x14ac:dyDescent="0.3">
      <c r="A29" s="1334" t="s">
        <v>1470</v>
      </c>
      <c r="B29" s="1208"/>
      <c r="C29" s="1208"/>
      <c r="D29" s="1208"/>
      <c r="E29" s="1208"/>
      <c r="F29" s="1208"/>
      <c r="G29" s="1208"/>
      <c r="H29" s="1208"/>
      <c r="I29" s="1208"/>
      <c r="J29" s="1208"/>
      <c r="K29" s="1208"/>
      <c r="L29" s="1208"/>
      <c r="M29" s="1208"/>
      <c r="N29" s="1208"/>
      <c r="O29" s="1335"/>
    </row>
    <row r="30" spans="1:23" s="68" customFormat="1" ht="9" customHeight="1" thickBot="1" x14ac:dyDescent="0.3">
      <c r="A30" s="78"/>
      <c r="B30" s="78"/>
      <c r="C30" s="78"/>
      <c r="D30" s="78"/>
      <c r="E30" s="78"/>
      <c r="F30" s="78"/>
      <c r="G30" s="78"/>
      <c r="H30" s="78"/>
      <c r="I30" s="78"/>
      <c r="J30" s="78"/>
      <c r="K30" s="78"/>
      <c r="L30" s="78"/>
      <c r="M30" s="78"/>
    </row>
    <row r="31" spans="1:23" s="68" customFormat="1" ht="18" customHeight="1" thickBot="1" x14ac:dyDescent="0.3">
      <c r="A31" s="1293" t="s">
        <v>1569</v>
      </c>
      <c r="B31" s="1394"/>
      <c r="C31" s="1394"/>
      <c r="D31" s="1294"/>
      <c r="E31" s="1397"/>
      <c r="F31" s="1398"/>
      <c r="I31" s="1293" t="s">
        <v>1570</v>
      </c>
      <c r="J31" s="1394"/>
      <c r="K31" s="1394"/>
      <c r="L31" s="1394"/>
      <c r="M31" s="1294"/>
      <c r="N31" s="1395">
        <f>$E$31/1025</f>
        <v>0</v>
      </c>
      <c r="O31" s="1396"/>
      <c r="T31" s="48" t="s">
        <v>1880</v>
      </c>
      <c r="V31" s="68" t="s">
        <v>2199</v>
      </c>
      <c r="W31" s="68" t="s">
        <v>1532</v>
      </c>
    </row>
    <row r="32" spans="1:23" s="68" customFormat="1" ht="18" customHeight="1" thickBot="1" x14ac:dyDescent="0.3">
      <c r="A32" s="78"/>
      <c r="B32" s="78"/>
      <c r="C32" s="78"/>
      <c r="D32" s="484"/>
      <c r="E32" s="484"/>
      <c r="F32" s="484"/>
      <c r="I32" s="1293" t="s">
        <v>1571</v>
      </c>
      <c r="J32" s="1394"/>
      <c r="K32" s="1394"/>
      <c r="L32" s="1394"/>
      <c r="M32" s="1294"/>
      <c r="N32" s="1395">
        <f>($E$31*1000000)/(138690*1000)</f>
        <v>0</v>
      </c>
      <c r="O32" s="1396"/>
      <c r="T32" s="48" t="s">
        <v>1881</v>
      </c>
      <c r="V32" s="68" t="s">
        <v>2042</v>
      </c>
      <c r="W32" s="68" t="s">
        <v>2206</v>
      </c>
    </row>
    <row r="33" spans="1:49" s="68" customFormat="1" ht="18" customHeight="1" thickBot="1" x14ac:dyDescent="0.3">
      <c r="A33" s="78"/>
      <c r="B33" s="78"/>
      <c r="C33" s="78"/>
      <c r="D33" s="78"/>
      <c r="E33" s="78"/>
      <c r="F33" s="78"/>
      <c r="I33" s="1293" t="s">
        <v>1572</v>
      </c>
      <c r="J33" s="1394"/>
      <c r="K33" s="1394"/>
      <c r="L33" s="1394"/>
      <c r="M33" s="1294"/>
      <c r="N33" s="1395">
        <f>($E$31*1000000)/(135000*1000)</f>
        <v>0</v>
      </c>
      <c r="O33" s="1396"/>
      <c r="T33" s="48" t="s">
        <v>1882</v>
      </c>
    </row>
    <row r="34" spans="1:49" s="68" customFormat="1" ht="18" customHeight="1" thickBot="1" x14ac:dyDescent="0.3">
      <c r="A34" s="78"/>
      <c r="B34" s="78"/>
      <c r="C34" s="78"/>
      <c r="D34" s="78"/>
      <c r="E34" s="78"/>
      <c r="F34" s="78"/>
      <c r="I34" s="1293" t="s">
        <v>1573</v>
      </c>
      <c r="J34" s="1394"/>
      <c r="K34" s="1394"/>
      <c r="L34" s="1394"/>
      <c r="M34" s="1294"/>
      <c r="N34" s="1395">
        <f>($E$31*1000000)/(125071*1000)</f>
        <v>0</v>
      </c>
      <c r="O34" s="1396"/>
      <c r="T34" s="48" t="s">
        <v>1883</v>
      </c>
    </row>
    <row r="35" spans="1:49" s="68" customFormat="1" ht="18" customHeight="1" thickBot="1" x14ac:dyDescent="0.3">
      <c r="A35" s="78"/>
      <c r="B35" s="78"/>
      <c r="C35" s="78"/>
      <c r="D35" s="78"/>
      <c r="E35" s="78"/>
      <c r="F35" s="78"/>
      <c r="I35" s="1293" t="s">
        <v>1574</v>
      </c>
      <c r="J35" s="1394"/>
      <c r="K35" s="1394"/>
      <c r="L35" s="1394"/>
      <c r="M35" s="1294"/>
      <c r="N35" s="1395">
        <f>($E$31*1000000)/(91333*1000)</f>
        <v>0</v>
      </c>
      <c r="O35" s="1396"/>
      <c r="T35" s="48" t="s">
        <v>1595</v>
      </c>
    </row>
    <row r="36" spans="1:49" s="68" customFormat="1" ht="18" customHeight="1" thickBot="1" x14ac:dyDescent="0.3">
      <c r="A36" s="78"/>
      <c r="B36" s="78"/>
      <c r="C36" s="78"/>
      <c r="D36" s="78"/>
      <c r="E36" s="78"/>
      <c r="F36" s="78"/>
      <c r="I36" s="1293" t="s">
        <v>1575</v>
      </c>
      <c r="J36" s="1394"/>
      <c r="K36" s="1394"/>
      <c r="L36" s="1394"/>
      <c r="M36" s="1294"/>
      <c r="N36" s="1395">
        <f>($E$31*1000000)/(149690*1000)</f>
        <v>0</v>
      </c>
      <c r="O36" s="1396"/>
    </row>
    <row r="37" spans="1:49" s="68" customFormat="1" ht="18" customHeight="1" thickBot="1" x14ac:dyDescent="0.3">
      <c r="A37" s="1293" t="s">
        <v>1577</v>
      </c>
      <c r="B37" s="1394"/>
      <c r="C37" s="1394"/>
      <c r="D37" s="1394"/>
      <c r="E37" s="1394"/>
      <c r="F37" s="1294"/>
      <c r="G37" s="1434"/>
      <c r="H37" s="1435"/>
      <c r="I37" s="1293" t="s">
        <v>1576</v>
      </c>
      <c r="J37" s="1394"/>
      <c r="K37" s="1394"/>
      <c r="L37" s="1394"/>
      <c r="M37" s="1294"/>
      <c r="N37" s="1395">
        <f>IFERROR((($E$31*1000000)/$G$37)/2000,0)</f>
        <v>0</v>
      </c>
      <c r="O37" s="1396"/>
    </row>
    <row r="38" spans="1:49" s="68" customFormat="1" ht="35.1" customHeight="1" thickBot="1" x14ac:dyDescent="0.3">
      <c r="A38" s="1430"/>
      <c r="B38" s="1430"/>
      <c r="C38" s="1430"/>
      <c r="D38" s="1430"/>
      <c r="E38" s="1430"/>
      <c r="F38" s="1430"/>
      <c r="G38" s="1430"/>
      <c r="H38" s="1430"/>
      <c r="I38" s="1430"/>
      <c r="J38" s="1430"/>
      <c r="K38" s="1430"/>
      <c r="L38" s="1430"/>
      <c r="M38" s="1430"/>
      <c r="N38" s="1430"/>
      <c r="O38" s="1430"/>
    </row>
    <row r="39" spans="1:49" s="77" customFormat="1" ht="19.5" thickBot="1" x14ac:dyDescent="0.3">
      <c r="A39" s="1208" t="s">
        <v>1449</v>
      </c>
      <c r="B39" s="1208"/>
      <c r="C39" s="1208"/>
      <c r="D39" s="1208"/>
      <c r="E39" s="1208"/>
      <c r="F39" s="1208"/>
      <c r="G39" s="1208"/>
      <c r="H39" s="1208"/>
      <c r="I39" s="1208"/>
      <c r="J39" s="1208"/>
      <c r="K39" s="1208"/>
      <c r="L39" s="1208"/>
      <c r="M39" s="1208"/>
      <c r="N39" s="1208"/>
      <c r="O39" s="1208"/>
    </row>
    <row r="40" spans="1:49" ht="60" customHeight="1" x14ac:dyDescent="0.25">
      <c r="A40" s="1399"/>
      <c r="B40" s="1399"/>
      <c r="C40" s="1399"/>
      <c r="D40" s="1399"/>
      <c r="E40" s="1399"/>
      <c r="F40" s="1399"/>
      <c r="G40" s="1399"/>
      <c r="H40" s="1399"/>
      <c r="I40" s="1399"/>
      <c r="J40" s="1399"/>
      <c r="K40" s="1399"/>
      <c r="L40" s="1399"/>
      <c r="M40" s="1399"/>
      <c r="N40" s="1399"/>
      <c r="O40" s="1399"/>
    </row>
    <row r="41" spans="1:49" ht="24.95" customHeight="1" x14ac:dyDescent="0.25">
      <c r="A41" s="1436" t="s">
        <v>1431</v>
      </c>
      <c r="B41" s="1436"/>
      <c r="C41" s="1436"/>
      <c r="D41" s="1436"/>
      <c r="E41" s="1436"/>
      <c r="F41" s="1436"/>
      <c r="G41" s="1436"/>
      <c r="H41" s="1436"/>
      <c r="I41" s="1436"/>
      <c r="J41" s="1436"/>
      <c r="K41" s="1436"/>
      <c r="L41" s="1436"/>
      <c r="M41" s="1436"/>
      <c r="N41" s="1436"/>
      <c r="O41" s="1436"/>
    </row>
    <row r="42" spans="1:49" ht="24.95" customHeight="1" thickBot="1" x14ac:dyDescent="0.3">
      <c r="A42" s="988" t="s">
        <v>2347</v>
      </c>
      <c r="B42" s="988"/>
      <c r="C42" s="988"/>
      <c r="D42" s="988"/>
      <c r="E42" s="988"/>
      <c r="F42" s="988"/>
      <c r="G42" s="988"/>
      <c r="H42" s="988"/>
      <c r="I42" s="988"/>
      <c r="J42" s="988"/>
      <c r="K42" s="988"/>
      <c r="L42" s="988"/>
      <c r="M42" s="988"/>
      <c r="N42" s="988"/>
      <c r="O42" s="988"/>
    </row>
    <row r="43" spans="1:49" s="129" customFormat="1" ht="30" customHeight="1" thickBot="1" x14ac:dyDescent="0.3">
      <c r="A43" s="1431" t="s">
        <v>1539</v>
      </c>
      <c r="B43" s="1431"/>
      <c r="C43" s="1431"/>
      <c r="D43" s="1431"/>
      <c r="E43" s="1431"/>
      <c r="F43" s="1431"/>
      <c r="G43" s="1431"/>
      <c r="H43" s="1431"/>
      <c r="I43" s="1431"/>
      <c r="J43" s="1431"/>
      <c r="K43" s="1431"/>
      <c r="L43" s="1431"/>
      <c r="M43" s="1431"/>
      <c r="N43" s="1431"/>
      <c r="O43" s="1431"/>
      <c r="S43" s="1189" t="s">
        <v>2044</v>
      </c>
      <c r="T43" s="1388"/>
      <c r="U43" s="1388"/>
      <c r="V43" s="1388"/>
      <c r="W43" s="1388"/>
      <c r="X43" s="1388"/>
      <c r="Y43" s="1388"/>
      <c r="Z43" s="1388"/>
      <c r="AA43" s="1190"/>
      <c r="AC43" s="1189" t="s">
        <v>2045</v>
      </c>
      <c r="AD43" s="1388"/>
      <c r="AE43" s="1388"/>
      <c r="AF43" s="1388"/>
      <c r="AG43" s="1388"/>
      <c r="AH43" s="1388"/>
      <c r="AI43" s="1388"/>
      <c r="AJ43" s="1388"/>
      <c r="AK43" s="1388"/>
      <c r="AL43" s="1388"/>
      <c r="AM43" s="1388"/>
      <c r="AN43" s="1388"/>
      <c r="AO43" s="1190"/>
      <c r="AR43" s="1189" t="s">
        <v>2278</v>
      </c>
      <c r="AS43" s="1388"/>
      <c r="AT43" s="1388"/>
      <c r="AU43" s="1388"/>
      <c r="AV43" s="1388"/>
      <c r="AW43" s="1190"/>
    </row>
    <row r="44" spans="1:49" ht="45.75" thickBot="1" x14ac:dyDescent="0.3">
      <c r="A44" s="826" t="s">
        <v>1824</v>
      </c>
      <c r="B44" s="827" t="s">
        <v>271</v>
      </c>
      <c r="C44" s="827" t="s">
        <v>1566</v>
      </c>
      <c r="D44" s="827" t="s">
        <v>23</v>
      </c>
      <c r="E44" s="827" t="s">
        <v>1567</v>
      </c>
      <c r="F44" s="827" t="s">
        <v>1884</v>
      </c>
      <c r="G44" s="828" t="s">
        <v>26</v>
      </c>
      <c r="H44" s="829" t="s">
        <v>30</v>
      </c>
      <c r="I44" s="829" t="s">
        <v>3</v>
      </c>
      <c r="J44" s="829" t="s">
        <v>4</v>
      </c>
      <c r="K44" s="829" t="s">
        <v>0</v>
      </c>
      <c r="L44" s="829" t="s">
        <v>5</v>
      </c>
      <c r="M44" s="829" t="s">
        <v>2508</v>
      </c>
      <c r="N44" s="829" t="s">
        <v>24</v>
      </c>
      <c r="O44" s="830" t="s">
        <v>25</v>
      </c>
      <c r="S44" s="578" t="s">
        <v>26</v>
      </c>
      <c r="T44" s="109" t="s">
        <v>30</v>
      </c>
      <c r="U44" s="109" t="s">
        <v>3</v>
      </c>
      <c r="V44" s="109" t="s">
        <v>4</v>
      </c>
      <c r="W44" s="109" t="s">
        <v>0</v>
      </c>
      <c r="X44" s="109" t="s">
        <v>5</v>
      </c>
      <c r="Y44" s="109" t="s">
        <v>2507</v>
      </c>
      <c r="Z44" s="109" t="s">
        <v>24</v>
      </c>
      <c r="AA44" s="110" t="s">
        <v>25</v>
      </c>
      <c r="AC44" s="107" t="s">
        <v>271</v>
      </c>
      <c r="AD44" s="1189" t="s">
        <v>2043</v>
      </c>
      <c r="AE44" s="1388"/>
      <c r="AF44" s="1190"/>
      <c r="AG44" s="578" t="s">
        <v>26</v>
      </c>
      <c r="AH44" s="581" t="s">
        <v>30</v>
      </c>
      <c r="AI44" s="109" t="s">
        <v>3</v>
      </c>
      <c r="AJ44" s="109" t="s">
        <v>4</v>
      </c>
      <c r="AK44" s="109" t="s">
        <v>0</v>
      </c>
      <c r="AL44" s="109" t="s">
        <v>5</v>
      </c>
      <c r="AM44" s="109" t="s">
        <v>2507</v>
      </c>
      <c r="AN44" s="109" t="s">
        <v>24</v>
      </c>
      <c r="AO44" s="110" t="s">
        <v>25</v>
      </c>
      <c r="AR44" s="578"/>
      <c r="AS44" s="706" t="s">
        <v>2279</v>
      </c>
      <c r="AT44" s="707" t="s">
        <v>2281</v>
      </c>
      <c r="AU44" s="707" t="s">
        <v>2282</v>
      </c>
      <c r="AV44" s="707" t="s">
        <v>2283</v>
      </c>
      <c r="AW44" s="708" t="s">
        <v>2284</v>
      </c>
    </row>
    <row r="45" spans="1:49" ht="18" customHeight="1" x14ac:dyDescent="0.25">
      <c r="A45" s="1400" t="str">
        <f>'Table 3-A| Emission Units'!A69:E69</f>
        <v>Crushing/Reclaim Equipment Emission Units</v>
      </c>
      <c r="B45" s="1401"/>
      <c r="C45" s="1401"/>
      <c r="D45" s="1401"/>
      <c r="E45" s="1401"/>
      <c r="F45" s="1401"/>
      <c r="G45" s="1401"/>
      <c r="H45" s="1401"/>
      <c r="I45" s="1401"/>
      <c r="J45" s="1401"/>
      <c r="K45" s="1401"/>
      <c r="L45" s="1401"/>
      <c r="M45" s="1401"/>
      <c r="N45" s="1401"/>
      <c r="O45" s="1402"/>
      <c r="S45" s="1391" t="s">
        <v>2213</v>
      </c>
      <c r="T45" s="1392"/>
      <c r="U45" s="1392"/>
      <c r="V45" s="1392"/>
      <c r="W45" s="1392"/>
      <c r="X45" s="1392"/>
      <c r="Y45" s="1392"/>
      <c r="Z45" s="1392"/>
      <c r="AA45" s="1393"/>
      <c r="AC45" s="66">
        <v>20200102</v>
      </c>
      <c r="AD45" s="68" t="s">
        <v>2195</v>
      </c>
      <c r="AG45" s="579">
        <v>42.5</v>
      </c>
      <c r="AH45" s="579">
        <v>42.5</v>
      </c>
      <c r="AI45" s="580">
        <v>604</v>
      </c>
      <c r="AJ45" s="580">
        <v>39.700000000000003</v>
      </c>
      <c r="AK45" s="580">
        <v>49.3</v>
      </c>
      <c r="AL45" s="580">
        <v>130</v>
      </c>
      <c r="AM45" s="580">
        <v>22600</v>
      </c>
      <c r="AN45" s="580">
        <v>0</v>
      </c>
      <c r="AO45" s="631">
        <v>5.2386381949999993E-4</v>
      </c>
      <c r="AP45" s="539" t="s">
        <v>2249</v>
      </c>
      <c r="AR45" s="709" t="s">
        <v>1638</v>
      </c>
      <c r="AS45" s="702">
        <f>SUM(AT45:AW45)</f>
        <v>3933</v>
      </c>
      <c r="AT45" s="702">
        <v>611</v>
      </c>
      <c r="AU45" s="702">
        <v>1450</v>
      </c>
      <c r="AV45" s="702">
        <v>1600</v>
      </c>
      <c r="AW45" s="703">
        <v>272</v>
      </c>
    </row>
    <row r="46" spans="1:49" ht="18" customHeight="1" thickBot="1" x14ac:dyDescent="0.3">
      <c r="A46" s="302">
        <f>IF(OR('Table 3-A| Emission Units'!$A70=0,'Table 3-A| Emission Units'!$B70=0),0,'Table 3-A| Emission Units'!A70&amp;"-"&amp;'Table 3-A| Emission Units'!B70)</f>
        <v>0</v>
      </c>
      <c r="B46" s="303">
        <f>'Table 3-A| Emission Units'!$C70</f>
        <v>30502031</v>
      </c>
      <c r="C46" s="305">
        <f>IF($A46=$A45,0,$J$5)</f>
        <v>0</v>
      </c>
      <c r="D46" s="242" t="s">
        <v>2042</v>
      </c>
      <c r="E46" s="305">
        <f>IFERROR(IF(A46=0,0,C46*8760),"")</f>
        <v>0</v>
      </c>
      <c r="F46" s="305" t="str">
        <f>IF($A46="","","WebFIRE")</f>
        <v>WebFIRE</v>
      </c>
      <c r="G46" s="387">
        <f t="shared" ref="G46:H61" si="0">IFERROR(IF($A46="","",$E46*S46),"")</f>
        <v>0</v>
      </c>
      <c r="H46" s="388">
        <f t="shared" si="0"/>
        <v>0</v>
      </c>
      <c r="I46" s="388">
        <f t="shared" ref="I46:I62" si="1">IF($A46="","",0)</f>
        <v>0</v>
      </c>
      <c r="J46" s="388">
        <f t="shared" ref="J46:O61" si="2">IF($A46="","",0)</f>
        <v>0</v>
      </c>
      <c r="K46" s="388">
        <f t="shared" si="2"/>
        <v>0</v>
      </c>
      <c r="L46" s="388">
        <f t="shared" si="2"/>
        <v>0</v>
      </c>
      <c r="M46" s="388">
        <f t="shared" si="2"/>
        <v>0</v>
      </c>
      <c r="N46" s="388">
        <f t="shared" si="2"/>
        <v>0</v>
      </c>
      <c r="O46" s="389">
        <f>IF($A46="","",0)</f>
        <v>0</v>
      </c>
      <c r="S46" s="582">
        <f t="shared" ref="S46:S78" si="3">VLOOKUP($B46,$AC$45:$AO$67,5,FALSE)</f>
        <v>1.5999999999999999E-5</v>
      </c>
      <c r="T46" s="580">
        <f t="shared" ref="T46:T78" si="4">VLOOKUP($B46,$AC$45:$AO$67,6,FALSE)</f>
        <v>2.88E-6</v>
      </c>
      <c r="U46" s="580">
        <f t="shared" ref="U46:U78" si="5">VLOOKUP($B46,$AC$45:$AO$67,7,FALSE)</f>
        <v>0</v>
      </c>
      <c r="V46" s="580">
        <f t="shared" ref="V46:V78" si="6">VLOOKUP($B46,$AC$45:$AO$67,8,FALSE)</f>
        <v>0</v>
      </c>
      <c r="W46" s="580">
        <f t="shared" ref="W46:W78" si="7">VLOOKUP($B46,$AC$45:$AO$67,9,FALSE)</f>
        <v>0</v>
      </c>
      <c r="X46" s="580">
        <f t="shared" ref="X46:X78" si="8">VLOOKUP($B46,$AC$45:$AO$67,10,FALSE)</f>
        <v>0</v>
      </c>
      <c r="Y46" s="580">
        <f t="shared" ref="Y46:Y78" si="9">VLOOKUP($B46,$AC$45:$AO$67,11,FALSE)</f>
        <v>0</v>
      </c>
      <c r="Z46" s="580">
        <f t="shared" ref="Z46:Z78" si="10">VLOOKUP($B46,$AC$45:$AO$67,12,FALSE)</f>
        <v>0</v>
      </c>
      <c r="AA46" s="583">
        <f t="shared" ref="AA46:AA78" si="11">VLOOKUP($B46,$AC$45:$AO$67,13,FALSE)</f>
        <v>0</v>
      </c>
      <c r="AC46" s="66">
        <v>20200253</v>
      </c>
      <c r="AD46" s="68" t="s">
        <v>2196</v>
      </c>
      <c r="AG46" s="580">
        <v>19.8</v>
      </c>
      <c r="AH46" s="580">
        <v>19.8</v>
      </c>
      <c r="AI46" s="580">
        <v>2315.4</v>
      </c>
      <c r="AJ46" s="580">
        <v>0.6</v>
      </c>
      <c r="AK46" s="580">
        <v>30.19</v>
      </c>
      <c r="AL46" s="580">
        <v>3794.4</v>
      </c>
      <c r="AM46" s="580">
        <v>118065</v>
      </c>
      <c r="AN46" s="580">
        <v>0</v>
      </c>
      <c r="AO46" s="580">
        <v>33.01</v>
      </c>
      <c r="AP46" s="539" t="s">
        <v>2250</v>
      </c>
      <c r="AR46" s="710" t="s">
        <v>2280</v>
      </c>
      <c r="AS46" s="704">
        <f>SUM(AT46:AW46)</f>
        <v>0.99999999999999989</v>
      </c>
      <c r="AT46" s="704">
        <f>AT45/AS45</f>
        <v>0.15535214848715992</v>
      </c>
      <c r="AU46" s="704">
        <f>AU45/AS45</f>
        <v>0.3686753114670735</v>
      </c>
      <c r="AV46" s="704">
        <f>AV45/AS45</f>
        <v>0.4068141367912535</v>
      </c>
      <c r="AW46" s="705">
        <f>AW45/AS45</f>
        <v>6.9158403254513098E-2</v>
      </c>
    </row>
    <row r="47" spans="1:49" ht="18" customHeight="1" x14ac:dyDescent="0.25">
      <c r="A47" s="302">
        <f>IF(OR('Table 3-A| Emission Units'!$A71=0,'Table 3-A| Emission Units'!$B71=0),0,'Table 3-A| Emission Units'!A71&amp;"-"&amp;'Table 3-A| Emission Units'!B71)</f>
        <v>0</v>
      </c>
      <c r="B47" s="303">
        <f>'Table 3-A| Emission Units'!$C71</f>
        <v>30501123</v>
      </c>
      <c r="C47" s="305">
        <f t="shared" ref="C47:C56" si="12">IF($A47=$A46,0,$J$5)</f>
        <v>0</v>
      </c>
      <c r="D47" s="242" t="s">
        <v>2042</v>
      </c>
      <c r="E47" s="305">
        <f t="shared" ref="E47:E78" si="13">IFERROR(IF(A47=0,0,C47*8760),"")</f>
        <v>0</v>
      </c>
      <c r="F47" s="305" t="str">
        <f>IF($A47="","","WebFIRE")</f>
        <v>WebFIRE</v>
      </c>
      <c r="G47" s="387">
        <f t="shared" si="0"/>
        <v>0</v>
      </c>
      <c r="H47" s="388">
        <f t="shared" si="0"/>
        <v>0</v>
      </c>
      <c r="I47" s="388">
        <f t="shared" si="1"/>
        <v>0</v>
      </c>
      <c r="J47" s="388">
        <f t="shared" si="2"/>
        <v>0</v>
      </c>
      <c r="K47" s="388">
        <f t="shared" si="2"/>
        <v>0</v>
      </c>
      <c r="L47" s="388">
        <f t="shared" si="2"/>
        <v>0</v>
      </c>
      <c r="M47" s="388">
        <f t="shared" si="2"/>
        <v>0</v>
      </c>
      <c r="N47" s="388">
        <f t="shared" si="2"/>
        <v>0</v>
      </c>
      <c r="O47" s="389">
        <f t="shared" si="2"/>
        <v>0</v>
      </c>
      <c r="S47" s="582">
        <f t="shared" si="3"/>
        <v>3.3E-3</v>
      </c>
      <c r="T47" s="580">
        <f t="shared" si="4"/>
        <v>5.9400000000000002E-4</v>
      </c>
      <c r="U47" s="580">
        <f t="shared" si="5"/>
        <v>0</v>
      </c>
      <c r="V47" s="580">
        <f t="shared" si="6"/>
        <v>0</v>
      </c>
      <c r="W47" s="580">
        <f t="shared" si="7"/>
        <v>0</v>
      </c>
      <c r="X47" s="580">
        <f t="shared" si="8"/>
        <v>0</v>
      </c>
      <c r="Y47" s="580">
        <f t="shared" si="9"/>
        <v>0</v>
      </c>
      <c r="Z47" s="580">
        <f t="shared" si="10"/>
        <v>0</v>
      </c>
      <c r="AA47" s="583">
        <f t="shared" si="11"/>
        <v>0</v>
      </c>
      <c r="AC47" s="66">
        <v>20200254</v>
      </c>
      <c r="AD47" s="68" t="s">
        <v>2197</v>
      </c>
      <c r="AG47" s="580">
        <v>10.19</v>
      </c>
      <c r="AH47" s="580">
        <v>10.19</v>
      </c>
      <c r="AI47" s="580">
        <v>4161.6000000000004</v>
      </c>
      <c r="AJ47" s="580">
        <v>0.6</v>
      </c>
      <c r="AK47" s="580">
        <v>120.36</v>
      </c>
      <c r="AL47" s="580">
        <v>568.14</v>
      </c>
      <c r="AM47" s="580">
        <v>144075</v>
      </c>
      <c r="AN47" s="580">
        <v>0</v>
      </c>
      <c r="AO47" s="580">
        <v>73.63</v>
      </c>
      <c r="AP47" s="539" t="s">
        <v>2250</v>
      </c>
    </row>
    <row r="48" spans="1:49" ht="18" customHeight="1" x14ac:dyDescent="0.25">
      <c r="A48" s="302">
        <f>IF(OR('Table 3-A| Emission Units'!$A72=0,'Table 3-A| Emission Units'!$B72=0),0,'Table 3-A| Emission Units'!A72&amp;"-"&amp;'Table 3-A| Emission Units'!B72)</f>
        <v>0</v>
      </c>
      <c r="B48" s="303">
        <f>'Table 3-A| Emission Units'!$C72</f>
        <v>30501123</v>
      </c>
      <c r="C48" s="305">
        <f t="shared" si="12"/>
        <v>0</v>
      </c>
      <c r="D48" s="242" t="s">
        <v>2042</v>
      </c>
      <c r="E48" s="305">
        <f t="shared" si="13"/>
        <v>0</v>
      </c>
      <c r="F48" s="305" t="s">
        <v>1885</v>
      </c>
      <c r="G48" s="387">
        <f t="shared" si="0"/>
        <v>0</v>
      </c>
      <c r="H48" s="388">
        <f t="shared" si="0"/>
        <v>0</v>
      </c>
      <c r="I48" s="388">
        <f t="shared" si="1"/>
        <v>0</v>
      </c>
      <c r="J48" s="388">
        <f t="shared" si="2"/>
        <v>0</v>
      </c>
      <c r="K48" s="388">
        <f t="shared" si="2"/>
        <v>0</v>
      </c>
      <c r="L48" s="388">
        <f t="shared" si="2"/>
        <v>0</v>
      </c>
      <c r="M48" s="388">
        <f t="shared" si="2"/>
        <v>0</v>
      </c>
      <c r="N48" s="388">
        <f t="shared" si="2"/>
        <v>0</v>
      </c>
      <c r="O48" s="389">
        <f t="shared" si="2"/>
        <v>0</v>
      </c>
      <c r="S48" s="582">
        <f t="shared" si="3"/>
        <v>3.3E-3</v>
      </c>
      <c r="T48" s="580">
        <f t="shared" si="4"/>
        <v>5.9400000000000002E-4</v>
      </c>
      <c r="U48" s="580">
        <f t="shared" si="5"/>
        <v>0</v>
      </c>
      <c r="V48" s="580">
        <f t="shared" si="6"/>
        <v>0</v>
      </c>
      <c r="W48" s="580">
        <f t="shared" si="7"/>
        <v>0</v>
      </c>
      <c r="X48" s="580">
        <f t="shared" si="8"/>
        <v>0</v>
      </c>
      <c r="Y48" s="580">
        <f t="shared" si="9"/>
        <v>0</v>
      </c>
      <c r="Z48" s="580">
        <f t="shared" si="10"/>
        <v>0</v>
      </c>
      <c r="AA48" s="583">
        <f t="shared" si="11"/>
        <v>0</v>
      </c>
      <c r="AC48" s="66">
        <v>20200301</v>
      </c>
      <c r="AD48" s="68" t="s">
        <v>2198</v>
      </c>
      <c r="AG48" s="580">
        <v>12.6</v>
      </c>
      <c r="AH48" s="580">
        <v>12.6</v>
      </c>
      <c r="AI48" s="580">
        <v>205</v>
      </c>
      <c r="AJ48" s="580">
        <v>10.6</v>
      </c>
      <c r="AK48" s="580">
        <v>382</v>
      </c>
      <c r="AL48" s="580">
        <v>7900</v>
      </c>
      <c r="AM48" s="580">
        <v>19500</v>
      </c>
      <c r="AN48" s="580">
        <v>0</v>
      </c>
      <c r="AO48" s="580">
        <v>0.01</v>
      </c>
      <c r="AP48" s="539" t="s">
        <v>2249</v>
      </c>
    </row>
    <row r="49" spans="1:42" ht="18" customHeight="1" x14ac:dyDescent="0.25">
      <c r="A49" s="302">
        <f>IF(OR('Table 3-A| Emission Units'!$A73=0,'Table 3-A| Emission Units'!$B73=0),0,'Table 3-A| Emission Units'!A73&amp;"-"&amp;'Table 3-A| Emission Units'!B73)</f>
        <v>0</v>
      </c>
      <c r="B49" s="303">
        <f>'Table 3-A| Emission Units'!$C73</f>
        <v>30502001</v>
      </c>
      <c r="C49" s="305">
        <f t="shared" si="12"/>
        <v>0</v>
      </c>
      <c r="D49" s="242" t="s">
        <v>2042</v>
      </c>
      <c r="E49" s="305">
        <f t="shared" si="13"/>
        <v>0</v>
      </c>
      <c r="F49" s="305" t="s">
        <v>1885</v>
      </c>
      <c r="G49" s="387">
        <f t="shared" si="0"/>
        <v>0</v>
      </c>
      <c r="H49" s="388">
        <f t="shared" si="0"/>
        <v>0</v>
      </c>
      <c r="I49" s="388">
        <f t="shared" si="1"/>
        <v>0</v>
      </c>
      <c r="J49" s="388">
        <f t="shared" si="2"/>
        <v>0</v>
      </c>
      <c r="K49" s="388">
        <f t="shared" si="2"/>
        <v>0</v>
      </c>
      <c r="L49" s="388">
        <f t="shared" si="2"/>
        <v>0</v>
      </c>
      <c r="M49" s="388">
        <f t="shared" si="2"/>
        <v>0</v>
      </c>
      <c r="N49" s="388">
        <f t="shared" si="2"/>
        <v>0</v>
      </c>
      <c r="O49" s="389">
        <f t="shared" si="2"/>
        <v>0</v>
      </c>
      <c r="S49" s="582">
        <f t="shared" si="3"/>
        <v>2.3999999999999998E-3</v>
      </c>
      <c r="T49" s="580">
        <f t="shared" si="4"/>
        <v>4.3199999999999993E-4</v>
      </c>
      <c r="U49" s="580">
        <f t="shared" si="5"/>
        <v>0</v>
      </c>
      <c r="V49" s="580">
        <f t="shared" si="6"/>
        <v>0</v>
      </c>
      <c r="W49" s="580">
        <f t="shared" si="7"/>
        <v>0</v>
      </c>
      <c r="X49" s="580">
        <f t="shared" si="8"/>
        <v>0</v>
      </c>
      <c r="Y49" s="580">
        <f t="shared" si="9"/>
        <v>0</v>
      </c>
      <c r="Z49" s="580">
        <f t="shared" si="10"/>
        <v>0</v>
      </c>
      <c r="AA49" s="583">
        <f t="shared" si="11"/>
        <v>0</v>
      </c>
      <c r="AC49" s="66">
        <v>20200401</v>
      </c>
      <c r="AD49" s="68" t="s">
        <v>2194</v>
      </c>
      <c r="AG49" s="580">
        <v>7.85</v>
      </c>
      <c r="AH49" s="580">
        <v>7.55</v>
      </c>
      <c r="AI49" s="580">
        <v>438</v>
      </c>
      <c r="AJ49" s="580">
        <f>138*0.05</f>
        <v>6.9</v>
      </c>
      <c r="AK49" s="580">
        <v>11.5</v>
      </c>
      <c r="AL49" s="580">
        <v>116</v>
      </c>
      <c r="AM49" s="632">
        <f>22600+(1.11*25)</f>
        <v>22627.75</v>
      </c>
      <c r="AN49" s="580">
        <v>0</v>
      </c>
      <c r="AO49" s="631">
        <v>2.0509352100000003E-4</v>
      </c>
      <c r="AP49" s="539" t="s">
        <v>2249</v>
      </c>
    </row>
    <row r="50" spans="1:42" ht="18" customHeight="1" x14ac:dyDescent="0.25">
      <c r="A50" s="302">
        <f>IF(OR('Table 3-A| Emission Units'!$A74=0,'Table 3-A| Emission Units'!$B74=0),0,'Table 3-A| Emission Units'!A74&amp;"-"&amp;'Table 3-A| Emission Units'!B74)</f>
        <v>0</v>
      </c>
      <c r="B50" s="303">
        <f>'Table 3-A| Emission Units'!$C74</f>
        <v>30502003</v>
      </c>
      <c r="C50" s="305">
        <f t="shared" si="12"/>
        <v>0</v>
      </c>
      <c r="D50" s="242" t="s">
        <v>2042</v>
      </c>
      <c r="E50" s="305">
        <f t="shared" si="13"/>
        <v>0</v>
      </c>
      <c r="F50" s="305" t="s">
        <v>1885</v>
      </c>
      <c r="G50" s="387">
        <f t="shared" si="0"/>
        <v>0</v>
      </c>
      <c r="H50" s="388">
        <f t="shared" si="0"/>
        <v>0</v>
      </c>
      <c r="I50" s="388">
        <f t="shared" si="1"/>
        <v>0</v>
      </c>
      <c r="J50" s="388">
        <f t="shared" si="2"/>
        <v>0</v>
      </c>
      <c r="K50" s="388">
        <f t="shared" si="2"/>
        <v>0</v>
      </c>
      <c r="L50" s="388">
        <f t="shared" si="2"/>
        <v>0</v>
      </c>
      <c r="M50" s="388">
        <f t="shared" si="2"/>
        <v>0</v>
      </c>
      <c r="N50" s="388">
        <f t="shared" si="2"/>
        <v>0</v>
      </c>
      <c r="O50" s="389">
        <f t="shared" si="2"/>
        <v>0</v>
      </c>
      <c r="S50" s="582">
        <f t="shared" si="3"/>
        <v>8.6999999999999994E-3</v>
      </c>
      <c r="T50" s="580">
        <f t="shared" si="4"/>
        <v>1.5659999999999999E-3</v>
      </c>
      <c r="U50" s="580">
        <f t="shared" si="5"/>
        <v>0</v>
      </c>
      <c r="V50" s="580">
        <f t="shared" si="6"/>
        <v>0</v>
      </c>
      <c r="W50" s="580">
        <f t="shared" si="7"/>
        <v>0</v>
      </c>
      <c r="X50" s="580">
        <f t="shared" si="8"/>
        <v>0</v>
      </c>
      <c r="Y50" s="580">
        <f t="shared" si="9"/>
        <v>0</v>
      </c>
      <c r="Z50" s="580">
        <f t="shared" si="10"/>
        <v>0</v>
      </c>
      <c r="AA50" s="583">
        <f t="shared" si="11"/>
        <v>0</v>
      </c>
      <c r="AC50" s="66">
        <v>30501104</v>
      </c>
      <c r="AD50" s="68" t="s">
        <v>2287</v>
      </c>
      <c r="AG50" s="631">
        <v>3.3E-3</v>
      </c>
      <c r="AH50" s="631">
        <v>5.9400000000000002E-4</v>
      </c>
      <c r="AI50" s="580">
        <v>0</v>
      </c>
      <c r="AJ50" s="580">
        <v>0</v>
      </c>
      <c r="AK50" s="580">
        <v>0</v>
      </c>
      <c r="AL50" s="580">
        <v>0</v>
      </c>
      <c r="AM50" s="632">
        <v>0</v>
      </c>
      <c r="AN50" s="580">
        <v>0</v>
      </c>
      <c r="AO50" s="631">
        <v>0</v>
      </c>
      <c r="AP50" s="539" t="s">
        <v>2251</v>
      </c>
    </row>
    <row r="51" spans="1:42" ht="18" customHeight="1" x14ac:dyDescent="0.25">
      <c r="A51" s="302">
        <f>IF(OR('Table 3-A| Emission Units'!$A75=0,'Table 3-A| Emission Units'!$B75=0),0,'Table 3-A| Emission Units'!A75&amp;"-"&amp;'Table 3-A| Emission Units'!B75)</f>
        <v>0</v>
      </c>
      <c r="B51" s="303">
        <f>'Table 3-A| Emission Units'!$C75</f>
        <v>30502006</v>
      </c>
      <c r="C51" s="305">
        <f>IF($A51=$A50,0,$J$5*0.05)</f>
        <v>0</v>
      </c>
      <c r="D51" s="242" t="s">
        <v>2042</v>
      </c>
      <c r="E51" s="305">
        <f t="shared" si="13"/>
        <v>0</v>
      </c>
      <c r="F51" s="305" t="s">
        <v>1885</v>
      </c>
      <c r="G51" s="387">
        <f>IFERROR(IF($A51="","",$E51*S51),"")</f>
        <v>0</v>
      </c>
      <c r="H51" s="388">
        <f t="shared" si="0"/>
        <v>0</v>
      </c>
      <c r="I51" s="388">
        <f t="shared" si="1"/>
        <v>0</v>
      </c>
      <c r="J51" s="388">
        <f t="shared" si="2"/>
        <v>0</v>
      </c>
      <c r="K51" s="388">
        <f t="shared" si="2"/>
        <v>0</v>
      </c>
      <c r="L51" s="388">
        <f t="shared" si="2"/>
        <v>0</v>
      </c>
      <c r="M51" s="388">
        <f t="shared" si="2"/>
        <v>0</v>
      </c>
      <c r="N51" s="388">
        <f t="shared" si="2"/>
        <v>0</v>
      </c>
      <c r="O51" s="389">
        <f t="shared" si="2"/>
        <v>0</v>
      </c>
      <c r="S51" s="582">
        <f t="shared" si="3"/>
        <v>1.1000000000000001E-3</v>
      </c>
      <c r="T51" s="580">
        <f t="shared" si="4"/>
        <v>1.9800000000000002E-4</v>
      </c>
      <c r="U51" s="580">
        <f t="shared" si="5"/>
        <v>0</v>
      </c>
      <c r="V51" s="580">
        <f t="shared" si="6"/>
        <v>0</v>
      </c>
      <c r="W51" s="580">
        <f t="shared" si="7"/>
        <v>0</v>
      </c>
      <c r="X51" s="580">
        <f t="shared" si="8"/>
        <v>0</v>
      </c>
      <c r="Y51" s="580">
        <f t="shared" si="9"/>
        <v>0</v>
      </c>
      <c r="Z51" s="580">
        <f t="shared" si="10"/>
        <v>0</v>
      </c>
      <c r="AA51" s="583">
        <f t="shared" si="11"/>
        <v>0</v>
      </c>
      <c r="AC51" s="66">
        <v>30501105</v>
      </c>
      <c r="AD51" s="68" t="s">
        <v>2288</v>
      </c>
      <c r="AG51" s="631">
        <v>9.8999999999999999E-4</v>
      </c>
      <c r="AH51" s="631">
        <v>1.7799999999999999E-4</v>
      </c>
      <c r="AI51" s="580">
        <v>0</v>
      </c>
      <c r="AJ51" s="580">
        <v>0</v>
      </c>
      <c r="AK51" s="580">
        <v>0</v>
      </c>
      <c r="AL51" s="580">
        <v>0</v>
      </c>
      <c r="AM51" s="632">
        <v>0</v>
      </c>
      <c r="AN51" s="580">
        <v>0</v>
      </c>
      <c r="AO51" s="631">
        <v>0</v>
      </c>
      <c r="AP51" s="539" t="s">
        <v>2251</v>
      </c>
    </row>
    <row r="52" spans="1:42" ht="18" customHeight="1" x14ac:dyDescent="0.25">
      <c r="A52" s="302">
        <f>IF(OR('Table 3-A| Emission Units'!$A76=0,'Table 3-A| Emission Units'!$B76=0),0,'Table 3-A| Emission Units'!A76&amp;"-"&amp;'Table 3-A| Emission Units'!B76)</f>
        <v>0</v>
      </c>
      <c r="B52" s="303">
        <f>'Table 3-A| Emission Units'!$C76</f>
        <v>30501123</v>
      </c>
      <c r="C52" s="305">
        <f>IF($A52=$A51,0,$J$5*0.05)</f>
        <v>0</v>
      </c>
      <c r="D52" s="242" t="s">
        <v>2042</v>
      </c>
      <c r="E52" s="305">
        <f t="shared" si="13"/>
        <v>0</v>
      </c>
      <c r="F52" s="305" t="s">
        <v>1885</v>
      </c>
      <c r="G52" s="387">
        <f t="shared" si="0"/>
        <v>0</v>
      </c>
      <c r="H52" s="388">
        <f t="shared" si="0"/>
        <v>0</v>
      </c>
      <c r="I52" s="388">
        <f t="shared" si="1"/>
        <v>0</v>
      </c>
      <c r="J52" s="388">
        <f t="shared" si="2"/>
        <v>0</v>
      </c>
      <c r="K52" s="388">
        <f t="shared" si="2"/>
        <v>0</v>
      </c>
      <c r="L52" s="388">
        <f t="shared" si="2"/>
        <v>0</v>
      </c>
      <c r="M52" s="388">
        <f t="shared" si="2"/>
        <v>0</v>
      </c>
      <c r="N52" s="388">
        <f t="shared" si="2"/>
        <v>0</v>
      </c>
      <c r="O52" s="389">
        <f t="shared" si="2"/>
        <v>0</v>
      </c>
      <c r="S52" s="582">
        <f t="shared" si="3"/>
        <v>3.3E-3</v>
      </c>
      <c r="T52" s="580">
        <f t="shared" si="4"/>
        <v>5.9400000000000002E-4</v>
      </c>
      <c r="U52" s="580">
        <f t="shared" si="5"/>
        <v>0</v>
      </c>
      <c r="V52" s="580">
        <f t="shared" si="6"/>
        <v>0</v>
      </c>
      <c r="W52" s="580">
        <f t="shared" si="7"/>
        <v>0</v>
      </c>
      <c r="X52" s="580">
        <f t="shared" si="8"/>
        <v>0</v>
      </c>
      <c r="Y52" s="580">
        <f t="shared" si="9"/>
        <v>0</v>
      </c>
      <c r="Z52" s="580">
        <f t="shared" si="10"/>
        <v>0</v>
      </c>
      <c r="AA52" s="583">
        <f t="shared" si="11"/>
        <v>0</v>
      </c>
      <c r="AC52" s="66">
        <v>30501107</v>
      </c>
      <c r="AD52" s="68" t="s">
        <v>2289</v>
      </c>
      <c r="AG52" s="631">
        <v>0.46</v>
      </c>
      <c r="AH52" s="631">
        <v>8.2799999999999999E-2</v>
      </c>
      <c r="AI52" s="580">
        <v>0</v>
      </c>
      <c r="AJ52" s="580">
        <v>0</v>
      </c>
      <c r="AK52" s="580">
        <v>0</v>
      </c>
      <c r="AL52" s="580">
        <v>0</v>
      </c>
      <c r="AM52" s="632">
        <v>0</v>
      </c>
      <c r="AN52" s="580">
        <v>0</v>
      </c>
      <c r="AO52" s="631">
        <v>0</v>
      </c>
      <c r="AP52" s="539" t="s">
        <v>2251</v>
      </c>
    </row>
    <row r="53" spans="1:42" ht="18" customHeight="1" x14ac:dyDescent="0.25">
      <c r="A53" s="302">
        <f>IF(OR('Table 3-A| Emission Units'!$A77=0,'Table 3-A| Emission Units'!$B77=0),0,'Table 3-A| Emission Units'!A77&amp;"-"&amp;'Table 3-A| Emission Units'!B77)</f>
        <v>0</v>
      </c>
      <c r="B53" s="303">
        <f>'Table 3-A| Emission Units'!$C77</f>
        <v>30502002</v>
      </c>
      <c r="C53" s="305">
        <f>IF($A53=$A52,0,$J$5*0.05)</f>
        <v>0</v>
      </c>
      <c r="D53" s="242" t="s">
        <v>2042</v>
      </c>
      <c r="E53" s="305">
        <f t="shared" si="13"/>
        <v>0</v>
      </c>
      <c r="F53" s="305" t="s">
        <v>1885</v>
      </c>
      <c r="G53" s="387">
        <f t="shared" si="0"/>
        <v>0</v>
      </c>
      <c r="H53" s="388">
        <f t="shared" si="0"/>
        <v>0</v>
      </c>
      <c r="I53" s="388">
        <f t="shared" si="1"/>
        <v>0</v>
      </c>
      <c r="J53" s="388">
        <f t="shared" si="2"/>
        <v>0</v>
      </c>
      <c r="K53" s="388">
        <f t="shared" si="2"/>
        <v>0</v>
      </c>
      <c r="L53" s="388">
        <f t="shared" si="2"/>
        <v>0</v>
      </c>
      <c r="M53" s="388">
        <f t="shared" si="2"/>
        <v>0</v>
      </c>
      <c r="N53" s="388">
        <f t="shared" si="2"/>
        <v>0</v>
      </c>
      <c r="O53" s="389">
        <f t="shared" si="2"/>
        <v>0</v>
      </c>
      <c r="S53" s="582">
        <f t="shared" si="3"/>
        <v>2.3999999999999998E-3</v>
      </c>
      <c r="T53" s="580">
        <f t="shared" si="4"/>
        <v>4.3199999999999993E-4</v>
      </c>
      <c r="U53" s="580">
        <f t="shared" si="5"/>
        <v>0</v>
      </c>
      <c r="V53" s="580">
        <f t="shared" si="6"/>
        <v>0</v>
      </c>
      <c r="W53" s="580">
        <f t="shared" si="7"/>
        <v>0</v>
      </c>
      <c r="X53" s="580">
        <f t="shared" si="8"/>
        <v>0</v>
      </c>
      <c r="Y53" s="580">
        <f t="shared" si="9"/>
        <v>0</v>
      </c>
      <c r="Z53" s="580">
        <f t="shared" si="10"/>
        <v>0</v>
      </c>
      <c r="AA53" s="583">
        <f t="shared" si="11"/>
        <v>0</v>
      </c>
      <c r="AC53" s="66">
        <v>30501108</v>
      </c>
      <c r="AD53" s="68" t="s">
        <v>2290</v>
      </c>
      <c r="AG53" s="631">
        <v>2.3999999999999998E-3</v>
      </c>
      <c r="AH53" s="631">
        <v>4.3199999999999998E-4</v>
      </c>
      <c r="AI53" s="580">
        <v>0</v>
      </c>
      <c r="AJ53" s="580">
        <v>0</v>
      </c>
      <c r="AK53" s="580">
        <v>0</v>
      </c>
      <c r="AL53" s="580">
        <v>0</v>
      </c>
      <c r="AM53" s="632">
        <v>0</v>
      </c>
      <c r="AN53" s="580">
        <v>0</v>
      </c>
      <c r="AO53" s="631">
        <v>0</v>
      </c>
      <c r="AP53" s="539" t="s">
        <v>2251</v>
      </c>
    </row>
    <row r="54" spans="1:42" ht="18" customHeight="1" x14ac:dyDescent="0.25">
      <c r="A54" s="302">
        <f>IF(OR('Table 3-A| Emission Units'!$A78=0,'Table 3-A| Emission Units'!$B78=0),0,'Table 3-A| Emission Units'!A78&amp;"-"&amp;'Table 3-A| Emission Units'!B78)</f>
        <v>0</v>
      </c>
      <c r="B54" s="303">
        <f>'Table 3-A| Emission Units'!$C78</f>
        <v>30502006</v>
      </c>
      <c r="C54" s="305">
        <f t="shared" si="12"/>
        <v>0</v>
      </c>
      <c r="D54" s="242" t="s">
        <v>2042</v>
      </c>
      <c r="E54" s="305">
        <f t="shared" si="13"/>
        <v>0</v>
      </c>
      <c r="F54" s="305" t="s">
        <v>1885</v>
      </c>
      <c r="G54" s="387">
        <f t="shared" si="0"/>
        <v>0</v>
      </c>
      <c r="H54" s="388">
        <f t="shared" si="0"/>
        <v>0</v>
      </c>
      <c r="I54" s="388">
        <f t="shared" si="1"/>
        <v>0</v>
      </c>
      <c r="J54" s="388">
        <f t="shared" si="2"/>
        <v>0</v>
      </c>
      <c r="K54" s="388">
        <f t="shared" si="2"/>
        <v>0</v>
      </c>
      <c r="L54" s="388">
        <f t="shared" si="2"/>
        <v>0</v>
      </c>
      <c r="M54" s="388">
        <f t="shared" si="2"/>
        <v>0</v>
      </c>
      <c r="N54" s="388">
        <f t="shared" si="2"/>
        <v>0</v>
      </c>
      <c r="O54" s="389">
        <f t="shared" si="2"/>
        <v>0</v>
      </c>
      <c r="S54" s="582">
        <f t="shared" si="3"/>
        <v>1.1000000000000001E-3</v>
      </c>
      <c r="T54" s="580">
        <f t="shared" si="4"/>
        <v>1.9800000000000002E-4</v>
      </c>
      <c r="U54" s="580">
        <f t="shared" si="5"/>
        <v>0</v>
      </c>
      <c r="V54" s="580">
        <f t="shared" si="6"/>
        <v>0</v>
      </c>
      <c r="W54" s="580">
        <f t="shared" si="7"/>
        <v>0</v>
      </c>
      <c r="X54" s="580">
        <f t="shared" si="8"/>
        <v>0</v>
      </c>
      <c r="Y54" s="580">
        <f t="shared" si="9"/>
        <v>0</v>
      </c>
      <c r="Z54" s="580">
        <f t="shared" si="10"/>
        <v>0</v>
      </c>
      <c r="AA54" s="583">
        <f t="shared" si="11"/>
        <v>0</v>
      </c>
      <c r="AC54" s="66">
        <v>30501109</v>
      </c>
      <c r="AD54" s="68" t="s">
        <v>2291</v>
      </c>
      <c r="AG54" s="631">
        <v>0.156</v>
      </c>
      <c r="AH54" s="631">
        <v>2.81E-2</v>
      </c>
      <c r="AI54" s="580">
        <v>0</v>
      </c>
      <c r="AJ54" s="580">
        <v>0</v>
      </c>
      <c r="AK54" s="580">
        <v>0</v>
      </c>
      <c r="AL54" s="580">
        <v>0</v>
      </c>
      <c r="AM54" s="632">
        <v>0</v>
      </c>
      <c r="AN54" s="580">
        <v>0</v>
      </c>
      <c r="AO54" s="631">
        <v>0</v>
      </c>
      <c r="AP54" s="539" t="s">
        <v>2251</v>
      </c>
    </row>
    <row r="55" spans="1:42" ht="18" customHeight="1" x14ac:dyDescent="0.25">
      <c r="A55" s="302">
        <f>IF(OR('Table 3-A| Emission Units'!$A79=0,'Table 3-A| Emission Units'!$B79=0),0,'Table 3-A| Emission Units'!A79&amp;"-"&amp;'Table 3-A| Emission Units'!B79)</f>
        <v>0</v>
      </c>
      <c r="B55" s="303">
        <f>'Table 3-A| Emission Units'!$C79</f>
        <v>30501123</v>
      </c>
      <c r="C55" s="305">
        <f t="shared" si="12"/>
        <v>0</v>
      </c>
      <c r="D55" s="242" t="s">
        <v>2042</v>
      </c>
      <c r="E55" s="305">
        <f t="shared" si="13"/>
        <v>0</v>
      </c>
      <c r="F55" s="305" t="s">
        <v>1885</v>
      </c>
      <c r="G55" s="387">
        <f t="shared" si="0"/>
        <v>0</v>
      </c>
      <c r="H55" s="388">
        <f t="shared" si="0"/>
        <v>0</v>
      </c>
      <c r="I55" s="388">
        <f t="shared" si="1"/>
        <v>0</v>
      </c>
      <c r="J55" s="388">
        <f t="shared" si="2"/>
        <v>0</v>
      </c>
      <c r="K55" s="388">
        <f t="shared" si="2"/>
        <v>0</v>
      </c>
      <c r="L55" s="388">
        <f t="shared" si="2"/>
        <v>0</v>
      </c>
      <c r="M55" s="388">
        <f t="shared" si="2"/>
        <v>0</v>
      </c>
      <c r="N55" s="388">
        <f t="shared" si="2"/>
        <v>0</v>
      </c>
      <c r="O55" s="389">
        <f t="shared" si="2"/>
        <v>0</v>
      </c>
      <c r="S55" s="582">
        <f t="shared" si="3"/>
        <v>3.3E-3</v>
      </c>
      <c r="T55" s="580">
        <f t="shared" si="4"/>
        <v>5.9400000000000002E-4</v>
      </c>
      <c r="U55" s="580">
        <f t="shared" si="5"/>
        <v>0</v>
      </c>
      <c r="V55" s="580">
        <f t="shared" si="6"/>
        <v>0</v>
      </c>
      <c r="W55" s="580">
        <f t="shared" si="7"/>
        <v>0</v>
      </c>
      <c r="X55" s="580">
        <f t="shared" si="8"/>
        <v>0</v>
      </c>
      <c r="Y55" s="580">
        <f t="shared" si="9"/>
        <v>0</v>
      </c>
      <c r="Z55" s="580">
        <f t="shared" si="10"/>
        <v>0</v>
      </c>
      <c r="AA55" s="583">
        <f t="shared" si="11"/>
        <v>0</v>
      </c>
      <c r="AC55" s="66">
        <v>30501110</v>
      </c>
      <c r="AD55" s="68" t="s">
        <v>2292</v>
      </c>
      <c r="AG55" s="631">
        <v>0.31</v>
      </c>
      <c r="AH55" s="631">
        <v>5.5800000000000002E-2</v>
      </c>
      <c r="AI55" s="580">
        <v>0</v>
      </c>
      <c r="AJ55" s="580">
        <v>0</v>
      </c>
      <c r="AK55" s="580">
        <v>0</v>
      </c>
      <c r="AL55" s="580">
        <v>0</v>
      </c>
      <c r="AM55" s="632">
        <v>0</v>
      </c>
      <c r="AN55" s="580">
        <v>0</v>
      </c>
      <c r="AO55" s="631">
        <v>0</v>
      </c>
      <c r="AP55" s="539" t="s">
        <v>2251</v>
      </c>
    </row>
    <row r="56" spans="1:42" ht="18" customHeight="1" thickBot="1" x14ac:dyDescent="0.3">
      <c r="A56" s="309">
        <f>IF(OR('Table 3-A| Emission Units'!$A80=0,'Table 3-A| Emission Units'!$B80=0),0,'Table 3-A| Emission Units'!A80&amp;"-"&amp;'Table 3-A| Emission Units'!B80)</f>
        <v>0</v>
      </c>
      <c r="B56" s="310">
        <f>'Table 3-A| Emission Units'!$C80</f>
        <v>30502032</v>
      </c>
      <c r="C56" s="312">
        <f t="shared" si="12"/>
        <v>0</v>
      </c>
      <c r="D56" s="244" t="s">
        <v>2042</v>
      </c>
      <c r="E56" s="312">
        <f t="shared" si="13"/>
        <v>0</v>
      </c>
      <c r="F56" s="312" t="str">
        <f>IF($A56="","","WebFIRE")</f>
        <v>WebFIRE</v>
      </c>
      <c r="G56" s="391">
        <f t="shared" si="0"/>
        <v>0</v>
      </c>
      <c r="H56" s="392">
        <f t="shared" si="0"/>
        <v>0</v>
      </c>
      <c r="I56" s="392">
        <f t="shared" si="1"/>
        <v>0</v>
      </c>
      <c r="J56" s="392">
        <f t="shared" si="2"/>
        <v>0</v>
      </c>
      <c r="K56" s="392">
        <f t="shared" si="2"/>
        <v>0</v>
      </c>
      <c r="L56" s="392">
        <f t="shared" si="2"/>
        <v>0</v>
      </c>
      <c r="M56" s="392">
        <f t="shared" si="2"/>
        <v>0</v>
      </c>
      <c r="N56" s="392">
        <f t="shared" si="2"/>
        <v>0</v>
      </c>
      <c r="O56" s="393">
        <f t="shared" si="2"/>
        <v>0</v>
      </c>
      <c r="P56" s="129"/>
      <c r="Q56" s="129"/>
      <c r="R56" s="129"/>
      <c r="S56" s="584">
        <f t="shared" si="3"/>
        <v>1E-4</v>
      </c>
      <c r="T56" s="585">
        <f t="shared" si="4"/>
        <v>1.8E-5</v>
      </c>
      <c r="U56" s="585">
        <f t="shared" si="5"/>
        <v>0</v>
      </c>
      <c r="V56" s="580">
        <f t="shared" si="6"/>
        <v>0</v>
      </c>
      <c r="W56" s="580">
        <f t="shared" si="7"/>
        <v>0</v>
      </c>
      <c r="X56" s="580">
        <f t="shared" si="8"/>
        <v>0</v>
      </c>
      <c r="Y56" s="580">
        <f t="shared" si="9"/>
        <v>0</v>
      </c>
      <c r="Z56" s="580">
        <f t="shared" si="10"/>
        <v>0</v>
      </c>
      <c r="AA56" s="583">
        <f t="shared" si="11"/>
        <v>0</v>
      </c>
      <c r="AC56" s="66">
        <v>30501117</v>
      </c>
      <c r="AD56" s="68" t="s">
        <v>2293</v>
      </c>
      <c r="AG56" s="631">
        <v>1.1000000000000001</v>
      </c>
      <c r="AH56" s="631">
        <v>0.19800000000000001</v>
      </c>
      <c r="AI56" s="580">
        <v>0</v>
      </c>
      <c r="AJ56" s="580">
        <v>0</v>
      </c>
      <c r="AK56" s="580">
        <v>0</v>
      </c>
      <c r="AL56" s="580">
        <v>0</v>
      </c>
      <c r="AM56" s="632">
        <v>0</v>
      </c>
      <c r="AN56" s="580">
        <v>0</v>
      </c>
      <c r="AO56" s="631">
        <v>0</v>
      </c>
      <c r="AP56" s="539" t="s">
        <v>2251</v>
      </c>
    </row>
    <row r="57" spans="1:42" ht="18" customHeight="1" x14ac:dyDescent="0.25">
      <c r="A57" s="633">
        <f>IF(OR('Table 3-A| Emission Units'!$A81=0,'Table 3-A| Emission Units'!$B81=0),0,'Table 3-A| Emission Units'!A81&amp;"-"&amp;'Table 3-A| Emission Units'!B81)</f>
        <v>0</v>
      </c>
      <c r="B57" s="628">
        <f>'Table 3-A| Emission Units'!$C81</f>
        <v>30502031</v>
      </c>
      <c r="C57" s="635">
        <f>IF($A57=$A56,0,$K$5)</f>
        <v>0</v>
      </c>
      <c r="D57" s="634" t="s">
        <v>2042</v>
      </c>
      <c r="E57" s="635">
        <f t="shared" si="13"/>
        <v>0</v>
      </c>
      <c r="F57" s="635" t="str">
        <f>IF($A57="","","WebFIRE")</f>
        <v>WebFIRE</v>
      </c>
      <c r="G57" s="636">
        <f t="shared" si="0"/>
        <v>0</v>
      </c>
      <c r="H57" s="637">
        <f t="shared" si="0"/>
        <v>0</v>
      </c>
      <c r="I57" s="637">
        <f t="shared" si="1"/>
        <v>0</v>
      </c>
      <c r="J57" s="637">
        <f t="shared" si="2"/>
        <v>0</v>
      </c>
      <c r="K57" s="637">
        <f t="shared" si="2"/>
        <v>0</v>
      </c>
      <c r="L57" s="637">
        <f t="shared" si="2"/>
        <v>0</v>
      </c>
      <c r="M57" s="637">
        <f t="shared" si="2"/>
        <v>0</v>
      </c>
      <c r="N57" s="637">
        <f t="shared" si="2"/>
        <v>0</v>
      </c>
      <c r="O57" s="638">
        <f>IF($A57="","",0)</f>
        <v>0</v>
      </c>
      <c r="P57" s="129"/>
      <c r="Q57" s="129"/>
      <c r="R57" s="129"/>
      <c r="S57" s="584">
        <f t="shared" si="3"/>
        <v>1.5999999999999999E-5</v>
      </c>
      <c r="T57" s="585">
        <f t="shared" si="4"/>
        <v>2.88E-6</v>
      </c>
      <c r="U57" s="585">
        <f t="shared" si="5"/>
        <v>0</v>
      </c>
      <c r="V57" s="580">
        <f t="shared" si="6"/>
        <v>0</v>
      </c>
      <c r="W57" s="580">
        <f t="shared" si="7"/>
        <v>0</v>
      </c>
      <c r="X57" s="580">
        <f t="shared" si="8"/>
        <v>0</v>
      </c>
      <c r="Y57" s="580">
        <f t="shared" si="9"/>
        <v>0</v>
      </c>
      <c r="Z57" s="580">
        <f t="shared" si="10"/>
        <v>0</v>
      </c>
      <c r="AA57" s="583">
        <f t="shared" si="11"/>
        <v>0</v>
      </c>
      <c r="AC57" s="66">
        <v>30501121</v>
      </c>
      <c r="AD57" s="68" t="s">
        <v>2285</v>
      </c>
      <c r="AG57" s="631">
        <v>3.3E-3</v>
      </c>
      <c r="AH57" s="631">
        <v>5.9400000000000002E-4</v>
      </c>
      <c r="AI57" s="580">
        <v>0</v>
      </c>
      <c r="AJ57" s="580">
        <v>0</v>
      </c>
      <c r="AK57" s="580">
        <v>0</v>
      </c>
      <c r="AL57" s="580">
        <v>0</v>
      </c>
      <c r="AM57" s="632">
        <v>0</v>
      </c>
      <c r="AN57" s="580">
        <v>0</v>
      </c>
      <c r="AO57" s="631">
        <v>0</v>
      </c>
      <c r="AP57" s="539" t="s">
        <v>2251</v>
      </c>
    </row>
    <row r="58" spans="1:42" ht="18" customHeight="1" x14ac:dyDescent="0.25">
      <c r="A58" s="302">
        <f>IF(OR('Table 3-A| Emission Units'!$A82=0,'Table 3-A| Emission Units'!$B82=0),0,'Table 3-A| Emission Units'!A82&amp;"-"&amp;'Table 3-A| Emission Units'!B82)</f>
        <v>0</v>
      </c>
      <c r="B58" s="303">
        <f>'Table 3-A| Emission Units'!$C82</f>
        <v>30501123</v>
      </c>
      <c r="C58" s="305">
        <f>IF($A58=$A57,0,$K$5)</f>
        <v>0</v>
      </c>
      <c r="D58" s="242" t="s">
        <v>2042</v>
      </c>
      <c r="E58" s="305">
        <f t="shared" si="13"/>
        <v>0</v>
      </c>
      <c r="F58" s="305" t="str">
        <f>IF($A58="","","WebFIRE")</f>
        <v>WebFIRE</v>
      </c>
      <c r="G58" s="387">
        <f t="shared" si="0"/>
        <v>0</v>
      </c>
      <c r="H58" s="388">
        <f t="shared" si="0"/>
        <v>0</v>
      </c>
      <c r="I58" s="388">
        <f t="shared" si="1"/>
        <v>0</v>
      </c>
      <c r="J58" s="388">
        <f t="shared" si="2"/>
        <v>0</v>
      </c>
      <c r="K58" s="388">
        <f t="shared" si="2"/>
        <v>0</v>
      </c>
      <c r="L58" s="388">
        <f t="shared" si="2"/>
        <v>0</v>
      </c>
      <c r="M58" s="388">
        <f t="shared" si="2"/>
        <v>0</v>
      </c>
      <c r="N58" s="388">
        <f t="shared" si="2"/>
        <v>0</v>
      </c>
      <c r="O58" s="389">
        <f t="shared" si="2"/>
        <v>0</v>
      </c>
      <c r="P58" s="129"/>
      <c r="Q58" s="129"/>
      <c r="R58" s="129"/>
      <c r="S58" s="584">
        <f t="shared" si="3"/>
        <v>3.3E-3</v>
      </c>
      <c r="T58" s="585">
        <f t="shared" si="4"/>
        <v>5.9400000000000002E-4</v>
      </c>
      <c r="U58" s="585">
        <f t="shared" si="5"/>
        <v>0</v>
      </c>
      <c r="V58" s="580">
        <f t="shared" si="6"/>
        <v>0</v>
      </c>
      <c r="W58" s="580">
        <f t="shared" si="7"/>
        <v>0</v>
      </c>
      <c r="X58" s="580">
        <f t="shared" si="8"/>
        <v>0</v>
      </c>
      <c r="Y58" s="580">
        <f t="shared" si="9"/>
        <v>0</v>
      </c>
      <c r="Z58" s="580">
        <f t="shared" si="10"/>
        <v>0</v>
      </c>
      <c r="AA58" s="583">
        <f t="shared" si="11"/>
        <v>0</v>
      </c>
      <c r="AC58" s="66">
        <v>30501122</v>
      </c>
      <c r="AD58" s="68" t="s">
        <v>2265</v>
      </c>
      <c r="AG58" s="631">
        <v>9.8999999999999999E-4</v>
      </c>
      <c r="AH58" s="631">
        <v>1.7799999999999999E-4</v>
      </c>
      <c r="AI58" s="580">
        <v>0</v>
      </c>
      <c r="AJ58" s="580">
        <v>0</v>
      </c>
      <c r="AK58" s="580">
        <v>0</v>
      </c>
      <c r="AL58" s="580">
        <v>0</v>
      </c>
      <c r="AM58" s="632">
        <v>0</v>
      </c>
      <c r="AN58" s="580">
        <v>0</v>
      </c>
      <c r="AO58" s="631">
        <v>0</v>
      </c>
      <c r="AP58" s="539" t="s">
        <v>2251</v>
      </c>
    </row>
    <row r="59" spans="1:42" ht="18" customHeight="1" x14ac:dyDescent="0.25">
      <c r="A59" s="302">
        <f>IF(OR('Table 3-A| Emission Units'!$A83=0,'Table 3-A| Emission Units'!$B83=0),0,'Table 3-A| Emission Units'!A83&amp;"-"&amp;'Table 3-A| Emission Units'!B83)</f>
        <v>0</v>
      </c>
      <c r="B59" s="303">
        <f>'Table 3-A| Emission Units'!$C83</f>
        <v>30501123</v>
      </c>
      <c r="C59" s="305">
        <f>IF($A59=$A58,0,$K$5)</f>
        <v>0</v>
      </c>
      <c r="D59" s="242" t="s">
        <v>2042</v>
      </c>
      <c r="E59" s="305">
        <f t="shared" si="13"/>
        <v>0</v>
      </c>
      <c r="F59" s="305" t="s">
        <v>1885</v>
      </c>
      <c r="G59" s="387">
        <f t="shared" si="0"/>
        <v>0</v>
      </c>
      <c r="H59" s="388">
        <f t="shared" si="0"/>
        <v>0</v>
      </c>
      <c r="I59" s="388">
        <f t="shared" si="1"/>
        <v>0</v>
      </c>
      <c r="J59" s="388">
        <f t="shared" si="2"/>
        <v>0</v>
      </c>
      <c r="K59" s="388">
        <f t="shared" si="2"/>
        <v>0</v>
      </c>
      <c r="L59" s="388">
        <f t="shared" si="2"/>
        <v>0</v>
      </c>
      <c r="M59" s="388">
        <f t="shared" si="2"/>
        <v>0</v>
      </c>
      <c r="N59" s="388">
        <f t="shared" si="2"/>
        <v>0</v>
      </c>
      <c r="O59" s="389">
        <f t="shared" si="2"/>
        <v>0</v>
      </c>
      <c r="S59" s="584">
        <f t="shared" si="3"/>
        <v>3.3E-3</v>
      </c>
      <c r="T59" s="585">
        <f t="shared" si="4"/>
        <v>5.9400000000000002E-4</v>
      </c>
      <c r="U59" s="585">
        <f t="shared" si="5"/>
        <v>0</v>
      </c>
      <c r="V59" s="580">
        <f t="shared" si="6"/>
        <v>0</v>
      </c>
      <c r="W59" s="580">
        <f t="shared" si="7"/>
        <v>0</v>
      </c>
      <c r="X59" s="580">
        <f t="shared" si="8"/>
        <v>0</v>
      </c>
      <c r="Y59" s="580">
        <f t="shared" si="9"/>
        <v>0</v>
      </c>
      <c r="Z59" s="580">
        <f t="shared" si="10"/>
        <v>0</v>
      </c>
      <c r="AA59" s="583">
        <f t="shared" si="11"/>
        <v>0</v>
      </c>
      <c r="AC59" s="66">
        <v>30501123</v>
      </c>
      <c r="AD59" s="68" t="s">
        <v>2325</v>
      </c>
      <c r="AG59" s="631">
        <v>3.3E-3</v>
      </c>
      <c r="AH59" s="631">
        <f>AG59*0.18</f>
        <v>5.9400000000000002E-4</v>
      </c>
      <c r="AI59" s="580">
        <v>0</v>
      </c>
      <c r="AJ59" s="580">
        <v>0</v>
      </c>
      <c r="AK59" s="580">
        <v>0</v>
      </c>
      <c r="AL59" s="580">
        <v>0</v>
      </c>
      <c r="AM59" s="580">
        <v>0</v>
      </c>
      <c r="AN59" s="580">
        <v>0</v>
      </c>
      <c r="AO59" s="631">
        <v>0</v>
      </c>
      <c r="AP59" s="539" t="s">
        <v>2251</v>
      </c>
    </row>
    <row r="60" spans="1:42" ht="18" customHeight="1" x14ac:dyDescent="0.25">
      <c r="A60" s="302">
        <f>IF(OR('Table 3-A| Emission Units'!$A84=0,'Table 3-A| Emission Units'!$B84=0),0,'Table 3-A| Emission Units'!A84&amp;"-"&amp;'Table 3-A| Emission Units'!B84)</f>
        <v>0</v>
      </c>
      <c r="B60" s="303">
        <f>'Table 3-A| Emission Units'!$C84</f>
        <v>30502001</v>
      </c>
      <c r="C60" s="305">
        <f>IF($A60=$A59,0,$K$5)</f>
        <v>0</v>
      </c>
      <c r="D60" s="242" t="s">
        <v>2042</v>
      </c>
      <c r="E60" s="305">
        <f t="shared" si="13"/>
        <v>0</v>
      </c>
      <c r="F60" s="305" t="s">
        <v>1885</v>
      </c>
      <c r="G60" s="387">
        <f t="shared" si="0"/>
        <v>0</v>
      </c>
      <c r="H60" s="388">
        <f t="shared" si="0"/>
        <v>0</v>
      </c>
      <c r="I60" s="388">
        <f t="shared" si="1"/>
        <v>0</v>
      </c>
      <c r="J60" s="388">
        <f t="shared" si="2"/>
        <v>0</v>
      </c>
      <c r="K60" s="388">
        <f t="shared" si="2"/>
        <v>0</v>
      </c>
      <c r="L60" s="388">
        <f t="shared" si="2"/>
        <v>0</v>
      </c>
      <c r="M60" s="388">
        <f t="shared" si="2"/>
        <v>0</v>
      </c>
      <c r="N60" s="388">
        <f t="shared" si="2"/>
        <v>0</v>
      </c>
      <c r="O60" s="389">
        <f t="shared" si="2"/>
        <v>0</v>
      </c>
      <c r="S60" s="584">
        <f t="shared" si="3"/>
        <v>2.3999999999999998E-3</v>
      </c>
      <c r="T60" s="585">
        <f t="shared" si="4"/>
        <v>4.3199999999999993E-4</v>
      </c>
      <c r="U60" s="585">
        <f t="shared" si="5"/>
        <v>0</v>
      </c>
      <c r="V60" s="580">
        <f t="shared" si="6"/>
        <v>0</v>
      </c>
      <c r="W60" s="580">
        <f t="shared" si="7"/>
        <v>0</v>
      </c>
      <c r="X60" s="580">
        <f t="shared" si="8"/>
        <v>0</v>
      </c>
      <c r="Y60" s="580">
        <f t="shared" si="9"/>
        <v>0</v>
      </c>
      <c r="Z60" s="580">
        <f t="shared" si="10"/>
        <v>0</v>
      </c>
      <c r="AA60" s="583">
        <f t="shared" si="11"/>
        <v>0</v>
      </c>
      <c r="AC60" s="66">
        <v>30501124</v>
      </c>
      <c r="AD60" s="68" t="s">
        <v>2286</v>
      </c>
      <c r="AG60" s="631">
        <v>9.8999999999999999E-4</v>
      </c>
      <c r="AH60" s="631">
        <v>1.7799999999999999E-4</v>
      </c>
      <c r="AI60" s="580">
        <v>0</v>
      </c>
      <c r="AJ60" s="580">
        <v>0</v>
      </c>
      <c r="AK60" s="580">
        <v>0</v>
      </c>
      <c r="AL60" s="580">
        <v>0</v>
      </c>
      <c r="AM60" s="580">
        <v>0</v>
      </c>
      <c r="AN60" s="580">
        <v>0</v>
      </c>
      <c r="AO60" s="631">
        <v>0</v>
      </c>
      <c r="AP60" s="539" t="s">
        <v>2251</v>
      </c>
    </row>
    <row r="61" spans="1:42" ht="18" customHeight="1" x14ac:dyDescent="0.25">
      <c r="A61" s="302">
        <f>IF(OR('Table 3-A| Emission Units'!$A85=0,'Table 3-A| Emission Units'!$B85=0),0,'Table 3-A| Emission Units'!A85&amp;"-"&amp;'Table 3-A| Emission Units'!B85)</f>
        <v>0</v>
      </c>
      <c r="B61" s="303">
        <f>'Table 3-A| Emission Units'!$C85</f>
        <v>30502003</v>
      </c>
      <c r="C61" s="305">
        <f>IF($A61=$A60,0,$K$5)</f>
        <v>0</v>
      </c>
      <c r="D61" s="242" t="s">
        <v>2042</v>
      </c>
      <c r="E61" s="305">
        <f t="shared" si="13"/>
        <v>0</v>
      </c>
      <c r="F61" s="305" t="s">
        <v>1885</v>
      </c>
      <c r="G61" s="387">
        <f t="shared" si="0"/>
        <v>0</v>
      </c>
      <c r="H61" s="388">
        <f t="shared" si="0"/>
        <v>0</v>
      </c>
      <c r="I61" s="388">
        <f t="shared" si="1"/>
        <v>0</v>
      </c>
      <c r="J61" s="388">
        <f t="shared" si="2"/>
        <v>0</v>
      </c>
      <c r="K61" s="388">
        <f t="shared" si="2"/>
        <v>0</v>
      </c>
      <c r="L61" s="388">
        <f t="shared" si="2"/>
        <v>0</v>
      </c>
      <c r="M61" s="388">
        <f t="shared" si="2"/>
        <v>0</v>
      </c>
      <c r="N61" s="388">
        <f t="shared" si="2"/>
        <v>0</v>
      </c>
      <c r="O61" s="389">
        <f t="shared" si="2"/>
        <v>0</v>
      </c>
      <c r="S61" s="584">
        <f t="shared" si="3"/>
        <v>8.6999999999999994E-3</v>
      </c>
      <c r="T61" s="585">
        <f t="shared" si="4"/>
        <v>1.5659999999999999E-3</v>
      </c>
      <c r="U61" s="585">
        <f t="shared" si="5"/>
        <v>0</v>
      </c>
      <c r="V61" s="580">
        <f t="shared" si="6"/>
        <v>0</v>
      </c>
      <c r="W61" s="580">
        <f t="shared" si="7"/>
        <v>0</v>
      </c>
      <c r="X61" s="580">
        <f t="shared" si="8"/>
        <v>0</v>
      </c>
      <c r="Y61" s="580">
        <f t="shared" si="9"/>
        <v>0</v>
      </c>
      <c r="Z61" s="580">
        <f t="shared" si="10"/>
        <v>0</v>
      </c>
      <c r="AA61" s="583">
        <f t="shared" si="11"/>
        <v>0</v>
      </c>
      <c r="AC61" s="66">
        <v>30502001</v>
      </c>
      <c r="AD61" s="68" t="s">
        <v>2252</v>
      </c>
      <c r="AG61" s="631">
        <v>2.3999999999999998E-3</v>
      </c>
      <c r="AH61" s="631">
        <f t="shared" ref="AH61:AH67" si="14">AG61*0.18</f>
        <v>4.3199999999999993E-4</v>
      </c>
      <c r="AI61" s="580">
        <v>0</v>
      </c>
      <c r="AJ61" s="580">
        <v>0</v>
      </c>
      <c r="AK61" s="580">
        <v>0</v>
      </c>
      <c r="AL61" s="580">
        <v>0</v>
      </c>
      <c r="AM61" s="580">
        <v>0</v>
      </c>
      <c r="AN61" s="580">
        <v>0</v>
      </c>
      <c r="AO61" s="631">
        <v>0</v>
      </c>
      <c r="AP61" s="539" t="s">
        <v>2251</v>
      </c>
    </row>
    <row r="62" spans="1:42" ht="18" customHeight="1" x14ac:dyDescent="0.25">
      <c r="A62" s="302">
        <f>IF(OR('Table 3-A| Emission Units'!$A86=0,'Table 3-A| Emission Units'!$B86=0),0,'Table 3-A| Emission Units'!A86&amp;"-"&amp;'Table 3-A| Emission Units'!B86)</f>
        <v>0</v>
      </c>
      <c r="B62" s="303">
        <f>'Table 3-A| Emission Units'!$C86</f>
        <v>30502006</v>
      </c>
      <c r="C62" s="305">
        <f>IF($A62=$A61,0,$K$5*0.05)</f>
        <v>0</v>
      </c>
      <c r="D62" s="242" t="s">
        <v>2042</v>
      </c>
      <c r="E62" s="305">
        <f t="shared" si="13"/>
        <v>0</v>
      </c>
      <c r="F62" s="305" t="s">
        <v>1885</v>
      </c>
      <c r="G62" s="387">
        <f t="shared" ref="G62:H78" si="15">IFERROR(IF($A62="","",$E62*S62),"")</f>
        <v>0</v>
      </c>
      <c r="H62" s="388">
        <f t="shared" si="15"/>
        <v>0</v>
      </c>
      <c r="I62" s="388">
        <f t="shared" si="1"/>
        <v>0</v>
      </c>
      <c r="J62" s="388">
        <f t="shared" ref="J62:O62" si="16">IF($A62="","",0)</f>
        <v>0</v>
      </c>
      <c r="K62" s="388">
        <f t="shared" si="16"/>
        <v>0</v>
      </c>
      <c r="L62" s="388">
        <f t="shared" si="16"/>
        <v>0</v>
      </c>
      <c r="M62" s="388">
        <f t="shared" si="16"/>
        <v>0</v>
      </c>
      <c r="N62" s="388">
        <f t="shared" si="16"/>
        <v>0</v>
      </c>
      <c r="O62" s="389">
        <f t="shared" si="16"/>
        <v>0</v>
      </c>
      <c r="S62" s="584">
        <f t="shared" si="3"/>
        <v>1.1000000000000001E-3</v>
      </c>
      <c r="T62" s="585">
        <f t="shared" si="4"/>
        <v>1.9800000000000002E-4</v>
      </c>
      <c r="U62" s="585">
        <f t="shared" si="5"/>
        <v>0</v>
      </c>
      <c r="V62" s="580">
        <f t="shared" si="6"/>
        <v>0</v>
      </c>
      <c r="W62" s="580">
        <f t="shared" si="7"/>
        <v>0</v>
      </c>
      <c r="X62" s="580">
        <f t="shared" si="8"/>
        <v>0</v>
      </c>
      <c r="Y62" s="580">
        <f t="shared" si="9"/>
        <v>0</v>
      </c>
      <c r="Z62" s="580">
        <f t="shared" si="10"/>
        <v>0</v>
      </c>
      <c r="AA62" s="583">
        <f t="shared" si="11"/>
        <v>0</v>
      </c>
      <c r="AC62" s="66">
        <v>30502002</v>
      </c>
      <c r="AD62" s="68" t="s">
        <v>2253</v>
      </c>
      <c r="AG62" s="631">
        <v>2.3999999999999998E-3</v>
      </c>
      <c r="AH62" s="631">
        <f t="shared" si="14"/>
        <v>4.3199999999999993E-4</v>
      </c>
      <c r="AI62" s="580">
        <v>0</v>
      </c>
      <c r="AJ62" s="580">
        <v>0</v>
      </c>
      <c r="AK62" s="580">
        <v>0</v>
      </c>
      <c r="AL62" s="580">
        <v>0</v>
      </c>
      <c r="AM62" s="580">
        <v>0</v>
      </c>
      <c r="AN62" s="580">
        <v>0</v>
      </c>
      <c r="AO62" s="631">
        <v>0</v>
      </c>
      <c r="AP62" s="539" t="s">
        <v>2251</v>
      </c>
    </row>
    <row r="63" spans="1:42" ht="18" customHeight="1" x14ac:dyDescent="0.25">
      <c r="A63" s="302">
        <f>IF(OR('Table 3-A| Emission Units'!$A87=0,'Table 3-A| Emission Units'!$B87=0),0,'Table 3-A| Emission Units'!A87&amp;"-"&amp;'Table 3-A| Emission Units'!B87)</f>
        <v>0</v>
      </c>
      <c r="B63" s="303">
        <f>'Table 3-A| Emission Units'!$C87</f>
        <v>30501123</v>
      </c>
      <c r="C63" s="305">
        <f>IF($A63=$A62,0,$K$5*0.05)</f>
        <v>0</v>
      </c>
      <c r="D63" s="242" t="s">
        <v>2042</v>
      </c>
      <c r="E63" s="305">
        <f t="shared" si="13"/>
        <v>0</v>
      </c>
      <c r="F63" s="305" t="s">
        <v>1885</v>
      </c>
      <c r="G63" s="387">
        <f t="shared" si="15"/>
        <v>0</v>
      </c>
      <c r="H63" s="388">
        <f t="shared" si="15"/>
        <v>0</v>
      </c>
      <c r="I63" s="388">
        <f t="shared" ref="I63:O78" si="17">IF($A63="","",0)</f>
        <v>0</v>
      </c>
      <c r="J63" s="388">
        <f t="shared" si="17"/>
        <v>0</v>
      </c>
      <c r="K63" s="388">
        <f t="shared" si="17"/>
        <v>0</v>
      </c>
      <c r="L63" s="388">
        <f t="shared" si="17"/>
        <v>0</v>
      </c>
      <c r="M63" s="388">
        <f t="shared" si="17"/>
        <v>0</v>
      </c>
      <c r="N63" s="388">
        <f t="shared" si="17"/>
        <v>0</v>
      </c>
      <c r="O63" s="389">
        <f t="shared" si="17"/>
        <v>0</v>
      </c>
      <c r="S63" s="584">
        <f t="shared" si="3"/>
        <v>3.3E-3</v>
      </c>
      <c r="T63" s="585">
        <f t="shared" si="4"/>
        <v>5.9400000000000002E-4</v>
      </c>
      <c r="U63" s="585">
        <f t="shared" si="5"/>
        <v>0</v>
      </c>
      <c r="V63" s="580">
        <f t="shared" si="6"/>
        <v>0</v>
      </c>
      <c r="W63" s="580">
        <f t="shared" si="7"/>
        <v>0</v>
      </c>
      <c r="X63" s="580">
        <f t="shared" si="8"/>
        <v>0</v>
      </c>
      <c r="Y63" s="580">
        <f t="shared" si="9"/>
        <v>0</v>
      </c>
      <c r="Z63" s="580">
        <f t="shared" si="10"/>
        <v>0</v>
      </c>
      <c r="AA63" s="583">
        <f t="shared" si="11"/>
        <v>0</v>
      </c>
      <c r="AC63" s="66">
        <v>30502003</v>
      </c>
      <c r="AD63" s="68" t="s">
        <v>2254</v>
      </c>
      <c r="AG63" s="631">
        <v>8.6999999999999994E-3</v>
      </c>
      <c r="AH63" s="631">
        <f t="shared" si="14"/>
        <v>1.5659999999999999E-3</v>
      </c>
      <c r="AI63" s="580">
        <v>0</v>
      </c>
      <c r="AJ63" s="580">
        <v>0</v>
      </c>
      <c r="AK63" s="580">
        <v>0</v>
      </c>
      <c r="AL63" s="580">
        <v>0</v>
      </c>
      <c r="AM63" s="580">
        <v>0</v>
      </c>
      <c r="AN63" s="580">
        <v>0</v>
      </c>
      <c r="AO63" s="631">
        <v>0</v>
      </c>
      <c r="AP63" s="539" t="s">
        <v>2251</v>
      </c>
    </row>
    <row r="64" spans="1:42" ht="18" customHeight="1" x14ac:dyDescent="0.25">
      <c r="A64" s="302">
        <f>IF(OR('Table 3-A| Emission Units'!$A88=0,'Table 3-A| Emission Units'!$B88=0),0,'Table 3-A| Emission Units'!A88&amp;"-"&amp;'Table 3-A| Emission Units'!B88)</f>
        <v>0</v>
      </c>
      <c r="B64" s="303">
        <f>'Table 3-A| Emission Units'!$C88</f>
        <v>30502002</v>
      </c>
      <c r="C64" s="305">
        <f>IF($A64=$A63,0,$K$5*0.05)</f>
        <v>0</v>
      </c>
      <c r="D64" s="242" t="s">
        <v>2042</v>
      </c>
      <c r="E64" s="305">
        <f t="shared" si="13"/>
        <v>0</v>
      </c>
      <c r="F64" s="305" t="s">
        <v>1885</v>
      </c>
      <c r="G64" s="387">
        <f t="shared" si="15"/>
        <v>0</v>
      </c>
      <c r="H64" s="388">
        <f t="shared" si="15"/>
        <v>0</v>
      </c>
      <c r="I64" s="388">
        <f t="shared" si="17"/>
        <v>0</v>
      </c>
      <c r="J64" s="388">
        <f t="shared" si="17"/>
        <v>0</v>
      </c>
      <c r="K64" s="388">
        <f t="shared" si="17"/>
        <v>0</v>
      </c>
      <c r="L64" s="388">
        <f t="shared" si="17"/>
        <v>0</v>
      </c>
      <c r="M64" s="388">
        <f t="shared" si="17"/>
        <v>0</v>
      </c>
      <c r="N64" s="388">
        <f t="shared" si="17"/>
        <v>0</v>
      </c>
      <c r="O64" s="389">
        <f t="shared" si="17"/>
        <v>0</v>
      </c>
      <c r="S64" s="584">
        <f t="shared" si="3"/>
        <v>2.3999999999999998E-3</v>
      </c>
      <c r="T64" s="585">
        <f t="shared" si="4"/>
        <v>4.3199999999999993E-4</v>
      </c>
      <c r="U64" s="585">
        <f t="shared" si="5"/>
        <v>0</v>
      </c>
      <c r="V64" s="580">
        <f t="shared" si="6"/>
        <v>0</v>
      </c>
      <c r="W64" s="580">
        <f t="shared" si="7"/>
        <v>0</v>
      </c>
      <c r="X64" s="580">
        <f t="shared" si="8"/>
        <v>0</v>
      </c>
      <c r="Y64" s="580">
        <f t="shared" si="9"/>
        <v>0</v>
      </c>
      <c r="Z64" s="580">
        <f t="shared" si="10"/>
        <v>0</v>
      </c>
      <c r="AA64" s="583">
        <f t="shared" si="11"/>
        <v>0</v>
      </c>
      <c r="AC64" s="66">
        <v>30502006</v>
      </c>
      <c r="AD64" s="68" t="s">
        <v>2255</v>
      </c>
      <c r="AG64" s="631">
        <v>1.1000000000000001E-3</v>
      </c>
      <c r="AH64" s="631">
        <f t="shared" si="14"/>
        <v>1.9800000000000002E-4</v>
      </c>
      <c r="AI64" s="580">
        <v>0</v>
      </c>
      <c r="AJ64" s="580">
        <v>0</v>
      </c>
      <c r="AK64" s="580">
        <v>0</v>
      </c>
      <c r="AL64" s="580">
        <v>0</v>
      </c>
      <c r="AM64" s="580">
        <v>0</v>
      </c>
      <c r="AN64" s="580">
        <v>0</v>
      </c>
      <c r="AO64" s="631">
        <v>0</v>
      </c>
      <c r="AP64" s="539" t="s">
        <v>2251</v>
      </c>
    </row>
    <row r="65" spans="1:43" ht="18" customHeight="1" x14ac:dyDescent="0.25">
      <c r="A65" s="302">
        <f>IF(OR('Table 3-A| Emission Units'!$A89=0,'Table 3-A| Emission Units'!$B89=0),0,'Table 3-A| Emission Units'!A89&amp;"-"&amp;'Table 3-A| Emission Units'!B89)</f>
        <v>0</v>
      </c>
      <c r="B65" s="303">
        <f>'Table 3-A| Emission Units'!$C89</f>
        <v>30502006</v>
      </c>
      <c r="C65" s="305">
        <f>IF($A65=$A64,0,$K$5)</f>
        <v>0</v>
      </c>
      <c r="D65" s="242" t="s">
        <v>2042</v>
      </c>
      <c r="E65" s="305">
        <f t="shared" si="13"/>
        <v>0</v>
      </c>
      <c r="F65" s="305" t="s">
        <v>1885</v>
      </c>
      <c r="G65" s="387">
        <f t="shared" si="15"/>
        <v>0</v>
      </c>
      <c r="H65" s="388">
        <f t="shared" si="15"/>
        <v>0</v>
      </c>
      <c r="I65" s="388">
        <f t="shared" si="17"/>
        <v>0</v>
      </c>
      <c r="J65" s="388">
        <f t="shared" si="17"/>
        <v>0</v>
      </c>
      <c r="K65" s="388">
        <f t="shared" si="17"/>
        <v>0</v>
      </c>
      <c r="L65" s="388">
        <f t="shared" si="17"/>
        <v>0</v>
      </c>
      <c r="M65" s="388">
        <f t="shared" si="17"/>
        <v>0</v>
      </c>
      <c r="N65" s="388">
        <f t="shared" si="17"/>
        <v>0</v>
      </c>
      <c r="O65" s="389">
        <f t="shared" si="17"/>
        <v>0</v>
      </c>
      <c r="S65" s="584">
        <f t="shared" si="3"/>
        <v>1.1000000000000001E-3</v>
      </c>
      <c r="T65" s="585">
        <f t="shared" si="4"/>
        <v>1.9800000000000002E-4</v>
      </c>
      <c r="U65" s="585">
        <f t="shared" si="5"/>
        <v>0</v>
      </c>
      <c r="V65" s="580">
        <f t="shared" si="6"/>
        <v>0</v>
      </c>
      <c r="W65" s="580">
        <f t="shared" si="7"/>
        <v>0</v>
      </c>
      <c r="X65" s="580">
        <f t="shared" si="8"/>
        <v>0</v>
      </c>
      <c r="Y65" s="580">
        <f t="shared" si="9"/>
        <v>0</v>
      </c>
      <c r="Z65" s="580">
        <f t="shared" si="10"/>
        <v>0</v>
      </c>
      <c r="AA65" s="583">
        <f t="shared" si="11"/>
        <v>0</v>
      </c>
      <c r="AC65" s="66">
        <v>30502031</v>
      </c>
      <c r="AD65" s="68" t="s">
        <v>2256</v>
      </c>
      <c r="AG65" s="631">
        <v>1.5999999999999999E-5</v>
      </c>
      <c r="AH65" s="631">
        <f t="shared" si="14"/>
        <v>2.88E-6</v>
      </c>
      <c r="AI65" s="580">
        <v>0</v>
      </c>
      <c r="AJ65" s="580">
        <v>0</v>
      </c>
      <c r="AK65" s="580">
        <v>0</v>
      </c>
      <c r="AL65" s="580">
        <v>0</v>
      </c>
      <c r="AM65" s="580">
        <v>0</v>
      </c>
      <c r="AN65" s="580">
        <v>0</v>
      </c>
      <c r="AO65" s="631">
        <v>0</v>
      </c>
      <c r="AP65" s="539" t="s">
        <v>2251</v>
      </c>
    </row>
    <row r="66" spans="1:43" ht="18" customHeight="1" x14ac:dyDescent="0.25">
      <c r="A66" s="302">
        <f>IF(OR('Table 3-A| Emission Units'!$A90=0,'Table 3-A| Emission Units'!$B90=0),0,'Table 3-A| Emission Units'!A90&amp;"-"&amp;'Table 3-A| Emission Units'!B90)</f>
        <v>0</v>
      </c>
      <c r="B66" s="303">
        <f>'Table 3-A| Emission Units'!$C90</f>
        <v>30501123</v>
      </c>
      <c r="C66" s="305">
        <f>IF($A66=$A65,0,$K$5)</f>
        <v>0</v>
      </c>
      <c r="D66" s="242" t="s">
        <v>2042</v>
      </c>
      <c r="E66" s="305">
        <f t="shared" si="13"/>
        <v>0</v>
      </c>
      <c r="F66" s="305" t="s">
        <v>1885</v>
      </c>
      <c r="G66" s="387">
        <f t="shared" si="15"/>
        <v>0</v>
      </c>
      <c r="H66" s="388">
        <f t="shared" si="15"/>
        <v>0</v>
      </c>
      <c r="I66" s="388">
        <f t="shared" si="17"/>
        <v>0</v>
      </c>
      <c r="J66" s="388">
        <f t="shared" si="17"/>
        <v>0</v>
      </c>
      <c r="K66" s="388">
        <f t="shared" si="17"/>
        <v>0</v>
      </c>
      <c r="L66" s="388">
        <f t="shared" si="17"/>
        <v>0</v>
      </c>
      <c r="M66" s="388">
        <f t="shared" si="17"/>
        <v>0</v>
      </c>
      <c r="N66" s="388">
        <f t="shared" si="17"/>
        <v>0</v>
      </c>
      <c r="O66" s="389">
        <f t="shared" si="17"/>
        <v>0</v>
      </c>
      <c r="S66" s="584">
        <f t="shared" si="3"/>
        <v>3.3E-3</v>
      </c>
      <c r="T66" s="585">
        <f t="shared" si="4"/>
        <v>5.9400000000000002E-4</v>
      </c>
      <c r="U66" s="585">
        <f t="shared" si="5"/>
        <v>0</v>
      </c>
      <c r="V66" s="580">
        <f t="shared" si="6"/>
        <v>0</v>
      </c>
      <c r="W66" s="580">
        <f t="shared" si="7"/>
        <v>0</v>
      </c>
      <c r="X66" s="580">
        <f t="shared" si="8"/>
        <v>0</v>
      </c>
      <c r="Y66" s="580">
        <f t="shared" si="9"/>
        <v>0</v>
      </c>
      <c r="Z66" s="580">
        <f t="shared" si="10"/>
        <v>0</v>
      </c>
      <c r="AA66" s="583">
        <f t="shared" si="11"/>
        <v>0</v>
      </c>
      <c r="AC66" s="66">
        <v>30502032</v>
      </c>
      <c r="AD66" s="68" t="s">
        <v>2257</v>
      </c>
      <c r="AG66" s="631">
        <v>1E-4</v>
      </c>
      <c r="AH66" s="631">
        <f t="shared" si="14"/>
        <v>1.8E-5</v>
      </c>
      <c r="AI66" s="580">
        <v>0</v>
      </c>
      <c r="AJ66" s="580">
        <v>0</v>
      </c>
      <c r="AK66" s="580">
        <v>0</v>
      </c>
      <c r="AL66" s="580">
        <v>0</v>
      </c>
      <c r="AM66" s="580">
        <v>0</v>
      </c>
      <c r="AN66" s="580">
        <v>0</v>
      </c>
      <c r="AO66" s="631">
        <v>0</v>
      </c>
      <c r="AP66" s="539" t="s">
        <v>2251</v>
      </c>
    </row>
    <row r="67" spans="1:43" ht="18" customHeight="1" thickBot="1" x14ac:dyDescent="0.3">
      <c r="A67" s="309">
        <f>IF(OR('Table 3-A| Emission Units'!$A91=0,'Table 3-A| Emission Units'!$B91=0),0,'Table 3-A| Emission Units'!A91&amp;"-"&amp;'Table 3-A| Emission Units'!B91)</f>
        <v>0</v>
      </c>
      <c r="B67" s="310">
        <f>'Table 3-A| Emission Units'!$C91</f>
        <v>30502032</v>
      </c>
      <c r="C67" s="312">
        <f>IF($A67=$A66,0,$K$5)</f>
        <v>0</v>
      </c>
      <c r="D67" s="244" t="s">
        <v>2042</v>
      </c>
      <c r="E67" s="312">
        <f t="shared" si="13"/>
        <v>0</v>
      </c>
      <c r="F67" s="312" t="str">
        <f>IF($A67="","","WebFIRE")</f>
        <v>WebFIRE</v>
      </c>
      <c r="G67" s="391">
        <f t="shared" si="15"/>
        <v>0</v>
      </c>
      <c r="H67" s="392">
        <f t="shared" si="15"/>
        <v>0</v>
      </c>
      <c r="I67" s="392">
        <f t="shared" si="17"/>
        <v>0</v>
      </c>
      <c r="J67" s="392">
        <f t="shared" si="17"/>
        <v>0</v>
      </c>
      <c r="K67" s="392">
        <f t="shared" si="17"/>
        <v>0</v>
      </c>
      <c r="L67" s="392">
        <f t="shared" si="17"/>
        <v>0</v>
      </c>
      <c r="M67" s="392">
        <f t="shared" si="17"/>
        <v>0</v>
      </c>
      <c r="N67" s="392">
        <f t="shared" si="17"/>
        <v>0</v>
      </c>
      <c r="O67" s="393">
        <f t="shared" si="17"/>
        <v>0</v>
      </c>
      <c r="S67" s="584">
        <f t="shared" si="3"/>
        <v>1E-4</v>
      </c>
      <c r="T67" s="585">
        <f t="shared" si="4"/>
        <v>1.8E-5</v>
      </c>
      <c r="U67" s="585">
        <f t="shared" si="5"/>
        <v>0</v>
      </c>
      <c r="V67" s="580">
        <f t="shared" si="6"/>
        <v>0</v>
      </c>
      <c r="W67" s="580">
        <f t="shared" si="7"/>
        <v>0</v>
      </c>
      <c r="X67" s="580">
        <f t="shared" si="8"/>
        <v>0</v>
      </c>
      <c r="Y67" s="580">
        <f t="shared" si="9"/>
        <v>0</v>
      </c>
      <c r="Z67" s="580">
        <f t="shared" si="10"/>
        <v>0</v>
      </c>
      <c r="AA67" s="583">
        <f t="shared" si="11"/>
        <v>0</v>
      </c>
      <c r="AB67" s="539" t="s">
        <v>2225</v>
      </c>
      <c r="AC67" s="66">
        <v>30502502</v>
      </c>
      <c r="AD67" s="68" t="s">
        <v>2258</v>
      </c>
      <c r="AG67" s="631">
        <f>(1.7*(1.9/1.5)*((365-90)/235)*(32/15))</f>
        <v>5.3756973995271871</v>
      </c>
      <c r="AH67" s="631">
        <f t="shared" si="14"/>
        <v>0.96762553191489364</v>
      </c>
      <c r="AI67" s="580">
        <v>0</v>
      </c>
      <c r="AJ67" s="580">
        <v>0</v>
      </c>
      <c r="AK67" s="580">
        <v>0</v>
      </c>
      <c r="AL67" s="580">
        <v>0</v>
      </c>
      <c r="AM67" s="580">
        <v>0</v>
      </c>
      <c r="AN67" s="580">
        <v>0</v>
      </c>
      <c r="AO67" s="631">
        <v>0</v>
      </c>
      <c r="AP67" s="539" t="s">
        <v>2251</v>
      </c>
    </row>
    <row r="68" spans="1:43" ht="18" customHeight="1" x14ac:dyDescent="0.25">
      <c r="A68" s="633">
        <f>IF(OR('Table 3-A| Emission Units'!$A92=0,'Table 3-A| Emission Units'!$B92=0),0,'Table 3-A| Emission Units'!A92&amp;"-"&amp;'Table 3-A| Emission Units'!B92)</f>
        <v>0</v>
      </c>
      <c r="B68" s="628">
        <f>'Table 3-A| Emission Units'!$C92</f>
        <v>30502031</v>
      </c>
      <c r="C68" s="635">
        <f>IF($A68=$A67,0,$L$5)</f>
        <v>0</v>
      </c>
      <c r="D68" s="634" t="s">
        <v>2042</v>
      </c>
      <c r="E68" s="635">
        <f t="shared" si="13"/>
        <v>0</v>
      </c>
      <c r="F68" s="635" t="str">
        <f>IF($A68="","","WebFIRE")</f>
        <v>WebFIRE</v>
      </c>
      <c r="G68" s="636">
        <f t="shared" si="15"/>
        <v>0</v>
      </c>
      <c r="H68" s="637">
        <f t="shared" si="15"/>
        <v>0</v>
      </c>
      <c r="I68" s="637">
        <f t="shared" ref="I68:I73" si="18">IF($A68="","",0)</f>
        <v>0</v>
      </c>
      <c r="J68" s="637">
        <f t="shared" si="17"/>
        <v>0</v>
      </c>
      <c r="K68" s="637">
        <f t="shared" si="17"/>
        <v>0</v>
      </c>
      <c r="L68" s="637">
        <f t="shared" si="17"/>
        <v>0</v>
      </c>
      <c r="M68" s="637">
        <f t="shared" si="17"/>
        <v>0</v>
      </c>
      <c r="N68" s="637">
        <f t="shared" si="17"/>
        <v>0</v>
      </c>
      <c r="O68" s="638">
        <f>IF($A68="","",0)</f>
        <v>0</v>
      </c>
      <c r="S68" s="584">
        <f t="shared" si="3"/>
        <v>1.5999999999999999E-5</v>
      </c>
      <c r="T68" s="585">
        <f t="shared" si="4"/>
        <v>2.88E-6</v>
      </c>
      <c r="U68" s="585">
        <f t="shared" si="5"/>
        <v>0</v>
      </c>
      <c r="V68" s="580">
        <f t="shared" si="6"/>
        <v>0</v>
      </c>
      <c r="W68" s="580">
        <f t="shared" si="7"/>
        <v>0</v>
      </c>
      <c r="X68" s="580">
        <f t="shared" si="8"/>
        <v>0</v>
      </c>
      <c r="Y68" s="580">
        <f t="shared" si="9"/>
        <v>0</v>
      </c>
      <c r="Z68" s="580">
        <f t="shared" si="10"/>
        <v>0</v>
      </c>
      <c r="AA68" s="583">
        <f t="shared" si="11"/>
        <v>0</v>
      </c>
      <c r="AB68" s="539" t="s">
        <v>2226</v>
      </c>
      <c r="AC68" s="66">
        <v>2294000000</v>
      </c>
      <c r="AD68" s="68" t="s">
        <v>1913</v>
      </c>
      <c r="AG68" s="631"/>
      <c r="AH68" s="631"/>
      <c r="AI68" s="580"/>
      <c r="AJ68" s="580"/>
      <c r="AK68" s="580"/>
      <c r="AL68" s="580"/>
      <c r="AM68" s="580"/>
      <c r="AN68" s="580"/>
      <c r="AO68" s="631"/>
    </row>
    <row r="69" spans="1:43" ht="18" customHeight="1" x14ac:dyDescent="0.25">
      <c r="A69" s="302">
        <f>IF(OR('Table 3-A| Emission Units'!$A93=0,'Table 3-A| Emission Units'!$B93=0),0,'Table 3-A| Emission Units'!A93&amp;"-"&amp;'Table 3-A| Emission Units'!B93)</f>
        <v>0</v>
      </c>
      <c r="B69" s="303">
        <f>'Table 3-A| Emission Units'!$C93</f>
        <v>30501123</v>
      </c>
      <c r="C69" s="305">
        <f>IF($A69=$A68,0,$L$5)</f>
        <v>0</v>
      </c>
      <c r="D69" s="242" t="s">
        <v>2042</v>
      </c>
      <c r="E69" s="305">
        <f t="shared" si="13"/>
        <v>0</v>
      </c>
      <c r="F69" s="305" t="str">
        <f>IF($A69="","","WebFIRE")</f>
        <v>WebFIRE</v>
      </c>
      <c r="G69" s="387">
        <f t="shared" si="15"/>
        <v>0</v>
      </c>
      <c r="H69" s="388">
        <f t="shared" si="15"/>
        <v>0</v>
      </c>
      <c r="I69" s="388">
        <f t="shared" si="18"/>
        <v>0</v>
      </c>
      <c r="J69" s="388">
        <f t="shared" si="17"/>
        <v>0</v>
      </c>
      <c r="K69" s="388">
        <f t="shared" si="17"/>
        <v>0</v>
      </c>
      <c r="L69" s="388">
        <f t="shared" si="17"/>
        <v>0</v>
      </c>
      <c r="M69" s="388">
        <f t="shared" si="17"/>
        <v>0</v>
      </c>
      <c r="N69" s="388">
        <f t="shared" si="17"/>
        <v>0</v>
      </c>
      <c r="O69" s="389">
        <f t="shared" si="17"/>
        <v>0</v>
      </c>
      <c r="S69" s="584">
        <f t="shared" si="3"/>
        <v>3.3E-3</v>
      </c>
      <c r="T69" s="585">
        <f t="shared" si="4"/>
        <v>5.9400000000000002E-4</v>
      </c>
      <c r="U69" s="585">
        <f t="shared" si="5"/>
        <v>0</v>
      </c>
      <c r="V69" s="580">
        <f t="shared" si="6"/>
        <v>0</v>
      </c>
      <c r="W69" s="580">
        <f t="shared" si="7"/>
        <v>0</v>
      </c>
      <c r="X69" s="580">
        <f t="shared" si="8"/>
        <v>0</v>
      </c>
      <c r="Y69" s="580">
        <f t="shared" si="9"/>
        <v>0</v>
      </c>
      <c r="Z69" s="580">
        <f t="shared" si="10"/>
        <v>0</v>
      </c>
      <c r="AA69" s="583">
        <f t="shared" si="11"/>
        <v>0</v>
      </c>
      <c r="AC69" s="66">
        <v>2296000000</v>
      </c>
      <c r="AD69" s="68" t="s">
        <v>1914</v>
      </c>
      <c r="AG69" s="631"/>
      <c r="AH69" s="631"/>
      <c r="AI69" s="580"/>
      <c r="AJ69" s="580"/>
      <c r="AK69" s="580"/>
      <c r="AL69" s="580"/>
      <c r="AM69" s="580"/>
      <c r="AN69" s="580"/>
      <c r="AO69" s="631"/>
    </row>
    <row r="70" spans="1:43" ht="18" customHeight="1" x14ac:dyDescent="0.25">
      <c r="A70" s="302">
        <f>IF(OR('Table 3-A| Emission Units'!$A94=0,'Table 3-A| Emission Units'!$B94=0),0,'Table 3-A| Emission Units'!A94&amp;"-"&amp;'Table 3-A| Emission Units'!B94)</f>
        <v>0</v>
      </c>
      <c r="B70" s="303">
        <f>'Table 3-A| Emission Units'!$C94</f>
        <v>30501123</v>
      </c>
      <c r="C70" s="305">
        <f>IF($A70=$A69,0,$L$5)</f>
        <v>0</v>
      </c>
      <c r="D70" s="242" t="s">
        <v>2042</v>
      </c>
      <c r="E70" s="305">
        <f t="shared" si="13"/>
        <v>0</v>
      </c>
      <c r="F70" s="305" t="s">
        <v>1885</v>
      </c>
      <c r="G70" s="387">
        <f t="shared" si="15"/>
        <v>0</v>
      </c>
      <c r="H70" s="388">
        <f t="shared" si="15"/>
        <v>0</v>
      </c>
      <c r="I70" s="388">
        <f t="shared" si="18"/>
        <v>0</v>
      </c>
      <c r="J70" s="388">
        <f t="shared" si="17"/>
        <v>0</v>
      </c>
      <c r="K70" s="388">
        <f t="shared" si="17"/>
        <v>0</v>
      </c>
      <c r="L70" s="388">
        <f t="shared" si="17"/>
        <v>0</v>
      </c>
      <c r="M70" s="388">
        <f t="shared" si="17"/>
        <v>0</v>
      </c>
      <c r="N70" s="388">
        <f t="shared" si="17"/>
        <v>0</v>
      </c>
      <c r="O70" s="389">
        <f t="shared" si="17"/>
        <v>0</v>
      </c>
      <c r="S70" s="584">
        <f t="shared" si="3"/>
        <v>3.3E-3</v>
      </c>
      <c r="T70" s="585">
        <f t="shared" si="4"/>
        <v>5.9400000000000002E-4</v>
      </c>
      <c r="U70" s="585">
        <f t="shared" si="5"/>
        <v>0</v>
      </c>
      <c r="V70" s="580">
        <f t="shared" si="6"/>
        <v>0</v>
      </c>
      <c r="W70" s="580">
        <f t="shared" si="7"/>
        <v>0</v>
      </c>
      <c r="X70" s="580">
        <f t="shared" si="8"/>
        <v>0</v>
      </c>
      <c r="Y70" s="580">
        <f t="shared" si="9"/>
        <v>0</v>
      </c>
      <c r="Z70" s="580">
        <f t="shared" si="10"/>
        <v>0</v>
      </c>
      <c r="AA70" s="583">
        <f t="shared" si="11"/>
        <v>0</v>
      </c>
      <c r="AC70" s="66"/>
      <c r="AD70" s="68"/>
    </row>
    <row r="71" spans="1:43" ht="18" customHeight="1" x14ac:dyDescent="0.25">
      <c r="A71" s="302">
        <f>IF(OR('Table 3-A| Emission Units'!$A95=0,'Table 3-A| Emission Units'!$B95=0),0,'Table 3-A| Emission Units'!A95&amp;"-"&amp;'Table 3-A| Emission Units'!B95)</f>
        <v>0</v>
      </c>
      <c r="B71" s="303">
        <f>'Table 3-A| Emission Units'!$C95</f>
        <v>30502001</v>
      </c>
      <c r="C71" s="305">
        <f>IF($A71=$A70,0,$L$5)</f>
        <v>0</v>
      </c>
      <c r="D71" s="242" t="s">
        <v>2042</v>
      </c>
      <c r="E71" s="305">
        <f t="shared" si="13"/>
        <v>0</v>
      </c>
      <c r="F71" s="305" t="s">
        <v>1885</v>
      </c>
      <c r="G71" s="387">
        <f t="shared" si="15"/>
        <v>0</v>
      </c>
      <c r="H71" s="388">
        <f t="shared" si="15"/>
        <v>0</v>
      </c>
      <c r="I71" s="388">
        <f t="shared" si="18"/>
        <v>0</v>
      </c>
      <c r="J71" s="388">
        <f t="shared" si="17"/>
        <v>0</v>
      </c>
      <c r="K71" s="388">
        <f t="shared" si="17"/>
        <v>0</v>
      </c>
      <c r="L71" s="388">
        <f t="shared" si="17"/>
        <v>0</v>
      </c>
      <c r="M71" s="388">
        <f t="shared" si="17"/>
        <v>0</v>
      </c>
      <c r="N71" s="388">
        <f t="shared" si="17"/>
        <v>0</v>
      </c>
      <c r="O71" s="389">
        <f t="shared" si="17"/>
        <v>0</v>
      </c>
      <c r="S71" s="584">
        <f t="shared" si="3"/>
        <v>2.3999999999999998E-3</v>
      </c>
      <c r="T71" s="585">
        <f t="shared" si="4"/>
        <v>4.3199999999999993E-4</v>
      </c>
      <c r="U71" s="585">
        <f t="shared" si="5"/>
        <v>0</v>
      </c>
      <c r="V71" s="580">
        <f t="shared" si="6"/>
        <v>0</v>
      </c>
      <c r="W71" s="580">
        <f t="shared" si="7"/>
        <v>0</v>
      </c>
      <c r="X71" s="580">
        <f t="shared" si="8"/>
        <v>0</v>
      </c>
      <c r="Y71" s="580">
        <f t="shared" si="9"/>
        <v>0</v>
      </c>
      <c r="Z71" s="580">
        <f t="shared" si="10"/>
        <v>0</v>
      </c>
      <c r="AA71" s="583">
        <f t="shared" si="11"/>
        <v>0</v>
      </c>
      <c r="AC71" s="66"/>
      <c r="AF71" s="1450" t="s">
        <v>2217</v>
      </c>
      <c r="AG71" s="1451"/>
      <c r="AH71" s="1451"/>
      <c r="AI71" s="1451"/>
      <c r="AJ71" s="1451"/>
      <c r="AK71" s="1452"/>
      <c r="AL71" s="1450" t="s">
        <v>2218</v>
      </c>
      <c r="AM71" s="1451"/>
      <c r="AN71" s="1451"/>
      <c r="AO71" s="1451"/>
      <c r="AP71" s="1451"/>
      <c r="AQ71" s="1452"/>
    </row>
    <row r="72" spans="1:43" ht="18" customHeight="1" x14ac:dyDescent="0.25">
      <c r="A72" s="302">
        <f>IF(OR('Table 3-A| Emission Units'!$A96=0,'Table 3-A| Emission Units'!$B96=0),0,'Table 3-A| Emission Units'!A96&amp;"-"&amp;'Table 3-A| Emission Units'!B96)</f>
        <v>0</v>
      </c>
      <c r="B72" s="303">
        <f>'Table 3-A| Emission Units'!$C96</f>
        <v>30502003</v>
      </c>
      <c r="C72" s="305">
        <f>IF($A72=$A71,0,$L$5)</f>
        <v>0</v>
      </c>
      <c r="D72" s="242" t="s">
        <v>2042</v>
      </c>
      <c r="E72" s="305">
        <f t="shared" si="13"/>
        <v>0</v>
      </c>
      <c r="F72" s="305" t="s">
        <v>1885</v>
      </c>
      <c r="G72" s="387">
        <f t="shared" si="15"/>
        <v>0</v>
      </c>
      <c r="H72" s="388">
        <f t="shared" si="15"/>
        <v>0</v>
      </c>
      <c r="I72" s="388">
        <f t="shared" si="18"/>
        <v>0</v>
      </c>
      <c r="J72" s="388">
        <f t="shared" si="17"/>
        <v>0</v>
      </c>
      <c r="K72" s="388">
        <f t="shared" si="17"/>
        <v>0</v>
      </c>
      <c r="L72" s="388">
        <f t="shared" si="17"/>
        <v>0</v>
      </c>
      <c r="M72" s="388">
        <f t="shared" si="17"/>
        <v>0</v>
      </c>
      <c r="N72" s="388">
        <f t="shared" si="17"/>
        <v>0</v>
      </c>
      <c r="O72" s="389">
        <f t="shared" si="17"/>
        <v>0</v>
      </c>
      <c r="S72" s="584">
        <f t="shared" si="3"/>
        <v>8.6999999999999994E-3</v>
      </c>
      <c r="T72" s="585">
        <f t="shared" si="4"/>
        <v>1.5659999999999999E-3</v>
      </c>
      <c r="U72" s="585">
        <f t="shared" si="5"/>
        <v>0</v>
      </c>
      <c r="V72" s="580">
        <f t="shared" si="6"/>
        <v>0</v>
      </c>
      <c r="W72" s="580">
        <f t="shared" si="7"/>
        <v>0</v>
      </c>
      <c r="X72" s="580">
        <f t="shared" si="8"/>
        <v>0</v>
      </c>
      <c r="Y72" s="580">
        <f t="shared" si="9"/>
        <v>0</v>
      </c>
      <c r="Z72" s="580">
        <f t="shared" si="10"/>
        <v>0</v>
      </c>
      <c r="AA72" s="583">
        <f t="shared" si="11"/>
        <v>0</v>
      </c>
      <c r="AC72" s="66"/>
      <c r="AF72" s="539" t="s">
        <v>2219</v>
      </c>
      <c r="AG72" s="539" t="s">
        <v>2220</v>
      </c>
      <c r="AH72" s="539" t="s">
        <v>2221</v>
      </c>
      <c r="AI72" s="539" t="s">
        <v>2222</v>
      </c>
      <c r="AJ72" s="539" t="s">
        <v>2223</v>
      </c>
      <c r="AK72" s="539" t="s">
        <v>2224</v>
      </c>
      <c r="AL72" s="539" t="s">
        <v>2219</v>
      </c>
      <c r="AM72" s="539" t="s">
        <v>2220</v>
      </c>
      <c r="AN72" s="539" t="s">
        <v>2221</v>
      </c>
      <c r="AO72" s="539" t="s">
        <v>2222</v>
      </c>
      <c r="AP72" s="539" t="s">
        <v>2223</v>
      </c>
      <c r="AQ72" s="539" t="s">
        <v>2224</v>
      </c>
    </row>
    <row r="73" spans="1:43" ht="18" customHeight="1" x14ac:dyDescent="0.25">
      <c r="A73" s="302">
        <f>IF(OR('Table 3-A| Emission Units'!$A97=0,'Table 3-A| Emission Units'!$B97=0),0,'Table 3-A| Emission Units'!A97&amp;"-"&amp;'Table 3-A| Emission Units'!B97)</f>
        <v>0</v>
      </c>
      <c r="B73" s="303">
        <f>'Table 3-A| Emission Units'!$C97</f>
        <v>30502006</v>
      </c>
      <c r="C73" s="305">
        <f>IF($A73=$A72,0,$L$5*0.05)</f>
        <v>0</v>
      </c>
      <c r="D73" s="242" t="s">
        <v>2042</v>
      </c>
      <c r="E73" s="305">
        <f t="shared" si="13"/>
        <v>0</v>
      </c>
      <c r="F73" s="305" t="s">
        <v>1885</v>
      </c>
      <c r="G73" s="387">
        <f t="shared" si="15"/>
        <v>0</v>
      </c>
      <c r="H73" s="388">
        <f t="shared" si="15"/>
        <v>0</v>
      </c>
      <c r="I73" s="388">
        <f t="shared" si="18"/>
        <v>0</v>
      </c>
      <c r="J73" s="388">
        <f t="shared" ref="J73:O73" si="19">IF($A73="","",0)</f>
        <v>0</v>
      </c>
      <c r="K73" s="388">
        <f t="shared" si="19"/>
        <v>0</v>
      </c>
      <c r="L73" s="388">
        <f t="shared" si="19"/>
        <v>0</v>
      </c>
      <c r="M73" s="388">
        <f t="shared" si="19"/>
        <v>0</v>
      </c>
      <c r="N73" s="388">
        <f t="shared" si="19"/>
        <v>0</v>
      </c>
      <c r="O73" s="389">
        <f t="shared" si="19"/>
        <v>0</v>
      </c>
      <c r="S73" s="584">
        <f t="shared" si="3"/>
        <v>1.1000000000000001E-3</v>
      </c>
      <c r="T73" s="585">
        <f t="shared" si="4"/>
        <v>1.9800000000000002E-4</v>
      </c>
      <c r="U73" s="585">
        <f t="shared" si="5"/>
        <v>0</v>
      </c>
      <c r="V73" s="580">
        <f t="shared" si="6"/>
        <v>0</v>
      </c>
      <c r="W73" s="580">
        <f t="shared" si="7"/>
        <v>0</v>
      </c>
      <c r="X73" s="580">
        <f t="shared" si="8"/>
        <v>0</v>
      </c>
      <c r="Y73" s="580">
        <f t="shared" si="9"/>
        <v>0</v>
      </c>
      <c r="Z73" s="580">
        <f t="shared" si="10"/>
        <v>0</v>
      </c>
      <c r="AA73" s="583">
        <f t="shared" si="11"/>
        <v>0</v>
      </c>
      <c r="AD73" s="1449" t="s">
        <v>2296</v>
      </c>
      <c r="AE73" s="1385"/>
      <c r="AF73" s="593">
        <f>IFERROR(((J$13/5280)/2)*(($E$49)/$J$15),0)</f>
        <v>0</v>
      </c>
      <c r="AG73" s="593">
        <f>IFERROR(((K$13/5280)/2)*(($E$60)/$J$15),0)</f>
        <v>0</v>
      </c>
      <c r="AH73" s="593">
        <f>IFERROR(((L$13/5280)/2)*(($E$71)/$J$15),0)</f>
        <v>0</v>
      </c>
      <c r="AI73" s="712">
        <f t="shared" ref="AI73:AK74" si="20">AF73</f>
        <v>0</v>
      </c>
      <c r="AJ73" s="712">
        <f t="shared" si="20"/>
        <v>0</v>
      </c>
      <c r="AK73" s="712">
        <f t="shared" si="20"/>
        <v>0</v>
      </c>
      <c r="AL73" s="593">
        <f>IFERROR(((J$17/5280)/2)*(($E$49)/$M$19),0)</f>
        <v>0</v>
      </c>
      <c r="AM73" s="593">
        <f>IFERROR(((K$17/5280)/2)*(($E$60)/$M$19),0)</f>
        <v>0</v>
      </c>
      <c r="AN73" s="593">
        <f>IFERROR(((L$17/5280)/2)*(($E$71)/$M$19),0)</f>
        <v>0</v>
      </c>
      <c r="AO73" s="712">
        <f t="shared" ref="AO73:AQ76" si="21">AL73</f>
        <v>0</v>
      </c>
      <c r="AP73" s="712">
        <f t="shared" si="21"/>
        <v>0</v>
      </c>
      <c r="AQ73" s="712">
        <f t="shared" si="21"/>
        <v>0</v>
      </c>
    </row>
    <row r="74" spans="1:43" ht="18" customHeight="1" x14ac:dyDescent="0.25">
      <c r="A74" s="302">
        <f>IF(OR('Table 3-A| Emission Units'!$A98=0,'Table 3-A| Emission Units'!$B98=0),0,'Table 3-A| Emission Units'!A98&amp;"-"&amp;'Table 3-A| Emission Units'!B98)</f>
        <v>0</v>
      </c>
      <c r="B74" s="303">
        <f>'Table 3-A| Emission Units'!$C98</f>
        <v>30501123</v>
      </c>
      <c r="C74" s="305">
        <f>IF($A74=$A73,0,$L$5*0.05)</f>
        <v>0</v>
      </c>
      <c r="D74" s="242" t="s">
        <v>2042</v>
      </c>
      <c r="E74" s="305">
        <f t="shared" si="13"/>
        <v>0</v>
      </c>
      <c r="F74" s="305" t="s">
        <v>1885</v>
      </c>
      <c r="G74" s="387">
        <f t="shared" si="15"/>
        <v>0</v>
      </c>
      <c r="H74" s="388">
        <f t="shared" si="15"/>
        <v>0</v>
      </c>
      <c r="I74" s="388">
        <f t="shared" si="17"/>
        <v>0</v>
      </c>
      <c r="J74" s="388">
        <f t="shared" si="17"/>
        <v>0</v>
      </c>
      <c r="K74" s="388">
        <f t="shared" si="17"/>
        <v>0</v>
      </c>
      <c r="L74" s="388">
        <f t="shared" si="17"/>
        <v>0</v>
      </c>
      <c r="M74" s="388">
        <f t="shared" si="17"/>
        <v>0</v>
      </c>
      <c r="N74" s="388">
        <f t="shared" si="17"/>
        <v>0</v>
      </c>
      <c r="O74" s="389">
        <f t="shared" si="17"/>
        <v>0</v>
      </c>
      <c r="S74" s="584">
        <f t="shared" si="3"/>
        <v>3.3E-3</v>
      </c>
      <c r="T74" s="585">
        <f t="shared" si="4"/>
        <v>5.9400000000000002E-4</v>
      </c>
      <c r="U74" s="585">
        <f t="shared" si="5"/>
        <v>0</v>
      </c>
      <c r="V74" s="580">
        <f t="shared" si="6"/>
        <v>0</v>
      </c>
      <c r="W74" s="580">
        <f t="shared" si="7"/>
        <v>0</v>
      </c>
      <c r="X74" s="580">
        <f t="shared" si="8"/>
        <v>0</v>
      </c>
      <c r="Y74" s="580">
        <f t="shared" si="9"/>
        <v>0</v>
      </c>
      <c r="Z74" s="580">
        <f t="shared" si="10"/>
        <v>0</v>
      </c>
      <c r="AA74" s="583">
        <f t="shared" si="11"/>
        <v>0</v>
      </c>
      <c r="AD74" s="1449" t="s">
        <v>2297</v>
      </c>
      <c r="AE74" s="1385"/>
      <c r="AF74" s="593">
        <f>IFERROR(((J$14/5280)/2)*(($E$49)/$J$15),0)</f>
        <v>0</v>
      </c>
      <c r="AG74" s="593">
        <f>IFERROR(((K$14/5280)/2)*(($E$60)/$J$15),0)</f>
        <v>0</v>
      </c>
      <c r="AH74" s="593">
        <f>IFERROR(((L$14/5280)/2)*(($E$71)/$J$15),0)</f>
        <v>0</v>
      </c>
      <c r="AI74" s="712">
        <f t="shared" si="20"/>
        <v>0</v>
      </c>
      <c r="AJ74" s="712">
        <f t="shared" si="20"/>
        <v>0</v>
      </c>
      <c r="AK74" s="712">
        <f t="shared" si="20"/>
        <v>0</v>
      </c>
      <c r="AL74" s="593">
        <f>IFERROR(((J$18/5280)/2)*(($E$49)/$M$19),0)</f>
        <v>0</v>
      </c>
      <c r="AM74" s="593">
        <f>IFERROR(((K$18/5280)/2)*(($E$60)/$M$19),0)</f>
        <v>0</v>
      </c>
      <c r="AN74" s="593">
        <f>IFERROR(((L$18/5280)/2)*(($E$71)/$M$19),0)</f>
        <v>0</v>
      </c>
      <c r="AO74" s="712">
        <f t="shared" si="21"/>
        <v>0</v>
      </c>
      <c r="AP74" s="712">
        <f t="shared" si="21"/>
        <v>0</v>
      </c>
      <c r="AQ74" s="712">
        <f t="shared" si="21"/>
        <v>0</v>
      </c>
    </row>
    <row r="75" spans="1:43" ht="18" customHeight="1" x14ac:dyDescent="0.25">
      <c r="A75" s="302">
        <f>IF(OR('Table 3-A| Emission Units'!$A99=0,'Table 3-A| Emission Units'!$B99=0),0,'Table 3-A| Emission Units'!A99&amp;"-"&amp;'Table 3-A| Emission Units'!B99)</f>
        <v>0</v>
      </c>
      <c r="B75" s="303">
        <f>'Table 3-A| Emission Units'!$C99</f>
        <v>30502002</v>
      </c>
      <c r="C75" s="305">
        <f>IF($A75=$A74,0,$L$5*0.05)</f>
        <v>0</v>
      </c>
      <c r="D75" s="242" t="s">
        <v>2042</v>
      </c>
      <c r="E75" s="305">
        <f t="shared" si="13"/>
        <v>0</v>
      </c>
      <c r="F75" s="305" t="s">
        <v>1885</v>
      </c>
      <c r="G75" s="387">
        <f t="shared" si="15"/>
        <v>0</v>
      </c>
      <c r="H75" s="388">
        <f t="shared" si="15"/>
        <v>0</v>
      </c>
      <c r="I75" s="388">
        <f t="shared" si="17"/>
        <v>0</v>
      </c>
      <c r="J75" s="388">
        <f t="shared" si="17"/>
        <v>0</v>
      </c>
      <c r="K75" s="388">
        <f t="shared" si="17"/>
        <v>0</v>
      </c>
      <c r="L75" s="388">
        <f t="shared" si="17"/>
        <v>0</v>
      </c>
      <c r="M75" s="388">
        <f t="shared" si="17"/>
        <v>0</v>
      </c>
      <c r="N75" s="388">
        <f t="shared" si="17"/>
        <v>0</v>
      </c>
      <c r="O75" s="389">
        <f t="shared" si="17"/>
        <v>0</v>
      </c>
      <c r="S75" s="584">
        <f t="shared" si="3"/>
        <v>2.3999999999999998E-3</v>
      </c>
      <c r="T75" s="585">
        <f t="shared" si="4"/>
        <v>4.3199999999999993E-4</v>
      </c>
      <c r="U75" s="585">
        <f t="shared" si="5"/>
        <v>0</v>
      </c>
      <c r="V75" s="580">
        <f t="shared" si="6"/>
        <v>0</v>
      </c>
      <c r="W75" s="580">
        <f t="shared" si="7"/>
        <v>0</v>
      </c>
      <c r="X75" s="580">
        <f t="shared" si="8"/>
        <v>0</v>
      </c>
      <c r="Y75" s="580">
        <f t="shared" si="9"/>
        <v>0</v>
      </c>
      <c r="Z75" s="580">
        <f t="shared" si="10"/>
        <v>0</v>
      </c>
      <c r="AA75" s="583">
        <f t="shared" si="11"/>
        <v>0</v>
      </c>
      <c r="AD75" s="1449" t="s">
        <v>2298</v>
      </c>
      <c r="AE75" s="1385"/>
      <c r="AF75" s="713"/>
      <c r="AG75" s="713"/>
      <c r="AH75" s="713"/>
      <c r="AI75" s="713"/>
      <c r="AJ75" s="713"/>
      <c r="AK75" s="713"/>
      <c r="AL75" s="593">
        <f>IFERROR(((J$23/5280)/2)*(($E$80)/$M$25),0)</f>
        <v>0</v>
      </c>
      <c r="AM75" s="593">
        <f>IFERROR(((K$23/5280)/2)*(($E$81)/$M$25),0)</f>
        <v>0</v>
      </c>
      <c r="AN75" s="593">
        <f>IFERROR(((L$23/5280)/2)*(($E$82)/$M$25),0)</f>
        <v>0</v>
      </c>
      <c r="AO75" s="712">
        <f t="shared" si="21"/>
        <v>0</v>
      </c>
      <c r="AP75" s="712">
        <f t="shared" si="21"/>
        <v>0</v>
      </c>
      <c r="AQ75" s="712">
        <f t="shared" si="21"/>
        <v>0</v>
      </c>
    </row>
    <row r="76" spans="1:43" ht="18" customHeight="1" x14ac:dyDescent="0.25">
      <c r="A76" s="302">
        <f>IF(OR('Table 3-A| Emission Units'!$A100=0,'Table 3-A| Emission Units'!$B100=0),0,'Table 3-A| Emission Units'!A100&amp;"-"&amp;'Table 3-A| Emission Units'!B100)</f>
        <v>0</v>
      </c>
      <c r="B76" s="303">
        <f>'Table 3-A| Emission Units'!$C100</f>
        <v>30502006</v>
      </c>
      <c r="C76" s="305">
        <f>IF($A76=$A75,0,$L$5)</f>
        <v>0</v>
      </c>
      <c r="D76" s="242" t="s">
        <v>2042</v>
      </c>
      <c r="E76" s="305">
        <f t="shared" si="13"/>
        <v>0</v>
      </c>
      <c r="F76" s="305" t="s">
        <v>1885</v>
      </c>
      <c r="G76" s="387">
        <f t="shared" si="15"/>
        <v>0</v>
      </c>
      <c r="H76" s="388">
        <f t="shared" si="15"/>
        <v>0</v>
      </c>
      <c r="I76" s="388">
        <f t="shared" si="17"/>
        <v>0</v>
      </c>
      <c r="J76" s="388">
        <f t="shared" si="17"/>
        <v>0</v>
      </c>
      <c r="K76" s="388">
        <f t="shared" si="17"/>
        <v>0</v>
      </c>
      <c r="L76" s="388">
        <f t="shared" si="17"/>
        <v>0</v>
      </c>
      <c r="M76" s="388">
        <f t="shared" si="17"/>
        <v>0</v>
      </c>
      <c r="N76" s="388">
        <f t="shared" si="17"/>
        <v>0</v>
      </c>
      <c r="O76" s="389">
        <f t="shared" si="17"/>
        <v>0</v>
      </c>
      <c r="S76" s="584">
        <f t="shared" si="3"/>
        <v>1.1000000000000001E-3</v>
      </c>
      <c r="T76" s="585">
        <f t="shared" si="4"/>
        <v>1.9800000000000002E-4</v>
      </c>
      <c r="U76" s="585">
        <f t="shared" si="5"/>
        <v>0</v>
      </c>
      <c r="V76" s="580">
        <f t="shared" si="6"/>
        <v>0</v>
      </c>
      <c r="W76" s="580">
        <f t="shared" si="7"/>
        <v>0</v>
      </c>
      <c r="X76" s="580">
        <f t="shared" si="8"/>
        <v>0</v>
      </c>
      <c r="Y76" s="580">
        <f t="shared" si="9"/>
        <v>0</v>
      </c>
      <c r="Z76" s="580">
        <f t="shared" si="10"/>
        <v>0</v>
      </c>
      <c r="AA76" s="583">
        <f t="shared" si="11"/>
        <v>0</v>
      </c>
      <c r="AD76" s="1449" t="s">
        <v>2299</v>
      </c>
      <c r="AE76" s="1385"/>
      <c r="AF76" s="713"/>
      <c r="AG76" s="713"/>
      <c r="AH76" s="713"/>
      <c r="AI76" s="713"/>
      <c r="AJ76" s="713"/>
      <c r="AK76" s="713"/>
      <c r="AL76" s="593">
        <f>IFERROR(((J$24/5280)/2)*(($E$80)/$M$25),0)</f>
        <v>0</v>
      </c>
      <c r="AM76" s="593">
        <f>IFERROR(((K$24/5280)/2)*(($E$81)/$M$25),0)</f>
        <v>0</v>
      </c>
      <c r="AN76" s="593">
        <f>IFERROR(((L$24/5280)/2)*(($E$82)/$M$25),0)</f>
        <v>0</v>
      </c>
      <c r="AO76" s="712">
        <f t="shared" si="21"/>
        <v>0</v>
      </c>
      <c r="AP76" s="712">
        <f t="shared" si="21"/>
        <v>0</v>
      </c>
      <c r="AQ76" s="712">
        <f t="shared" si="21"/>
        <v>0</v>
      </c>
    </row>
    <row r="77" spans="1:43" ht="18" customHeight="1" x14ac:dyDescent="0.25">
      <c r="A77" s="302">
        <f>IF(OR('Table 3-A| Emission Units'!$A101=0,'Table 3-A| Emission Units'!$B101=0),0,'Table 3-A| Emission Units'!A101&amp;"-"&amp;'Table 3-A| Emission Units'!B101)</f>
        <v>0</v>
      </c>
      <c r="B77" s="303">
        <f>'Table 3-A| Emission Units'!$C101</f>
        <v>30501123</v>
      </c>
      <c r="C77" s="305">
        <f>IF($A77=$A76,0,$L$5)</f>
        <v>0</v>
      </c>
      <c r="D77" s="242" t="s">
        <v>2042</v>
      </c>
      <c r="E77" s="305">
        <f t="shared" si="13"/>
        <v>0</v>
      </c>
      <c r="F77" s="305" t="s">
        <v>1885</v>
      </c>
      <c r="G77" s="387">
        <f t="shared" si="15"/>
        <v>0</v>
      </c>
      <c r="H77" s="388">
        <f t="shared" si="15"/>
        <v>0</v>
      </c>
      <c r="I77" s="388">
        <f t="shared" si="17"/>
        <v>0</v>
      </c>
      <c r="J77" s="388">
        <f t="shared" si="17"/>
        <v>0</v>
      </c>
      <c r="K77" s="388">
        <f t="shared" si="17"/>
        <v>0</v>
      </c>
      <c r="L77" s="388">
        <f t="shared" si="17"/>
        <v>0</v>
      </c>
      <c r="M77" s="388">
        <f t="shared" si="17"/>
        <v>0</v>
      </c>
      <c r="N77" s="388">
        <f t="shared" si="17"/>
        <v>0</v>
      </c>
      <c r="O77" s="389">
        <f t="shared" si="17"/>
        <v>0</v>
      </c>
      <c r="S77" s="584">
        <f t="shared" si="3"/>
        <v>3.3E-3</v>
      </c>
      <c r="T77" s="585">
        <f t="shared" si="4"/>
        <v>5.9400000000000002E-4</v>
      </c>
      <c r="U77" s="585">
        <f t="shared" si="5"/>
        <v>0</v>
      </c>
      <c r="V77" s="580">
        <f t="shared" si="6"/>
        <v>0</v>
      </c>
      <c r="W77" s="580">
        <f t="shared" si="7"/>
        <v>0</v>
      </c>
      <c r="X77" s="580">
        <f t="shared" si="8"/>
        <v>0</v>
      </c>
      <c r="Y77" s="580">
        <f t="shared" si="9"/>
        <v>0</v>
      </c>
      <c r="Z77" s="580">
        <f t="shared" si="10"/>
        <v>0</v>
      </c>
      <c r="AA77" s="583">
        <f t="shared" si="11"/>
        <v>0</v>
      </c>
    </row>
    <row r="78" spans="1:43" ht="18" customHeight="1" thickBot="1" x14ac:dyDescent="0.3">
      <c r="A78" s="302">
        <f>IF(OR('Table 3-A| Emission Units'!$A102=0,'Table 3-A| Emission Units'!$B102=0),0,'Table 3-A| Emission Units'!A102&amp;"-"&amp;'Table 3-A| Emission Units'!B102)</f>
        <v>0</v>
      </c>
      <c r="B78" s="303">
        <f>'Table 3-A| Emission Units'!$C102</f>
        <v>30502032</v>
      </c>
      <c r="C78" s="305">
        <f>IF($A78=$A77,0,$L$5)</f>
        <v>0</v>
      </c>
      <c r="D78" s="242" t="s">
        <v>2042</v>
      </c>
      <c r="E78" s="305">
        <f t="shared" si="13"/>
        <v>0</v>
      </c>
      <c r="F78" s="305" t="str">
        <f>IF($A78="","","WebFIRE")</f>
        <v>WebFIRE</v>
      </c>
      <c r="G78" s="387">
        <f t="shared" si="15"/>
        <v>0</v>
      </c>
      <c r="H78" s="388">
        <f t="shared" si="15"/>
        <v>0</v>
      </c>
      <c r="I78" s="388">
        <f t="shared" si="17"/>
        <v>0</v>
      </c>
      <c r="J78" s="388">
        <f t="shared" si="17"/>
        <v>0</v>
      </c>
      <c r="K78" s="388">
        <f t="shared" si="17"/>
        <v>0</v>
      </c>
      <c r="L78" s="388">
        <f t="shared" si="17"/>
        <v>0</v>
      </c>
      <c r="M78" s="388">
        <f t="shared" si="17"/>
        <v>0</v>
      </c>
      <c r="N78" s="388">
        <f t="shared" si="17"/>
        <v>0</v>
      </c>
      <c r="O78" s="389">
        <f t="shared" si="17"/>
        <v>0</v>
      </c>
      <c r="S78" s="584">
        <f t="shared" si="3"/>
        <v>1E-4</v>
      </c>
      <c r="T78" s="585">
        <f t="shared" si="4"/>
        <v>1.8E-5</v>
      </c>
      <c r="U78" s="585">
        <f t="shared" si="5"/>
        <v>0</v>
      </c>
      <c r="V78" s="580">
        <f t="shared" si="6"/>
        <v>0</v>
      </c>
      <c r="W78" s="580">
        <f t="shared" si="7"/>
        <v>0</v>
      </c>
      <c r="X78" s="580">
        <f t="shared" si="8"/>
        <v>0</v>
      </c>
      <c r="Y78" s="580">
        <f t="shared" si="9"/>
        <v>0</v>
      </c>
      <c r="Z78" s="580">
        <f t="shared" si="10"/>
        <v>0</v>
      </c>
      <c r="AA78" s="583">
        <f t="shared" si="11"/>
        <v>0</v>
      </c>
      <c r="AF78" s="1450" t="s">
        <v>2313</v>
      </c>
      <c r="AG78" s="1451"/>
      <c r="AH78" s="1451"/>
      <c r="AI78" s="1451"/>
      <c r="AJ78" s="1451"/>
      <c r="AK78" s="1452"/>
      <c r="AL78" s="1450" t="s">
        <v>2314</v>
      </c>
      <c r="AM78" s="1451"/>
      <c r="AN78" s="1451"/>
      <c r="AO78" s="1451"/>
      <c r="AP78" s="1451"/>
      <c r="AQ78" s="1452"/>
    </row>
    <row r="79" spans="1:43" ht="18" customHeight="1" x14ac:dyDescent="0.25">
      <c r="A79" s="1400" t="str">
        <f>'Table 3-A| Emission Units'!A103:E103</f>
        <v>Reclaimed Material Screening Emission Units</v>
      </c>
      <c r="B79" s="1401"/>
      <c r="C79" s="1401"/>
      <c r="D79" s="1401"/>
      <c r="E79" s="1401"/>
      <c r="F79" s="1401"/>
      <c r="G79" s="1401"/>
      <c r="H79" s="1401"/>
      <c r="I79" s="1401"/>
      <c r="J79" s="1401"/>
      <c r="K79" s="1401"/>
      <c r="L79" s="1401"/>
      <c r="M79" s="1401"/>
      <c r="N79" s="1401"/>
      <c r="O79" s="1402"/>
      <c r="S79" s="1391" t="s">
        <v>2214</v>
      </c>
      <c r="T79" s="1392"/>
      <c r="U79" s="1392"/>
      <c r="V79" s="1392"/>
      <c r="W79" s="1392"/>
      <c r="X79" s="1392"/>
      <c r="Y79" s="1392"/>
      <c r="Z79" s="1392"/>
      <c r="AA79" s="1393"/>
      <c r="AF79" s="539" t="s">
        <v>2219</v>
      </c>
      <c r="AG79" s="539" t="s">
        <v>2220</v>
      </c>
      <c r="AH79" s="539" t="s">
        <v>2221</v>
      </c>
      <c r="AI79" s="539" t="s">
        <v>2222</v>
      </c>
      <c r="AJ79" s="539" t="s">
        <v>2223</v>
      </c>
      <c r="AK79" s="539" t="s">
        <v>2224</v>
      </c>
      <c r="AL79" s="539" t="s">
        <v>2219</v>
      </c>
      <c r="AM79" s="539" t="s">
        <v>2220</v>
      </c>
      <c r="AN79" s="539" t="s">
        <v>2221</v>
      </c>
      <c r="AO79" s="539" t="s">
        <v>2222</v>
      </c>
      <c r="AP79" s="539" t="s">
        <v>2223</v>
      </c>
      <c r="AQ79" s="539" t="s">
        <v>2224</v>
      </c>
    </row>
    <row r="80" spans="1:43" ht="18" customHeight="1" x14ac:dyDescent="0.25">
      <c r="A80" s="302">
        <f>IF('Table 3-A| Emission Units'!$M104=0,0,'Table 3-A| Emission Units'!A104&amp;"-"&amp;'Table 3-A| Emission Units'!B104)</f>
        <v>0</v>
      </c>
      <c r="B80" s="303" t="str">
        <f>IF(OR('Table 3-A| Emission Units'!$B104&gt;'Table 3-A| Emission Units'!$E$5,ISBLANK('Table 3-A| Emission Units'!$E$5)),"",'Table 3-A| Emission Units'!C104)</f>
        <v/>
      </c>
      <c r="C80" s="305">
        <f>$J$8</f>
        <v>0</v>
      </c>
      <c r="D80" s="242" t="s">
        <v>2042</v>
      </c>
      <c r="E80" s="305">
        <f>IFERROR(IF(A80=0,0,C80*8760),"")</f>
        <v>0</v>
      </c>
      <c r="F80" s="305" t="str">
        <f>IF($A80="","","WebFIRE")</f>
        <v>WebFIRE</v>
      </c>
      <c r="G80" s="387" t="str">
        <f t="shared" ref="G80:H82" si="22">IFERROR(IF($A80="","",$E80*S80),"")</f>
        <v/>
      </c>
      <c r="H80" s="388" t="str">
        <f t="shared" si="22"/>
        <v/>
      </c>
      <c r="I80" s="388">
        <f t="shared" ref="I80:O82" si="23">IF($A80="","",0)</f>
        <v>0</v>
      </c>
      <c r="J80" s="388">
        <f t="shared" si="23"/>
        <v>0</v>
      </c>
      <c r="K80" s="388">
        <f t="shared" si="23"/>
        <v>0</v>
      </c>
      <c r="L80" s="388">
        <f t="shared" si="23"/>
        <v>0</v>
      </c>
      <c r="M80" s="388">
        <f t="shared" si="23"/>
        <v>0</v>
      </c>
      <c r="N80" s="388">
        <f t="shared" si="23"/>
        <v>0</v>
      </c>
      <c r="O80" s="389">
        <f t="shared" si="23"/>
        <v>0</v>
      </c>
      <c r="S80" s="584" t="e">
        <f>VLOOKUP($B80,$AC$45:$AO$67,5,FALSE)</f>
        <v>#N/A</v>
      </c>
      <c r="T80" s="585" t="e">
        <f>VLOOKUP($B80,$AC$45:$AO$67,6,FALSE)</f>
        <v>#N/A</v>
      </c>
      <c r="U80" s="585" t="e">
        <f>VLOOKUP($B80,$AC$45:$AO$67,7,FALSE)</f>
        <v>#N/A</v>
      </c>
      <c r="V80" s="580" t="e">
        <f>VLOOKUP($B80,$AC$45:$AO$67,8,FALSE)</f>
        <v>#N/A</v>
      </c>
      <c r="W80" s="580" t="e">
        <f>VLOOKUP($B80,$AC$45:$AO$67,9,FALSE)</f>
        <v>#N/A</v>
      </c>
      <c r="X80" s="580" t="e">
        <f>VLOOKUP($B80,$AC$45:$AO$67,10,FALSE)</f>
        <v>#N/A</v>
      </c>
      <c r="Y80" s="580" t="e">
        <f>VLOOKUP($B80,$AC$45:$AO$67,11,FALSE)</f>
        <v>#N/A</v>
      </c>
      <c r="Z80" s="580" t="e">
        <f>VLOOKUP($B80,$AC$45:$AO$67,12,FALSE)</f>
        <v>#N/A</v>
      </c>
      <c r="AA80" s="583" t="e">
        <f>VLOOKUP($B80,$AC$45:$AO$67,13,FALSE)</f>
        <v>#N/A</v>
      </c>
      <c r="AD80" s="1449" t="s">
        <v>2296</v>
      </c>
      <c r="AE80" s="1385"/>
      <c r="AF80" s="593">
        <f>AF$73*($AH$96*($AH$98^0.91)*(SUM($J$15,$J$16)^1.02))</f>
        <v>0</v>
      </c>
      <c r="AG80" s="593">
        <f>AG$73*($AH$96*($AH$98^0.91)*(SUM($J$15,$J$16)^1.02))</f>
        <v>0</v>
      </c>
      <c r="AH80" s="593">
        <f>AH$73*($AH$96*($AH$98^0.91)*(SUM($J$15,$J$16)^1.02))</f>
        <v>0</v>
      </c>
      <c r="AI80" s="593">
        <f>AI$73*($AH$96*($AH$98^0.91)*($J$16^1.02))</f>
        <v>0</v>
      </c>
      <c r="AJ80" s="593">
        <f>AJ$73*($AH$96*($AH$98^0.91)*($J$16^1.02))</f>
        <v>0</v>
      </c>
      <c r="AK80" s="593">
        <f>AK$73*($AH$96*($AH$98^0.91)*($J$16^1.02))</f>
        <v>0</v>
      </c>
      <c r="AL80" s="593">
        <f>AL$73*($AH$96*($AH$98^0.91)*(SUM($M$19,$J$20)^1.02))</f>
        <v>0</v>
      </c>
      <c r="AM80" s="593">
        <f>AM$73*($AH$96*($AH$98^0.91)*(SUM($M$19,$J$20)^1.02))</f>
        <v>0</v>
      </c>
      <c r="AN80" s="593">
        <f>AN$73*($AH$96*($AH$98^0.91)*(SUM($M$19,$J$20)^1.02))</f>
        <v>0</v>
      </c>
      <c r="AO80" s="593">
        <f>AO$73*($AH$96*($AH$98^0.91)*($J$20^1.02))</f>
        <v>0</v>
      </c>
      <c r="AP80" s="593">
        <f>AP$73*($AH$96*($AH$98^0.91)*($J$20^1.02))</f>
        <v>0</v>
      </c>
      <c r="AQ80" s="593">
        <f>AQ$73*($AH$96*($AH$98^0.91)*($J$20^1.02))</f>
        <v>0</v>
      </c>
    </row>
    <row r="81" spans="1:43" ht="18" customHeight="1" x14ac:dyDescent="0.25">
      <c r="A81" s="302">
        <f>IF('Table 3-A| Emission Units'!$M105=0,0,'Table 3-A| Emission Units'!A105&amp;"-"&amp;'Table 3-A| Emission Units'!B105)</f>
        <v>0</v>
      </c>
      <c r="B81" s="303" t="str">
        <f>IF(OR('Table 3-A| Emission Units'!$B105&gt;'Table 3-A| Emission Units'!$E$5,ISBLANK('Table 3-A| Emission Units'!$E$5)),"",'Table 3-A| Emission Units'!C105)</f>
        <v/>
      </c>
      <c r="C81" s="305">
        <f>$K$8</f>
        <v>0</v>
      </c>
      <c r="D81" s="242" t="s">
        <v>2042</v>
      </c>
      <c r="E81" s="305">
        <f>IFERROR(IF(A81=0,0,C81*8760),"")</f>
        <v>0</v>
      </c>
      <c r="F81" s="305" t="str">
        <f>IF($A81="","","WebFIRE")</f>
        <v>WebFIRE</v>
      </c>
      <c r="G81" s="387" t="str">
        <f t="shared" si="22"/>
        <v/>
      </c>
      <c r="H81" s="388" t="str">
        <f t="shared" si="22"/>
        <v/>
      </c>
      <c r="I81" s="388">
        <f t="shared" si="23"/>
        <v>0</v>
      </c>
      <c r="J81" s="388">
        <f t="shared" si="23"/>
        <v>0</v>
      </c>
      <c r="K81" s="388">
        <f t="shared" si="23"/>
        <v>0</v>
      </c>
      <c r="L81" s="388">
        <f t="shared" si="23"/>
        <v>0</v>
      </c>
      <c r="M81" s="388">
        <f t="shared" si="23"/>
        <v>0</v>
      </c>
      <c r="N81" s="388">
        <f t="shared" si="23"/>
        <v>0</v>
      </c>
      <c r="O81" s="389">
        <f t="shared" si="23"/>
        <v>0</v>
      </c>
      <c r="S81" s="584" t="e">
        <f>VLOOKUP($B81,$AC$45:$AO$67,5,FALSE)</f>
        <v>#N/A</v>
      </c>
      <c r="T81" s="585" t="e">
        <f>VLOOKUP($B81,$AC$45:$AO$67,6,FALSE)</f>
        <v>#N/A</v>
      </c>
      <c r="U81" s="585" t="e">
        <f>VLOOKUP($B81,$AC$45:$AO$67,7,FALSE)</f>
        <v>#N/A</v>
      </c>
      <c r="V81" s="580" t="e">
        <f>VLOOKUP($B81,$AC$45:$AO$67,8,FALSE)</f>
        <v>#N/A</v>
      </c>
      <c r="W81" s="580" t="e">
        <f>VLOOKUP($B81,$AC$45:$AO$67,9,FALSE)</f>
        <v>#N/A</v>
      </c>
      <c r="X81" s="580" t="e">
        <f>VLOOKUP($B81,$AC$45:$AO$67,10,FALSE)</f>
        <v>#N/A</v>
      </c>
      <c r="Y81" s="580" t="e">
        <f>VLOOKUP($B81,$AC$45:$AO$67,11,FALSE)</f>
        <v>#N/A</v>
      </c>
      <c r="Z81" s="580" t="e">
        <f>VLOOKUP($B81,$AC$45:$AO$67,12,FALSE)</f>
        <v>#N/A</v>
      </c>
      <c r="AA81" s="583" t="e">
        <f>VLOOKUP($B81,$AC$45:$AO$67,13,FALSE)</f>
        <v>#N/A</v>
      </c>
      <c r="AB81" s="539"/>
      <c r="AD81" s="1449" t="s">
        <v>2297</v>
      </c>
      <c r="AE81" s="1385"/>
      <c r="AF81" s="593">
        <f>AF$74*($AH$105*(($AH$107/12)^$AH$108)*((SUM($J$15,$J$16)/3)^$AH$110))</f>
        <v>0</v>
      </c>
      <c r="AG81" s="593">
        <f>AG$74*($AH$105*(($AH$107/12)^$AH$108)*((SUM($J$15,$J$16)/3)^$AH$110))</f>
        <v>0</v>
      </c>
      <c r="AH81" s="593">
        <f>AH$74*($AH$105*(($AH$107/12)^$AH$108)*((SUM($J$15,$J$16)/3)^$AH$110))</f>
        <v>0</v>
      </c>
      <c r="AI81" s="593">
        <f>AI$74*($AH$105*(($AH$107/12)^$AH$108)*(($J$16/3)^$AH$110))</f>
        <v>0</v>
      </c>
      <c r="AJ81" s="593">
        <f>AJ$74*($AH$105*(($AH$107/12)^$AH$108)*(($J$16/3)^$AH$110))</f>
        <v>0</v>
      </c>
      <c r="AK81" s="593">
        <f>AK$74*($AH$105*(($AH$107/12)^$AH$108)*(($J$16/3)^$AH$110))</f>
        <v>0</v>
      </c>
      <c r="AL81" s="593">
        <f>AL$74*($AH$105*(($AH$107/12)^$AH$108)*((SUM($M$19,$J$20)/3)^$AH$110))</f>
        <v>0</v>
      </c>
      <c r="AM81" s="593">
        <f>AM$74*($AH$105*(($AH$107/12)^$AH$108)*((SUM($M$19,$J$20)/3)^$AH$110))</f>
        <v>0</v>
      </c>
      <c r="AN81" s="593">
        <f>AN$74*($AH$105*(($AH$107/12)^$AH$108)*((SUM($M$19,$J$20)/3)^$AH$110))</f>
        <v>0</v>
      </c>
      <c r="AO81" s="593">
        <f>AO$74*($AH$105*(($AH$107/12)^$AH$108)*(($J$20/3)^$AH$110))</f>
        <v>0</v>
      </c>
      <c r="AP81" s="593">
        <f>AP$74*($AH$105*(($AH$107/12)^$AH$108)*(($J$20/3)^$AH$110))</f>
        <v>0</v>
      </c>
      <c r="AQ81" s="593">
        <f>AQ$74*($AH$105*(($AH$107/12)^$AH$108)*(($J$20/3)^$AH$110))</f>
        <v>0</v>
      </c>
    </row>
    <row r="82" spans="1:43" ht="18" customHeight="1" thickBot="1" x14ac:dyDescent="0.3">
      <c r="A82" s="309">
        <f>IF('Table 3-A| Emission Units'!$M106=0,0,'Table 3-A| Emission Units'!A106&amp;"-"&amp;'Table 3-A| Emission Units'!B106)</f>
        <v>0</v>
      </c>
      <c r="B82" s="310" t="str">
        <f>IF(OR('Table 3-A| Emission Units'!$B106&gt;'Table 3-A| Emission Units'!$E$5,ISBLANK('Table 3-A| Emission Units'!$E$5)),"",'Table 3-A| Emission Units'!C106)</f>
        <v/>
      </c>
      <c r="C82" s="312">
        <f>$L$8</f>
        <v>0</v>
      </c>
      <c r="D82" s="244" t="s">
        <v>2042</v>
      </c>
      <c r="E82" s="312">
        <f>IFERROR(IF(A82=0,0,C82*8760),"")</f>
        <v>0</v>
      </c>
      <c r="F82" s="312" t="str">
        <f>IF($A82="","","WebFIRE")</f>
        <v>WebFIRE</v>
      </c>
      <c r="G82" s="391" t="str">
        <f t="shared" si="22"/>
        <v/>
      </c>
      <c r="H82" s="392" t="str">
        <f t="shared" si="22"/>
        <v/>
      </c>
      <c r="I82" s="392">
        <f t="shared" si="23"/>
        <v>0</v>
      </c>
      <c r="J82" s="392">
        <f t="shared" si="23"/>
        <v>0</v>
      </c>
      <c r="K82" s="392">
        <f t="shared" si="23"/>
        <v>0</v>
      </c>
      <c r="L82" s="392">
        <f t="shared" si="23"/>
        <v>0</v>
      </c>
      <c r="M82" s="392">
        <f t="shared" si="23"/>
        <v>0</v>
      </c>
      <c r="N82" s="392">
        <f t="shared" si="23"/>
        <v>0</v>
      </c>
      <c r="O82" s="393">
        <f t="shared" si="23"/>
        <v>0</v>
      </c>
      <c r="S82" s="655" t="e">
        <f>VLOOKUP($B82,$AC$45:$AO$67,5,FALSE)</f>
        <v>#N/A</v>
      </c>
      <c r="T82" s="656" t="e">
        <f>VLOOKUP($B82,$AC$45:$AO$67,6,FALSE)</f>
        <v>#N/A</v>
      </c>
      <c r="U82" s="656" t="e">
        <f>VLOOKUP($B82,$AC$45:$AO$67,7,FALSE)</f>
        <v>#N/A</v>
      </c>
      <c r="V82" s="657" t="e">
        <f>VLOOKUP($B82,$AC$45:$AO$67,8,FALSE)</f>
        <v>#N/A</v>
      </c>
      <c r="W82" s="657" t="e">
        <f>VLOOKUP($B82,$AC$45:$AO$67,9,FALSE)</f>
        <v>#N/A</v>
      </c>
      <c r="X82" s="657" t="e">
        <f>VLOOKUP($B82,$AC$45:$AO$67,10,FALSE)</f>
        <v>#N/A</v>
      </c>
      <c r="Y82" s="657" t="e">
        <f>VLOOKUP($B82,$AC$45:$AO$67,11,FALSE)</f>
        <v>#N/A</v>
      </c>
      <c r="Z82" s="657" t="e">
        <f>VLOOKUP($B82,$AC$45:$AO$67,12,FALSE)</f>
        <v>#N/A</v>
      </c>
      <c r="AA82" s="658" t="e">
        <f>VLOOKUP($B82,$AC$45:$AO$67,13,FALSE)</f>
        <v>#N/A</v>
      </c>
      <c r="AD82" s="1449" t="s">
        <v>2298</v>
      </c>
      <c r="AE82" s="1385"/>
      <c r="AF82" s="713"/>
      <c r="AG82" s="713"/>
      <c r="AH82" s="713"/>
      <c r="AI82" s="713"/>
      <c r="AJ82" s="713"/>
      <c r="AK82" s="713"/>
      <c r="AL82" s="593">
        <f>AL$75*($AH$96*($AH$98^0.91)*(SUM($M$25,$J$26)^1.02))</f>
        <v>0</v>
      </c>
      <c r="AM82" s="593">
        <f>AM$75*($AH$96*($AH$98^0.91)*(SUM($M$25,$J$26)^1.02))</f>
        <v>0</v>
      </c>
      <c r="AN82" s="593">
        <f>AN$75*($AH$96*($AH$98^0.91)*(SUM($M$25,$J$26)^1.02))</f>
        <v>0</v>
      </c>
      <c r="AO82" s="593">
        <f>AO$75*($AH$96*($AH$98^0.91)*($J$26^1.02))</f>
        <v>0</v>
      </c>
      <c r="AP82" s="593">
        <f>AP$75*($AH$96*($AH$98^0.91)*($J$26^1.02))</f>
        <v>0</v>
      </c>
      <c r="AQ82" s="593">
        <f>AQ$75*($AH$96*($AH$98^0.91)*($J$26^1.02))</f>
        <v>0</v>
      </c>
    </row>
    <row r="83" spans="1:43" ht="18" customHeight="1" x14ac:dyDescent="0.25">
      <c r="S83" s="1391" t="s">
        <v>2332</v>
      </c>
      <c r="T83" s="1392"/>
      <c r="U83" s="1392"/>
      <c r="V83" s="1392"/>
      <c r="W83" s="1392"/>
      <c r="X83" s="1392"/>
      <c r="Y83" s="1392"/>
      <c r="Z83" s="1392"/>
      <c r="AA83" s="1393"/>
      <c r="AD83" s="1449" t="s">
        <v>2299</v>
      </c>
      <c r="AE83" s="1385"/>
      <c r="AF83" s="713"/>
      <c r="AG83" s="713"/>
      <c r="AH83" s="713"/>
      <c r="AI83" s="713"/>
      <c r="AJ83" s="713"/>
      <c r="AK83" s="713"/>
      <c r="AL83" s="593">
        <f>AL$76*($AH$105*(($AH$107/12)^$AH$108)*((SUM($M$25,$J$26)/3)^$AH$110))</f>
        <v>0</v>
      </c>
      <c r="AM83" s="593">
        <f>AM$76*($AH$105*(($AH$107/12)^$AH$108)*((SUM($M$25,$J$26)/3)^$AH$110))</f>
        <v>0</v>
      </c>
      <c r="AN83" s="593">
        <f>AN$76*($AH$105*(($AH$107/12)^$AH$108)*((SUM($M$25,$J$26)/3)^$AH$110))</f>
        <v>0</v>
      </c>
      <c r="AO83" s="593">
        <f>AO$76*($AH$105*(($AH$107/12)^$AH$108)*(($J$26/3)^$AH$110))</f>
        <v>0</v>
      </c>
      <c r="AP83" s="593">
        <f>AP$76*($AH$105*(($AH$107/12)^$AH$108)*(($J$26/3)^$AH$110))</f>
        <v>0</v>
      </c>
      <c r="AQ83" s="593">
        <f>AQ$76*($AH$105*(($AH$107/12)^$AH$108)*(($J$26/3)^$AH$110))</f>
        <v>0</v>
      </c>
    </row>
    <row r="84" spans="1:43" ht="18" customHeight="1" x14ac:dyDescent="0.25">
      <c r="G84" s="716"/>
      <c r="H84" s="716"/>
      <c r="I84" s="716"/>
      <c r="J84" s="716"/>
      <c r="K84" s="716"/>
      <c r="L84" s="716"/>
      <c r="M84" s="716"/>
      <c r="N84" s="716"/>
      <c r="O84" s="716"/>
      <c r="P84" s="1376" t="s">
        <v>2317</v>
      </c>
      <c r="Q84" s="1376"/>
      <c r="R84" s="725" t="s">
        <v>2326</v>
      </c>
      <c r="S84" s="584" t="s">
        <v>2245</v>
      </c>
      <c r="T84" s="665">
        <f>SUM($AF$80:$AK$80)</f>
        <v>0</v>
      </c>
      <c r="U84" s="585" t="s">
        <v>2246</v>
      </c>
      <c r="V84" s="668">
        <f>SUM($AF$87:$AK$87)</f>
        <v>0</v>
      </c>
      <c r="W84" s="666"/>
      <c r="X84" s="580"/>
      <c r="Y84" s="666"/>
      <c r="Z84" s="580"/>
      <c r="AA84" s="667"/>
    </row>
    <row r="85" spans="1:43" ht="18" customHeight="1" x14ac:dyDescent="0.25">
      <c r="G85" s="716"/>
      <c r="H85" s="716"/>
      <c r="I85" s="716"/>
      <c r="J85" s="716"/>
      <c r="K85" s="716"/>
      <c r="L85" s="716"/>
      <c r="M85" s="716"/>
      <c r="N85" s="716"/>
      <c r="O85" s="716"/>
      <c r="P85" s="1376"/>
      <c r="Q85" s="1376"/>
      <c r="R85" s="726" t="s">
        <v>2327</v>
      </c>
      <c r="S85" s="584" t="s">
        <v>2245</v>
      </c>
      <c r="T85" s="665">
        <f>SUM($AL$80:$AQ$80,$AL$82:$AQ$82)</f>
        <v>0</v>
      </c>
      <c r="U85" s="585" t="s">
        <v>2246</v>
      </c>
      <c r="V85" s="668">
        <f>SUM($AL$87:$AQ$87,$AL$89:$AQ$89)</f>
        <v>0</v>
      </c>
      <c r="W85" s="666"/>
      <c r="X85" s="580"/>
      <c r="Y85" s="666"/>
      <c r="Z85" s="580"/>
      <c r="AA85" s="667"/>
      <c r="AF85" s="1450" t="s">
        <v>2315</v>
      </c>
      <c r="AG85" s="1451"/>
      <c r="AH85" s="1451"/>
      <c r="AI85" s="1451"/>
      <c r="AJ85" s="1451"/>
      <c r="AK85" s="1452"/>
      <c r="AL85" s="1450" t="s">
        <v>2316</v>
      </c>
      <c r="AM85" s="1451"/>
      <c r="AN85" s="1451"/>
      <c r="AO85" s="1451"/>
      <c r="AP85" s="1451"/>
      <c r="AQ85" s="1452"/>
    </row>
    <row r="86" spans="1:43" ht="18" customHeight="1" x14ac:dyDescent="0.25">
      <c r="P86" s="1376" t="s">
        <v>2318</v>
      </c>
      <c r="Q86" s="1376"/>
      <c r="R86" s="725" t="s">
        <v>2326</v>
      </c>
      <c r="S86" s="582" t="s">
        <v>2245</v>
      </c>
      <c r="T86" s="666">
        <f>SUM($AF$81:$AK$81)</f>
        <v>0</v>
      </c>
      <c r="U86" s="580" t="s">
        <v>2246</v>
      </c>
      <c r="V86" s="668">
        <f>SUM($AF$88:$AK$88)</f>
        <v>0</v>
      </c>
      <c r="W86" s="666"/>
      <c r="X86" s="580"/>
      <c r="Y86" s="666"/>
      <c r="Z86" s="580"/>
      <c r="AA86" s="667"/>
      <c r="AF86" s="539" t="s">
        <v>2219</v>
      </c>
      <c r="AG86" s="539" t="s">
        <v>2220</v>
      </c>
      <c r="AH86" s="539" t="s">
        <v>2221</v>
      </c>
      <c r="AI86" s="539" t="s">
        <v>2222</v>
      </c>
      <c r="AJ86" s="539" t="s">
        <v>2223</v>
      </c>
      <c r="AK86" s="539" t="s">
        <v>2224</v>
      </c>
      <c r="AL86" s="539" t="s">
        <v>2219</v>
      </c>
      <c r="AM86" s="539" t="s">
        <v>2220</v>
      </c>
      <c r="AN86" s="539" t="s">
        <v>2221</v>
      </c>
      <c r="AO86" s="539" t="s">
        <v>2222</v>
      </c>
      <c r="AP86" s="539" t="s">
        <v>2223</v>
      </c>
      <c r="AQ86" s="539" t="s">
        <v>2224</v>
      </c>
    </row>
    <row r="87" spans="1:43" ht="18" customHeight="1" thickBot="1" x14ac:dyDescent="0.3">
      <c r="F87" s="539"/>
      <c r="G87" s="716"/>
      <c r="P87" s="1376"/>
      <c r="Q87" s="1376"/>
      <c r="R87" s="726" t="s">
        <v>2327</v>
      </c>
      <c r="S87" s="586" t="s">
        <v>2245</v>
      </c>
      <c r="T87" s="680">
        <f>SUM($AL$81:$AQ$81,$AL$83:$AQ$83)</f>
        <v>0</v>
      </c>
      <c r="U87" s="587" t="s">
        <v>2246</v>
      </c>
      <c r="V87" s="681">
        <f>SUM($AL$88:$AQ$88,$AL$90:$AQ$90)</f>
        <v>0</v>
      </c>
      <c r="W87" s="680"/>
      <c r="X87" s="587"/>
      <c r="Y87" s="680"/>
      <c r="Z87" s="587"/>
      <c r="AA87" s="682"/>
      <c r="AD87" s="1449" t="s">
        <v>2296</v>
      </c>
      <c r="AE87" s="1385"/>
      <c r="AF87" s="593">
        <f>AF$73*($AH$97*($AH$98^0.91)*(SUM($J$15,$J$16)^1.02))</f>
        <v>0</v>
      </c>
      <c r="AG87" s="593">
        <f>AG$73*($AH$97*($AH$98^0.91)*(SUM($J$15,$J$16)^1.02))</f>
        <v>0</v>
      </c>
      <c r="AH87" s="593">
        <f>AH$73*($AH$97*($AH$98^0.91)*(SUM($J$15,$J$16)^1.02))</f>
        <v>0</v>
      </c>
      <c r="AI87" s="593">
        <f>AI$73*($AH$97*($AH$98^0.91)*($J$16^1.02))</f>
        <v>0</v>
      </c>
      <c r="AJ87" s="593">
        <f>AJ$73*($AH$97*($AH$98^0.91)*($J$16^1.02))</f>
        <v>0</v>
      </c>
      <c r="AK87" s="593">
        <f>AK$73*($AH$97*($AH$98^0.91)*($J$16^1.02))</f>
        <v>0</v>
      </c>
      <c r="AL87" s="593">
        <f>AL$73*($AH$97*($AH$98^0.91)*(SUM($M$19,$J$20)^1.02))</f>
        <v>0</v>
      </c>
      <c r="AM87" s="593">
        <f>AM$73*($AH$97*($AH$98^0.91)*(SUM($M$19,$J$20)^1.02))</f>
        <v>0</v>
      </c>
      <c r="AN87" s="593">
        <f>AN$73*($AH$97*($AH$98^0.91)*(SUM($M$19,$J$20)^1.02))</f>
        <v>0</v>
      </c>
      <c r="AO87" s="593">
        <f>AO$73*($AH$97*($AH$98^0.91)*($J$20^1.02))</f>
        <v>0</v>
      </c>
      <c r="AP87" s="593">
        <f>AP$73*($AH$97*($AH$98^0.91)*($J$20^1.02))</f>
        <v>0</v>
      </c>
      <c r="AQ87" s="593">
        <f>AQ$73*($AH$97*($AH$98^0.91)*($J$20^1.02))</f>
        <v>0</v>
      </c>
    </row>
    <row r="88" spans="1:43" ht="18" customHeight="1" x14ac:dyDescent="0.25">
      <c r="F88" s="539"/>
      <c r="G88" s="716"/>
      <c r="AD88" s="1449" t="s">
        <v>2297</v>
      </c>
      <c r="AE88" s="1385"/>
      <c r="AF88" s="593">
        <f>AF$74*($AH$106*(($AH$107/12)^$AH$108)*((SUM($J$15,$J$16)/3)^$AH$110))</f>
        <v>0</v>
      </c>
      <c r="AG88" s="593">
        <f>AG$74*($AH$106*(($AH$107/12)^$AH$108)*((SUM($J$15,$J$16)/3)^$AH$110))</f>
        <v>0</v>
      </c>
      <c r="AH88" s="593">
        <f>AH$74*($AH$106*(($AH$107/12)^$AH$108)*((SUM($J$15,$J$16)/3)^$AH$110))</f>
        <v>0</v>
      </c>
      <c r="AI88" s="593">
        <f>AI$74*($AH$106*(($AH$107/12)^$AH$108)*(($J$16/3)^$AH$110))</f>
        <v>0</v>
      </c>
      <c r="AJ88" s="593">
        <f>AJ$74*($AH$106*(($AH$107/12)^$AH$108)*(($J$16/3)^$AH$110))</f>
        <v>0</v>
      </c>
      <c r="AK88" s="593">
        <f>AK$74*($AH$106*(($AH$107/12)^$AH$108)*(($J$16/3)^$AH$110))</f>
        <v>0</v>
      </c>
      <c r="AL88" s="593">
        <f>AL$74*($AH$106*(($AH$107/12)^$AH$108)*((SUM($M$19,$J$20)/3)^$AH$110))</f>
        <v>0</v>
      </c>
      <c r="AM88" s="593">
        <f>AM$74*($AH$106*(($AH$107/12)^$AH$108)*((SUM($M$19,$J$20)/3)^$AH$110))</f>
        <v>0</v>
      </c>
      <c r="AN88" s="593">
        <f>AN$74*($AH$106*(($AH$107/12)^$AH$108)*((SUM($M$19,$J$20)/3)^$AH$110))</f>
        <v>0</v>
      </c>
      <c r="AO88" s="593">
        <f>AO$74*($AH$106*(($AH$107/12)^$AH$108)*(($J$20/3)^$AH$110))</f>
        <v>0</v>
      </c>
      <c r="AP88" s="593">
        <f>AP$74*($AH$106*(($AH$107/12)^$AH$108)*(($J$20/3)^$AH$110))</f>
        <v>0</v>
      </c>
      <c r="AQ88" s="593">
        <f>AQ$74*($AH$106*(($AH$107/12)^$AH$108)*(($J$20/3)^$AH$110))</f>
        <v>0</v>
      </c>
    </row>
    <row r="89" spans="1:43" ht="18" customHeight="1" x14ac:dyDescent="0.25">
      <c r="F89" s="539"/>
      <c r="G89" s="716"/>
      <c r="AD89" s="1449" t="s">
        <v>2298</v>
      </c>
      <c r="AE89" s="1385"/>
      <c r="AF89" s="713"/>
      <c r="AG89" s="713"/>
      <c r="AH89" s="713"/>
      <c r="AI89" s="713"/>
      <c r="AJ89" s="713"/>
      <c r="AK89" s="713"/>
      <c r="AL89" s="593">
        <f>AL$75*($AH$97*($AH$98^0.91)*(SUM($M$25,$J$26)^1.02))</f>
        <v>0</v>
      </c>
      <c r="AM89" s="593">
        <f>AM$75*($AH$97*($AH$98^0.91)*(SUM($M$25,$J$26)^1.02))</f>
        <v>0</v>
      </c>
      <c r="AN89" s="593">
        <f>AN$75*($AH$97*($AH$98^0.91)*(SUM($M$25,$J$26)^1.02))</f>
        <v>0</v>
      </c>
      <c r="AO89" s="593">
        <f>AO$75*($AH$97*($AH$98^0.91)*($J$26^1.02))</f>
        <v>0</v>
      </c>
      <c r="AP89" s="593">
        <f>AP$75*($AH$97*($AH$98^0.91)*($J$26^1.02))</f>
        <v>0</v>
      </c>
      <c r="AQ89" s="593">
        <f>AQ$75*($AH$97*($AH$98^0.91)*($J$26^1.02))</f>
        <v>0</v>
      </c>
    </row>
    <row r="90" spans="1:43" ht="18" customHeight="1" x14ac:dyDescent="0.25">
      <c r="F90" s="539"/>
      <c r="G90" s="716"/>
      <c r="AD90" s="1449" t="s">
        <v>2299</v>
      </c>
      <c r="AE90" s="1385"/>
      <c r="AF90" s="713"/>
      <c r="AG90" s="713"/>
      <c r="AH90" s="713"/>
      <c r="AI90" s="713"/>
      <c r="AJ90" s="713"/>
      <c r="AK90" s="713"/>
      <c r="AL90" s="593">
        <f>AL$76*($AH$106*(($AH$107/12)^$AH$108)*((SUM($M$25,$J$26)/3)^$AH$110))</f>
        <v>0</v>
      </c>
      <c r="AM90" s="593">
        <f>AM$76*($AH$106*(($AH$107/12)^$AH$108)*((SUM($M$25,$J$26)/3)^$AH$110))</f>
        <v>0</v>
      </c>
      <c r="AN90" s="593">
        <f>AN$76*($AH$106*(($AH$107/12)^$AH$108)*((SUM($M$25,$J$26)/3)^$AH$110))</f>
        <v>0</v>
      </c>
      <c r="AO90" s="593">
        <f>AO$76*($AH$106*(($AH$107/12)^$AH$108)*(($J$26/3)^$AH$110))</f>
        <v>0</v>
      </c>
      <c r="AP90" s="593">
        <f>AP$76*($AH$106*(($AH$107/12)^$AH$108)*(($J$26/3)^$AH$110))</f>
        <v>0</v>
      </c>
      <c r="AQ90" s="593">
        <f>AQ$76*($AH$106*(($AH$107/12)^$AH$108)*(($J$26/3)^$AH$110))</f>
        <v>0</v>
      </c>
    </row>
    <row r="91" spans="1:43" ht="18" customHeight="1" x14ac:dyDescent="0.25">
      <c r="F91" s="539"/>
      <c r="G91" s="716"/>
    </row>
    <row r="92" spans="1:43" ht="18" customHeight="1" x14ac:dyDescent="0.25">
      <c r="F92" s="539"/>
      <c r="G92" s="716"/>
      <c r="AD92" s="64" t="s">
        <v>2227</v>
      </c>
      <c r="AE92" s="64"/>
      <c r="AF92" s="64"/>
      <c r="AG92" s="64"/>
      <c r="AH92" s="64"/>
      <c r="AI92" s="124"/>
      <c r="AJ92" s="124"/>
      <c r="AK92" s="124"/>
    </row>
    <row r="93" spans="1:43" ht="18" customHeight="1" x14ac:dyDescent="0.25">
      <c r="F93" s="539"/>
      <c r="G93" s="716"/>
      <c r="AD93" s="64"/>
      <c r="AE93" s="64"/>
      <c r="AF93" s="64"/>
      <c r="AG93" s="64"/>
      <c r="AH93" s="64" t="s">
        <v>2228</v>
      </c>
      <c r="AI93" s="124"/>
      <c r="AJ93" s="124"/>
      <c r="AK93" s="124"/>
    </row>
    <row r="94" spans="1:43" ht="18" customHeight="1" x14ac:dyDescent="0.25">
      <c r="F94" s="539"/>
      <c r="G94" s="716"/>
      <c r="AD94" s="659" t="s">
        <v>2229</v>
      </c>
      <c r="AE94" s="660"/>
      <c r="AF94" s="660"/>
      <c r="AG94" s="660"/>
      <c r="AH94" s="660"/>
      <c r="AI94" s="661"/>
      <c r="AJ94" s="661"/>
      <c r="AK94" s="661"/>
    </row>
    <row r="95" spans="1:43" ht="18" customHeight="1" x14ac:dyDescent="0.25">
      <c r="F95" s="539"/>
      <c r="G95" s="716"/>
      <c r="AD95" s="1425" t="s">
        <v>2230</v>
      </c>
      <c r="AE95" s="1425"/>
      <c r="AF95" s="1425"/>
      <c r="AG95" s="64"/>
      <c r="AH95" s="124"/>
      <c r="AI95" s="124"/>
      <c r="AJ95" s="124"/>
      <c r="AK95" s="124"/>
    </row>
    <row r="96" spans="1:43" ht="18" customHeight="1" x14ac:dyDescent="0.25">
      <c r="F96" s="539"/>
      <c r="G96" s="716"/>
      <c r="AD96" s="1424" t="s">
        <v>2231</v>
      </c>
      <c r="AE96" s="1424"/>
      <c r="AF96" s="1424"/>
      <c r="AG96" s="66" t="s">
        <v>2202</v>
      </c>
      <c r="AH96" s="662">
        <v>2.2000000000000001E-3</v>
      </c>
      <c r="AI96" s="663" t="s">
        <v>2232</v>
      </c>
      <c r="AJ96" s="124"/>
      <c r="AK96" s="124"/>
    </row>
    <row r="97" spans="6:37" ht="18" customHeight="1" x14ac:dyDescent="0.25">
      <c r="F97" s="539"/>
      <c r="G97" s="716"/>
      <c r="AH97" s="662">
        <v>5.4000000000000001E-4</v>
      </c>
      <c r="AI97" s="663" t="s">
        <v>2248</v>
      </c>
      <c r="AJ97" s="124"/>
      <c r="AK97" s="124"/>
    </row>
    <row r="98" spans="6:37" ht="18" customHeight="1" x14ac:dyDescent="0.25">
      <c r="AD98" s="1423" t="s">
        <v>2233</v>
      </c>
      <c r="AE98" s="1423"/>
      <c r="AF98" s="1423"/>
      <c r="AG98" s="66" t="s">
        <v>2202</v>
      </c>
      <c r="AH98" s="662">
        <v>12</v>
      </c>
      <c r="AI98" s="663" t="s">
        <v>2234</v>
      </c>
      <c r="AJ98" s="124"/>
      <c r="AK98" s="124"/>
    </row>
    <row r="99" spans="6:37" ht="18" customHeight="1" x14ac:dyDescent="0.25">
      <c r="AD99" s="1423" t="s">
        <v>2235</v>
      </c>
      <c r="AE99" s="1424"/>
      <c r="AF99" s="1424"/>
      <c r="AG99" s="66"/>
      <c r="AI99" s="663"/>
    </row>
    <row r="100" spans="6:37" ht="18" customHeight="1" x14ac:dyDescent="0.25"/>
    <row r="101" spans="6:37" ht="18" customHeight="1" x14ac:dyDescent="0.25">
      <c r="AD101" s="64" t="s">
        <v>2236</v>
      </c>
      <c r="AE101" s="64"/>
      <c r="AF101" s="64"/>
      <c r="AG101" s="64"/>
      <c r="AH101" s="124"/>
      <c r="AI101" s="124"/>
    </row>
    <row r="102" spans="6:37" ht="18" customHeight="1" x14ac:dyDescent="0.25">
      <c r="AD102" s="64"/>
      <c r="AE102" s="64"/>
      <c r="AF102" s="64"/>
      <c r="AG102" s="64"/>
      <c r="AH102" s="64" t="s">
        <v>2237</v>
      </c>
      <c r="AI102" s="124"/>
    </row>
    <row r="103" spans="6:37" ht="18" customHeight="1" x14ac:dyDescent="0.25">
      <c r="AD103" s="659"/>
      <c r="AE103" s="660"/>
      <c r="AF103" s="660"/>
      <c r="AG103" s="660"/>
      <c r="AH103" s="660"/>
      <c r="AI103" s="661"/>
    </row>
    <row r="104" spans="6:37" ht="18" customHeight="1" x14ac:dyDescent="0.25">
      <c r="AC104" s="124"/>
      <c r="AD104" s="1425" t="s">
        <v>2238</v>
      </c>
      <c r="AE104" s="1425"/>
      <c r="AF104" s="1425"/>
      <c r="AG104" s="64"/>
      <c r="AH104" s="124"/>
      <c r="AI104" s="124"/>
    </row>
    <row r="105" spans="6:37" ht="18" customHeight="1" x14ac:dyDescent="0.25">
      <c r="AD105" s="1424" t="s">
        <v>2231</v>
      </c>
      <c r="AE105" s="1424"/>
      <c r="AF105" s="1424"/>
      <c r="AG105" s="66" t="s">
        <v>2202</v>
      </c>
      <c r="AH105" s="662">
        <v>1.5</v>
      </c>
      <c r="AI105" s="663" t="s">
        <v>2239</v>
      </c>
    </row>
    <row r="106" spans="6:37" ht="18" customHeight="1" x14ac:dyDescent="0.25">
      <c r="AH106" s="662">
        <v>0.15</v>
      </c>
      <c r="AI106" s="663" t="s">
        <v>2247</v>
      </c>
    </row>
    <row r="107" spans="6:37" ht="18" customHeight="1" x14ac:dyDescent="0.25">
      <c r="AD107" s="1423" t="s">
        <v>2240</v>
      </c>
      <c r="AE107" s="1423"/>
      <c r="AF107" s="1423"/>
      <c r="AG107" s="66" t="s">
        <v>2202</v>
      </c>
      <c r="AH107" s="662">
        <v>10</v>
      </c>
      <c r="AI107" s="663" t="s">
        <v>2241</v>
      </c>
    </row>
    <row r="108" spans="6:37" ht="18" customHeight="1" x14ac:dyDescent="0.25">
      <c r="AD108" s="1423" t="s">
        <v>2242</v>
      </c>
      <c r="AE108" s="1424"/>
      <c r="AF108" s="1424"/>
      <c r="AG108" s="66" t="s">
        <v>2202</v>
      </c>
      <c r="AH108" s="662">
        <v>0.9</v>
      </c>
      <c r="AI108" s="663" t="s">
        <v>2243</v>
      </c>
    </row>
    <row r="109" spans="6:37" ht="18" customHeight="1" x14ac:dyDescent="0.25">
      <c r="AD109" s="1423" t="s">
        <v>2235</v>
      </c>
      <c r="AE109" s="1424"/>
      <c r="AF109" s="1424"/>
      <c r="AG109" s="66"/>
      <c r="AH109" s="124"/>
      <c r="AI109" s="124"/>
    </row>
    <row r="110" spans="6:37" ht="18" customHeight="1" x14ac:dyDescent="0.25">
      <c r="AD110" s="1423" t="s">
        <v>2244</v>
      </c>
      <c r="AE110" s="1424"/>
      <c r="AF110" s="1424"/>
      <c r="AG110" s="66" t="s">
        <v>2202</v>
      </c>
      <c r="AH110" s="662">
        <v>0.45</v>
      </c>
      <c r="AI110" s="663" t="s">
        <v>2243</v>
      </c>
    </row>
    <row r="111" spans="6:37" ht="18" customHeight="1" x14ac:dyDescent="0.25"/>
    <row r="112" spans="6:37" ht="18" customHeight="1" x14ac:dyDescent="0.25">
      <c r="AB112" s="715"/>
    </row>
    <row r="113" spans="28:34" ht="18" customHeight="1" x14ac:dyDescent="0.25">
      <c r="AB113" s="539"/>
    </row>
    <row r="114" spans="28:34" ht="18" customHeight="1" x14ac:dyDescent="0.25"/>
    <row r="115" spans="28:34" ht="18" customHeight="1" x14ac:dyDescent="0.25"/>
    <row r="116" spans="28:34" ht="18" customHeight="1" x14ac:dyDescent="0.25"/>
    <row r="117" spans="28:34" ht="18" customHeight="1" x14ac:dyDescent="0.25"/>
    <row r="118" spans="28:34" ht="18" customHeight="1" x14ac:dyDescent="0.25"/>
    <row r="119" spans="28:34" ht="18" customHeight="1" x14ac:dyDescent="0.25"/>
    <row r="120" spans="28:34" ht="18" customHeight="1" x14ac:dyDescent="0.25"/>
    <row r="121" spans="28:34" ht="18" customHeight="1" x14ac:dyDescent="0.25"/>
    <row r="122" spans="28:34" ht="18" customHeight="1" x14ac:dyDescent="0.25"/>
    <row r="123" spans="28:34" ht="18" customHeight="1" x14ac:dyDescent="0.25"/>
    <row r="124" spans="28:34" ht="18" customHeight="1" x14ac:dyDescent="0.25"/>
    <row r="125" spans="28:34" ht="18" customHeight="1" x14ac:dyDescent="0.25"/>
    <row r="126" spans="28:34" ht="18" customHeight="1" x14ac:dyDescent="0.25">
      <c r="AD126" s="124"/>
      <c r="AE126" s="664"/>
      <c r="AF126" s="66"/>
      <c r="AH126" s="124"/>
    </row>
    <row r="127" spans="28:34" ht="18" customHeight="1" x14ac:dyDescent="0.25"/>
    <row r="128" spans="28:34" ht="18" customHeight="1" x14ac:dyDescent="0.25"/>
    <row r="129" spans="29:29" ht="18" customHeight="1" x14ac:dyDescent="0.25"/>
    <row r="130" spans="29:29" ht="18" customHeight="1" x14ac:dyDescent="0.25"/>
    <row r="131" spans="29:29" ht="18" customHeight="1" x14ac:dyDescent="0.25"/>
    <row r="132" spans="29:29" ht="18" customHeight="1" x14ac:dyDescent="0.25"/>
    <row r="133" spans="29:29" ht="18" customHeight="1" x14ac:dyDescent="0.25"/>
    <row r="144" spans="29:29" x14ac:dyDescent="0.25">
      <c r="AC144" s="124"/>
    </row>
  </sheetData>
  <sheetProtection algorithmName="SHA-512" hashValue="rlqZzZiFITF6krry+tLR2VVg2EQr4hY/Z+81X+GD9sWmIx/SkOLsvR5o6ASBKIgQLEXSt8YlbcEh4y2uw4GRyQ==" saltValue="OMh9e7wB3u018rCACWar6w==" spinCount="100000" sheet="1" objects="1" scenarios="1"/>
  <mergeCells count="99">
    <mergeCell ref="A1:O1"/>
    <mergeCell ref="A2:O2"/>
    <mergeCell ref="A10:A11"/>
    <mergeCell ref="B10:I11"/>
    <mergeCell ref="M10:O10"/>
    <mergeCell ref="M11:O11"/>
    <mergeCell ref="A4:A5"/>
    <mergeCell ref="B4:I5"/>
    <mergeCell ref="M4:O4"/>
    <mergeCell ref="M5:O5"/>
    <mergeCell ref="A7:A8"/>
    <mergeCell ref="B7:I8"/>
    <mergeCell ref="M7:O7"/>
    <mergeCell ref="M8:O8"/>
    <mergeCell ref="A3:O3"/>
    <mergeCell ref="B12:I12"/>
    <mergeCell ref="M12:O12"/>
    <mergeCell ref="C19:I19"/>
    <mergeCell ref="C20:I20"/>
    <mergeCell ref="B22:I22"/>
    <mergeCell ref="M22:O22"/>
    <mergeCell ref="C23:I23"/>
    <mergeCell ref="M23:O24"/>
    <mergeCell ref="C24:I24"/>
    <mergeCell ref="C13:I13"/>
    <mergeCell ref="M13:O14"/>
    <mergeCell ref="C14:I14"/>
    <mergeCell ref="C15:I15"/>
    <mergeCell ref="C16:I16"/>
    <mergeCell ref="C17:I17"/>
    <mergeCell ref="M17:O18"/>
    <mergeCell ref="C18:I18"/>
    <mergeCell ref="C25:I25"/>
    <mergeCell ref="C26:I26"/>
    <mergeCell ref="I35:M35"/>
    <mergeCell ref="N35:O35"/>
    <mergeCell ref="A31:D31"/>
    <mergeCell ref="E31:F31"/>
    <mergeCell ref="I31:M31"/>
    <mergeCell ref="N31:O31"/>
    <mergeCell ref="I32:M32"/>
    <mergeCell ref="N32:O32"/>
    <mergeCell ref="A28:O28"/>
    <mergeCell ref="A29:O29"/>
    <mergeCell ref="I33:M33"/>
    <mergeCell ref="N33:O33"/>
    <mergeCell ref="I34:M34"/>
    <mergeCell ref="N34:O34"/>
    <mergeCell ref="AR43:AW43"/>
    <mergeCell ref="AD44:AF44"/>
    <mergeCell ref="A43:O43"/>
    <mergeCell ref="AD75:AE75"/>
    <mergeCell ref="AD76:AE76"/>
    <mergeCell ref="AF71:AK71"/>
    <mergeCell ref="AL71:AQ71"/>
    <mergeCell ref="A45:O45"/>
    <mergeCell ref="S45:AA45"/>
    <mergeCell ref="S43:AA43"/>
    <mergeCell ref="AC43:AO43"/>
    <mergeCell ref="AF85:AK85"/>
    <mergeCell ref="AF78:AK78"/>
    <mergeCell ref="AL78:AQ78"/>
    <mergeCell ref="AD73:AE73"/>
    <mergeCell ref="AD74:AE74"/>
    <mergeCell ref="AL85:AQ85"/>
    <mergeCell ref="AD80:AE80"/>
    <mergeCell ref="AD81:AE81"/>
    <mergeCell ref="AD108:AF108"/>
    <mergeCell ref="AD109:AF109"/>
    <mergeCell ref="AD110:AF110"/>
    <mergeCell ref="AD99:AF99"/>
    <mergeCell ref="AD104:AF104"/>
    <mergeCell ref="AD105:AF105"/>
    <mergeCell ref="AD95:AF95"/>
    <mergeCell ref="P86:Q87"/>
    <mergeCell ref="AD96:AF96"/>
    <mergeCell ref="AD98:AF98"/>
    <mergeCell ref="AD107:AF107"/>
    <mergeCell ref="AD87:AE87"/>
    <mergeCell ref="AD88:AE88"/>
    <mergeCell ref="A79:O79"/>
    <mergeCell ref="S79:AA79"/>
    <mergeCell ref="AD89:AE89"/>
    <mergeCell ref="AD90:AE90"/>
    <mergeCell ref="S83:AA83"/>
    <mergeCell ref="P84:Q85"/>
    <mergeCell ref="AD82:AE82"/>
    <mergeCell ref="AD83:AE83"/>
    <mergeCell ref="A38:O38"/>
    <mergeCell ref="A39:O39"/>
    <mergeCell ref="A40:O40"/>
    <mergeCell ref="A41:O41"/>
    <mergeCell ref="A42:O42"/>
    <mergeCell ref="I36:M36"/>
    <mergeCell ref="N36:O36"/>
    <mergeCell ref="A37:F37"/>
    <mergeCell ref="G37:H37"/>
    <mergeCell ref="I37:M37"/>
    <mergeCell ref="N37:O37"/>
  </mergeCells>
  <conditionalFormatting sqref="A45:O82">
    <cfRule type="expression" dxfId="204" priority="58">
      <formula>$A45=0</formula>
    </cfRule>
  </conditionalFormatting>
  <conditionalFormatting sqref="A46:O78">
    <cfRule type="expression" dxfId="203" priority="59">
      <formula>$A46=$A45</formula>
    </cfRule>
  </conditionalFormatting>
  <conditionalFormatting sqref="B4:I5">
    <cfRule type="expression" dxfId="202" priority="1">
      <formula>$J$4=0</formula>
    </cfRule>
  </conditionalFormatting>
  <conditionalFormatting sqref="B7:I8">
    <cfRule type="expression" dxfId="201" priority="78">
      <formula>$B$7=$AA$8</formula>
    </cfRule>
  </conditionalFormatting>
  <conditionalFormatting sqref="B10:I11">
    <cfRule type="expression" dxfId="200" priority="5">
      <formula>$B$7=$AA$8</formula>
    </cfRule>
  </conditionalFormatting>
  <conditionalFormatting sqref="B13:I20">
    <cfRule type="expression" dxfId="199" priority="40">
      <formula>AND($J$12=0,$K$12=0,$L$12=0)</formula>
    </cfRule>
  </conditionalFormatting>
  <conditionalFormatting sqref="B23:I26">
    <cfRule type="expression" dxfId="198" priority="41">
      <formula>AND($J$22=0,$K$22=0,$L$22=0)</formula>
    </cfRule>
  </conditionalFormatting>
  <conditionalFormatting sqref="C13:I20">
    <cfRule type="expression" dxfId="197" priority="45">
      <formula>AND($J$12=0,$K$12=0,$L$12=0)</formula>
    </cfRule>
  </conditionalFormatting>
  <conditionalFormatting sqref="C23:I26">
    <cfRule type="expression" dxfId="196" priority="44">
      <formula>AND($J$22=0,$K$22=0,$L$22=0)</formula>
    </cfRule>
  </conditionalFormatting>
  <conditionalFormatting sqref="E46:O82">
    <cfRule type="cellIs" dxfId="195" priority="60" stopIfTrue="1" operator="equal">
      <formula>0</formula>
    </cfRule>
    <cfRule type="cellIs" dxfId="194" priority="61" operator="greaterThanOrEqual">
      <formula>1000</formula>
    </cfRule>
    <cfRule type="cellIs" dxfId="193" priority="62" operator="lessThan">
      <formula>1</formula>
    </cfRule>
  </conditionalFormatting>
  <conditionalFormatting sqref="G84:O85">
    <cfRule type="cellIs" dxfId="192" priority="18" operator="lessThan">
      <formula>100</formula>
    </cfRule>
    <cfRule type="cellIs" dxfId="191" priority="19" operator="lessThan">
      <formula>1000</formula>
    </cfRule>
    <cfRule type="cellIs" dxfId="190" priority="20" operator="lessThan">
      <formula>10000</formula>
    </cfRule>
    <cfRule type="cellIs" dxfId="189" priority="21" operator="greaterThanOrEqual">
      <formula>10000</formula>
    </cfRule>
  </conditionalFormatting>
  <conditionalFormatting sqref="J15:J16">
    <cfRule type="expression" dxfId="188" priority="35">
      <formula>ISBLANK(J15)</formula>
    </cfRule>
  </conditionalFormatting>
  <conditionalFormatting sqref="J19:J20">
    <cfRule type="expression" dxfId="187" priority="36">
      <formula>ISBLANK(J19)</formula>
    </cfRule>
  </conditionalFormatting>
  <conditionalFormatting sqref="J25:J26">
    <cfRule type="expression" dxfId="186" priority="65">
      <formula>ISBLANK(J25)</formula>
    </cfRule>
  </conditionalFormatting>
  <conditionalFormatting sqref="J4:L4">
    <cfRule type="expression" dxfId="185" priority="14">
      <formula>J4=0</formula>
    </cfRule>
  </conditionalFormatting>
  <conditionalFormatting sqref="J5:L5">
    <cfRule type="expression" dxfId="184" priority="54">
      <formula>AND(NOT(J4=0),ISBLANK(J5))</formula>
    </cfRule>
    <cfRule type="expression" dxfId="183" priority="55">
      <formula>J4=0</formula>
    </cfRule>
  </conditionalFormatting>
  <conditionalFormatting sqref="J7:L7">
    <cfRule type="expression" dxfId="182" priority="13">
      <formula>J7=0</formula>
    </cfRule>
  </conditionalFormatting>
  <conditionalFormatting sqref="J8:L8">
    <cfRule type="expression" dxfId="181" priority="52">
      <formula>AND(NOT(J7=0),ISBLANK(J8))</formula>
    </cfRule>
    <cfRule type="expression" dxfId="180" priority="53">
      <formula>J7=0</formula>
    </cfRule>
  </conditionalFormatting>
  <conditionalFormatting sqref="J10:L10">
    <cfRule type="expression" dxfId="179" priority="2">
      <formula>J10=0</formula>
    </cfRule>
  </conditionalFormatting>
  <conditionalFormatting sqref="J11:L11">
    <cfRule type="expression" dxfId="178" priority="3">
      <formula>AND(NOT(J10=0),ISBLANK(J11))</formula>
    </cfRule>
    <cfRule type="expression" dxfId="177" priority="4">
      <formula>J10=0</formula>
    </cfRule>
  </conditionalFormatting>
  <conditionalFormatting sqref="J12:L12">
    <cfRule type="expression" dxfId="176" priority="32">
      <formula>J12=0</formula>
    </cfRule>
  </conditionalFormatting>
  <conditionalFormatting sqref="J13:L14 J17:L18">
    <cfRule type="expression" dxfId="175" priority="8">
      <formula>J$12=0</formula>
    </cfRule>
  </conditionalFormatting>
  <conditionalFormatting sqref="J13:L14">
    <cfRule type="expression" dxfId="174" priority="34">
      <formula>AND(NOT(J$12=0),ISBLANK(J13))</formula>
    </cfRule>
  </conditionalFormatting>
  <conditionalFormatting sqref="J17:L18">
    <cfRule type="expression" dxfId="173" priority="33">
      <formula>AND(NOT(J$12=0),ISBLANK(J17))</formula>
    </cfRule>
  </conditionalFormatting>
  <conditionalFormatting sqref="J22:L22">
    <cfRule type="expression" dxfId="172" priority="9">
      <formula>J22=0</formula>
    </cfRule>
  </conditionalFormatting>
  <conditionalFormatting sqref="J23:L24">
    <cfRule type="expression" dxfId="171" priority="64">
      <formula>AND(NOT(J$22=""),ISBLANK(J23))</formula>
    </cfRule>
  </conditionalFormatting>
  <conditionalFormatting sqref="J23:L26">
    <cfRule type="expression" dxfId="170" priority="6">
      <formula>J$22=0</formula>
    </cfRule>
  </conditionalFormatting>
  <conditionalFormatting sqref="J12:O20">
    <cfRule type="expression" dxfId="169" priority="10">
      <formula>AND($J$12=0,$K$12=0,$L$12=0)</formula>
    </cfRule>
  </conditionalFormatting>
  <conditionalFormatting sqref="J23:Q26">
    <cfRule type="expression" dxfId="168" priority="43">
      <formula>AND($J$22=0,$K$22=0,$L$22=0)</formula>
    </cfRule>
  </conditionalFormatting>
  <conditionalFormatting sqref="M23:O24">
    <cfRule type="expression" dxfId="167" priority="30">
      <formula>$J22=0</formula>
    </cfRule>
  </conditionalFormatting>
  <conditionalFormatting sqref="N31:O37">
    <cfRule type="cellIs" dxfId="166" priority="16" operator="equal">
      <formula>0</formula>
    </cfRule>
  </conditionalFormatting>
  <dataValidations disablePrompts="1" count="1">
    <dataValidation type="list" allowBlank="1" showInputMessage="1" showErrorMessage="1" errorTitle="Invalid Entry" error="Select either 'bushels' or 'tons'." promptTitle="Select Hourly Throughput Unit" prompt="Indicate whether the provided hourly throughput is in units of 'bushels' or 'tons'." sqref="D80:D82" xr:uid="{00000000-0002-0000-0A00-000000000000}">
      <formula1>$V$31:$V$32</formula1>
    </dataValidation>
  </dataValidations>
  <printOptions horizontalCentered="1"/>
  <pageMargins left="0.5" right="0.5" top="0.5" bottom="0.5" header="0.3" footer="0.3"/>
  <pageSetup scale="71" fitToHeight="0" orientation="landscape" r:id="rId1"/>
  <headerFooter>
    <oddFooter>&amp;LRev. 7/2016&amp;C&amp;A&amp;RPage &amp;P</oddFooter>
  </headerFooter>
  <drawing r:id="rId2"/>
  <legacyDrawing r:id="rId3"/>
  <oleObjects>
    <mc:AlternateContent xmlns:mc="http://schemas.openxmlformats.org/markup-compatibility/2006">
      <mc:Choice Requires="x14">
        <oleObject progId="Equation.3" shapeId="108545" r:id="rId4">
          <objectPr defaultSize="0" autoPict="0" r:id="rId5">
            <anchor moveWithCells="1">
              <from>
                <xdr:col>29</xdr:col>
                <xdr:colOff>38100</xdr:colOff>
                <xdr:row>92</xdr:row>
                <xdr:rowOff>104775</xdr:rowOff>
              </from>
              <to>
                <xdr:col>31</xdr:col>
                <xdr:colOff>514350</xdr:colOff>
                <xdr:row>93</xdr:row>
                <xdr:rowOff>190500</xdr:rowOff>
              </to>
            </anchor>
          </objectPr>
        </oleObject>
      </mc:Choice>
      <mc:Fallback>
        <oleObject progId="Equation.3" shapeId="108545" r:id="rId4"/>
      </mc:Fallback>
    </mc:AlternateContent>
    <mc:AlternateContent xmlns:mc="http://schemas.openxmlformats.org/markup-compatibility/2006">
      <mc:Choice Requires="x14">
        <oleObject progId="Equation.3" shapeId="108546" r:id="rId6">
          <objectPr defaultSize="0" autoPict="0" r:id="rId7">
            <anchor moveWithCells="1">
              <from>
                <xdr:col>29</xdr:col>
                <xdr:colOff>47625</xdr:colOff>
                <xdr:row>101</xdr:row>
                <xdr:rowOff>0</xdr:rowOff>
              </from>
              <to>
                <xdr:col>31</xdr:col>
                <xdr:colOff>514350</xdr:colOff>
                <xdr:row>103</xdr:row>
                <xdr:rowOff>28575</xdr:rowOff>
              </to>
            </anchor>
          </objectPr>
        </oleObject>
      </mc:Choice>
      <mc:Fallback>
        <oleObject progId="Equation.3" shapeId="108546" r:id="rId6"/>
      </mc:Fallback>
    </mc:AlternateContent>
  </oleObjec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tabColor rgb="FF002060"/>
    <pageSetUpPr fitToPage="1"/>
  </sheetPr>
  <dimension ref="A1:N63"/>
  <sheetViews>
    <sheetView showGridLines="0" zoomScaleNormal="100" workbookViewId="0">
      <selection sqref="A1:K1"/>
    </sheetView>
  </sheetViews>
  <sheetFormatPr defaultRowHeight="14.25" x14ac:dyDescent="0.2"/>
  <cols>
    <col min="1" max="1" width="30.7109375" style="99" customWidth="1"/>
    <col min="2" max="2" width="21.7109375" style="99" customWidth="1"/>
    <col min="3" max="3" width="13.7109375" style="99" customWidth="1"/>
    <col min="4" max="4" width="19.7109375" style="99" customWidth="1"/>
    <col min="5" max="6" width="12.7109375" style="99" customWidth="1"/>
    <col min="7" max="8" width="11.7109375" style="99" customWidth="1"/>
    <col min="9" max="9" width="13.28515625" style="99" customWidth="1"/>
    <col min="10" max="10" width="13.28515625" style="113" customWidth="1"/>
    <col min="11" max="11" width="13.28515625" style="99" customWidth="1"/>
    <col min="12" max="14" width="9.140625" style="99" customWidth="1"/>
    <col min="15" max="16384" width="9.140625" style="99"/>
  </cols>
  <sheetData>
    <row r="1" spans="1:14" s="69" customFormat="1" ht="26.25" customHeight="1" thickBot="1" x14ac:dyDescent="0.3">
      <c r="A1" s="1315" t="s">
        <v>2359</v>
      </c>
      <c r="B1" s="1315"/>
      <c r="C1" s="1315"/>
      <c r="D1" s="1315"/>
      <c r="E1" s="1315"/>
      <c r="F1" s="1315"/>
      <c r="G1" s="1315"/>
      <c r="H1" s="1315"/>
      <c r="I1" s="1315"/>
      <c r="J1" s="1315"/>
      <c r="K1" s="1315"/>
      <c r="L1" s="79"/>
      <c r="M1" s="79"/>
      <c r="N1" s="79"/>
    </row>
    <row r="2" spans="1:14" s="160" customFormat="1" ht="35.1" customHeight="1" x14ac:dyDescent="0.25">
      <c r="A2" s="1448" t="s">
        <v>2360</v>
      </c>
      <c r="B2" s="1448"/>
      <c r="C2" s="1448"/>
      <c r="D2" s="1448"/>
      <c r="E2" s="1448"/>
      <c r="F2" s="1448"/>
      <c r="G2" s="1448"/>
      <c r="H2" s="1448"/>
      <c r="I2" s="1448"/>
      <c r="J2" s="1448"/>
      <c r="K2" s="1448"/>
      <c r="L2" s="163"/>
      <c r="M2" s="163"/>
    </row>
    <row r="3" spans="1:14" s="160" customFormat="1" ht="20.100000000000001" customHeight="1" x14ac:dyDescent="0.25">
      <c r="A3" s="161">
        <v>1</v>
      </c>
      <c r="B3" s="1466" t="s">
        <v>1540</v>
      </c>
      <c r="C3" s="1466"/>
      <c r="D3" s="1466"/>
      <c r="E3" s="1466"/>
      <c r="F3" s="1466"/>
      <c r="G3" s="1466"/>
      <c r="H3" s="1466"/>
      <c r="I3" s="1466"/>
      <c r="J3" s="1466"/>
      <c r="K3" s="1466"/>
      <c r="L3" s="164"/>
      <c r="M3" s="164"/>
    </row>
    <row r="4" spans="1:14" s="160" customFormat="1" ht="20.100000000000001" customHeight="1" x14ac:dyDescent="0.25">
      <c r="A4" s="161">
        <v>2</v>
      </c>
      <c r="B4" s="1466" t="s">
        <v>1541</v>
      </c>
      <c r="C4" s="1466"/>
      <c r="D4" s="1466"/>
      <c r="E4" s="1466"/>
      <c r="F4" s="1466"/>
      <c r="G4" s="1466"/>
      <c r="H4" s="1466"/>
      <c r="I4" s="1466"/>
      <c r="J4" s="1466"/>
      <c r="K4" s="1466"/>
      <c r="L4" s="164"/>
      <c r="M4" s="164"/>
    </row>
    <row r="5" spans="1:14" s="160" customFormat="1" ht="35.1" customHeight="1" x14ac:dyDescent="0.25">
      <c r="A5" s="161">
        <v>3</v>
      </c>
      <c r="B5" s="1466" t="s">
        <v>1877</v>
      </c>
      <c r="C5" s="1466"/>
      <c r="D5" s="1466"/>
      <c r="E5" s="1466"/>
      <c r="F5" s="1466"/>
      <c r="G5" s="1466"/>
      <c r="H5" s="1466"/>
      <c r="I5" s="1466"/>
      <c r="J5" s="1466"/>
      <c r="K5" s="1466"/>
      <c r="L5" s="164"/>
      <c r="M5" s="164"/>
    </row>
    <row r="6" spans="1:14" s="160" customFormat="1" ht="20.100000000000001" customHeight="1" x14ac:dyDescent="0.25">
      <c r="A6" s="161">
        <v>4</v>
      </c>
      <c r="B6" s="1466" t="s">
        <v>1878</v>
      </c>
      <c r="C6" s="1466"/>
      <c r="D6" s="1466"/>
      <c r="E6" s="1466"/>
      <c r="F6" s="1466"/>
      <c r="G6" s="1466"/>
      <c r="H6" s="1466"/>
      <c r="I6" s="1466"/>
      <c r="J6" s="1466"/>
      <c r="K6" s="1466"/>
      <c r="L6" s="164"/>
      <c r="M6" s="164"/>
    </row>
    <row r="7" spans="1:14" s="160" customFormat="1" ht="35.1" customHeight="1" x14ac:dyDescent="0.25">
      <c r="A7" s="161">
        <v>5</v>
      </c>
      <c r="B7" s="1466" t="s">
        <v>1879</v>
      </c>
      <c r="C7" s="1466"/>
      <c r="D7" s="1466"/>
      <c r="E7" s="1466"/>
      <c r="F7" s="1466"/>
      <c r="G7" s="1466"/>
      <c r="H7" s="1466"/>
      <c r="I7" s="1466"/>
      <c r="J7" s="1466"/>
      <c r="K7" s="1466"/>
      <c r="L7" s="164"/>
      <c r="M7" s="164"/>
    </row>
    <row r="8" spans="1:14" s="160" customFormat="1" ht="35.1" customHeight="1" x14ac:dyDescent="0.25">
      <c r="A8" s="161">
        <v>6</v>
      </c>
      <c r="B8" s="1466" t="s">
        <v>1553</v>
      </c>
      <c r="C8" s="1466"/>
      <c r="D8" s="1466"/>
      <c r="E8" s="1466"/>
      <c r="F8" s="1466"/>
      <c r="G8" s="1466"/>
      <c r="H8" s="1466"/>
      <c r="I8" s="1466"/>
      <c r="J8" s="1466"/>
      <c r="K8" s="1466"/>
      <c r="L8" s="164"/>
      <c r="M8" s="164"/>
    </row>
    <row r="9" spans="1:14" s="160" customFormat="1" ht="20.100000000000001" customHeight="1" x14ac:dyDescent="0.25">
      <c r="A9" s="161">
        <v>7</v>
      </c>
      <c r="B9" s="1466" t="s">
        <v>1542</v>
      </c>
      <c r="C9" s="1466"/>
      <c r="D9" s="1466"/>
      <c r="E9" s="1466"/>
      <c r="F9" s="1466"/>
      <c r="G9" s="1466"/>
      <c r="H9" s="1466"/>
      <c r="I9" s="1466"/>
      <c r="J9" s="1466"/>
      <c r="K9" s="1466"/>
      <c r="L9" s="164"/>
      <c r="M9" s="164"/>
    </row>
    <row r="10" spans="1:14" s="160" customFormat="1" ht="35.1" customHeight="1" x14ac:dyDescent="0.25">
      <c r="A10" s="161">
        <v>8</v>
      </c>
      <c r="B10" s="1466" t="s">
        <v>1796</v>
      </c>
      <c r="C10" s="1466"/>
      <c r="D10" s="1466"/>
      <c r="E10" s="1466"/>
      <c r="F10" s="1466"/>
      <c r="G10" s="1466"/>
      <c r="H10" s="1466"/>
      <c r="I10" s="1466"/>
      <c r="J10" s="1466"/>
      <c r="K10" s="1466"/>
      <c r="L10" s="164"/>
      <c r="M10" s="164"/>
    </row>
    <row r="11" spans="1:14" s="68" customFormat="1" ht="9" customHeight="1" thickBot="1" x14ac:dyDescent="0.3">
      <c r="A11" s="78"/>
      <c r="B11" s="78"/>
      <c r="C11" s="78"/>
      <c r="D11" s="78"/>
      <c r="E11" s="78"/>
      <c r="F11" s="78"/>
      <c r="G11" s="78"/>
      <c r="H11" s="78"/>
      <c r="I11" s="78"/>
      <c r="J11" s="78"/>
      <c r="K11" s="78"/>
      <c r="L11" s="78"/>
      <c r="M11" s="78"/>
    </row>
    <row r="12" spans="1:14" ht="30" customHeight="1" x14ac:dyDescent="0.2">
      <c r="A12" s="1462" t="s">
        <v>6</v>
      </c>
      <c r="B12" s="1464" t="s">
        <v>7</v>
      </c>
      <c r="C12" s="1460" t="s">
        <v>1876</v>
      </c>
      <c r="D12" s="1460" t="s">
        <v>8</v>
      </c>
      <c r="E12" s="487" t="s">
        <v>68</v>
      </c>
      <c r="F12" s="486" t="s">
        <v>9</v>
      </c>
      <c r="G12" s="1458" t="s">
        <v>19</v>
      </c>
      <c r="H12" s="1459"/>
      <c r="I12" s="485" t="s">
        <v>11</v>
      </c>
      <c r="J12" s="490" t="s">
        <v>12</v>
      </c>
      <c r="K12" s="98" t="s">
        <v>13</v>
      </c>
    </row>
    <row r="13" spans="1:14" ht="15" customHeight="1" thickBot="1" x14ac:dyDescent="0.25">
      <c r="A13" s="1463"/>
      <c r="B13" s="1465"/>
      <c r="C13" s="1461"/>
      <c r="D13" s="1461"/>
      <c r="E13" s="100" t="s">
        <v>14</v>
      </c>
      <c r="F13" s="101" t="s">
        <v>10</v>
      </c>
      <c r="G13" s="102" t="s">
        <v>16</v>
      </c>
      <c r="H13" s="100" t="s">
        <v>10</v>
      </c>
      <c r="I13" s="101" t="s">
        <v>15</v>
      </c>
      <c r="J13" s="103" t="s">
        <v>17</v>
      </c>
      <c r="K13" s="104" t="s">
        <v>15</v>
      </c>
    </row>
    <row r="14" spans="1:14" s="105" customFormat="1" ht="18" customHeight="1" x14ac:dyDescent="0.2">
      <c r="A14" s="324" t="s">
        <v>1543</v>
      </c>
      <c r="B14" s="325" t="s">
        <v>1544</v>
      </c>
      <c r="C14" s="494" t="s">
        <v>2125</v>
      </c>
      <c r="D14" s="325" t="s">
        <v>1545</v>
      </c>
      <c r="E14" s="326">
        <v>1000</v>
      </c>
      <c r="F14" s="327">
        <v>6.5</v>
      </c>
      <c r="G14" s="328">
        <v>0.25</v>
      </c>
      <c r="H14" s="496"/>
      <c r="I14" s="329">
        <f>IF(AND(ISBLANK(A14),ISBLANK(B14),ISBLANK(D14),ISNUMBER(E14)),"Missing Material Data",IF(AND(ISBLANK(A14),ISBLANK(B14),ISBLANK(D14)),"",IF(ISBLANK(A14),"Enter Material Name",IF(ISBLANK(B14),"Enter Manufacturer",IF(ISBLANK(D14),"Enter Purpose",IF(ISBLANK(E14),"Enter Throughput",IF(ISBLANK(F14),"Enter Density",IF(AND(NOT(ISBLANK(G14)),NOT(ISBLANK(H14))),"VOC Content Error",IF(AND(ISNUMBER(E14),ISNUMBER(F14),OR(ISNUMBER(G14),ISNUMBER(H14))),IF(G14&gt;0,E14*F14*G14,E14*H14),"Enter VOC Content")))))))))</f>
        <v>1625</v>
      </c>
      <c r="J14" s="330">
        <v>1</v>
      </c>
      <c r="K14" s="331">
        <f>IF(I14="","",IF(NOT(ISTEXT(I14)),IF(ISBLANK(J14),"Enter % Release",J14*I14),""))</f>
        <v>1625</v>
      </c>
      <c r="L14" s="99"/>
      <c r="M14" s="99"/>
      <c r="N14" s="99"/>
    </row>
    <row r="15" spans="1:14" s="105" customFormat="1" ht="18" customHeight="1" x14ac:dyDescent="0.2">
      <c r="A15" s="332" t="s">
        <v>1547</v>
      </c>
      <c r="B15" s="333" t="s">
        <v>1548</v>
      </c>
      <c r="C15" s="495" t="s">
        <v>2126</v>
      </c>
      <c r="D15" s="333" t="s">
        <v>1546</v>
      </c>
      <c r="E15" s="334">
        <v>5000</v>
      </c>
      <c r="F15" s="335">
        <v>7.4</v>
      </c>
      <c r="G15" s="497"/>
      <c r="H15" s="336">
        <v>3</v>
      </c>
      <c r="I15" s="337">
        <f>IF(AND(ISBLANK(A15),ISBLANK(B15),ISBLANK(D15),ISNUMBER(E15)),"Missing Material Data",IF(AND(ISBLANK(A15),ISBLANK(B15),ISBLANK(D15)),"",IF(ISBLANK(A15),"Enter Material Name",IF(ISBLANK(B15),"Enter Manufacturer",IF(ISBLANK(D15),"Enter Purpose",IF(ISBLANK(E15),"Enter Throughput",IF(ISBLANK(F15),"Enter Density",IF(AND(NOT(ISBLANK(G15)),NOT(ISBLANK(H15))),"VOC Content Error",IF(AND(ISNUMBER(E15),ISNUMBER(F15),OR(ISNUMBER(G15),ISNUMBER(H15))),IF(G15&gt;0,E15*F15*G15,E15*H15),"Enter VOC Content")))))))))</f>
        <v>15000</v>
      </c>
      <c r="J15" s="338">
        <v>1</v>
      </c>
      <c r="K15" s="339">
        <f>IF(I15="","",IF(NOT(ISTEXT(I15)),IF(ISBLANK(J15),"Enter % Release",J15*I15),""))</f>
        <v>15000</v>
      </c>
      <c r="L15" s="99"/>
      <c r="M15" s="99"/>
      <c r="N15" s="99"/>
    </row>
    <row r="16" spans="1:14" s="68" customFormat="1" ht="9" customHeight="1" thickBot="1" x14ac:dyDescent="0.3">
      <c r="A16" s="78"/>
      <c r="B16" s="78"/>
      <c r="C16" s="78"/>
      <c r="D16" s="78"/>
      <c r="E16" s="78"/>
      <c r="F16" s="78"/>
      <c r="G16" s="78"/>
      <c r="H16" s="78"/>
      <c r="I16" s="78"/>
      <c r="J16" s="78"/>
      <c r="K16" s="78"/>
      <c r="L16" s="78"/>
      <c r="M16" s="78"/>
    </row>
    <row r="17" spans="1:14" s="68" customFormat="1" ht="27.75" customHeight="1" thickBot="1" x14ac:dyDescent="0.3">
      <c r="A17" s="1334" t="s">
        <v>1470</v>
      </c>
      <c r="B17" s="1208"/>
      <c r="C17" s="1208"/>
      <c r="D17" s="1208"/>
      <c r="E17" s="1208"/>
      <c r="F17" s="1208"/>
      <c r="G17" s="1208"/>
      <c r="H17" s="1208"/>
      <c r="I17" s="1208"/>
      <c r="J17" s="1208"/>
      <c r="K17" s="1335"/>
    </row>
    <row r="18" spans="1:14" s="68" customFormat="1" ht="9" customHeight="1" thickBot="1" x14ac:dyDescent="0.3">
      <c r="A18" s="78"/>
      <c r="B18" s="78"/>
      <c r="C18" s="78"/>
      <c r="D18" s="78"/>
      <c r="E18" s="78"/>
      <c r="F18" s="78"/>
      <c r="G18" s="78"/>
      <c r="H18" s="78"/>
      <c r="I18" s="78"/>
      <c r="J18" s="78"/>
      <c r="K18" s="78"/>
      <c r="L18" s="78"/>
      <c r="M18" s="78"/>
    </row>
    <row r="19" spans="1:14" s="68" customFormat="1" ht="18" customHeight="1" thickBot="1" x14ac:dyDescent="0.3">
      <c r="A19" s="482" t="s">
        <v>1552</v>
      </c>
      <c r="B19" s="118"/>
      <c r="C19" s="68" t="s">
        <v>1557</v>
      </c>
      <c r="D19" s="78"/>
      <c r="E19" s="78"/>
      <c r="F19" s="78"/>
      <c r="H19" s="482" t="s">
        <v>1554</v>
      </c>
      <c r="I19" s="483"/>
      <c r="J19" s="117">
        <f>B19*8.338</f>
        <v>0</v>
      </c>
    </row>
    <row r="20" spans="1:14" s="68" customFormat="1" ht="18" customHeight="1" thickBot="1" x14ac:dyDescent="0.3">
      <c r="A20" s="482" t="s">
        <v>1555</v>
      </c>
      <c r="B20" s="118"/>
      <c r="C20" s="68" t="s">
        <v>1558</v>
      </c>
      <c r="D20" s="78"/>
      <c r="E20" s="118"/>
      <c r="F20" s="68" t="s">
        <v>1556</v>
      </c>
      <c r="H20" s="482" t="s">
        <v>1559</v>
      </c>
      <c r="I20" s="483"/>
      <c r="J20" s="117">
        <f>IFERROR(B20/E20,0)</f>
        <v>0</v>
      </c>
    </row>
    <row r="21" spans="1:14" s="68" customFormat="1" ht="18" customHeight="1" thickBot="1" x14ac:dyDescent="0.3">
      <c r="A21" s="482" t="s">
        <v>1560</v>
      </c>
      <c r="B21" s="119"/>
      <c r="C21" s="68" t="s">
        <v>1561</v>
      </c>
      <c r="D21" s="78"/>
      <c r="E21" s="118"/>
      <c r="F21" s="68" t="s">
        <v>1562</v>
      </c>
      <c r="H21" s="482" t="s">
        <v>1559</v>
      </c>
      <c r="I21" s="483"/>
      <c r="J21" s="117">
        <f>B21*E21*0.0078125</f>
        <v>0</v>
      </c>
    </row>
    <row r="22" spans="1:14" s="68" customFormat="1" ht="35.1" customHeight="1" thickBot="1" x14ac:dyDescent="0.3">
      <c r="A22" s="1292"/>
      <c r="B22" s="1292"/>
      <c r="C22" s="1292"/>
      <c r="D22" s="1292"/>
      <c r="E22" s="1292"/>
      <c r="F22" s="1292"/>
      <c r="G22" s="1292"/>
      <c r="H22" s="1292"/>
      <c r="I22" s="1292"/>
      <c r="J22" s="1292"/>
      <c r="K22" s="1292"/>
      <c r="L22" s="85"/>
      <c r="M22" s="85"/>
      <c r="N22" s="85"/>
    </row>
    <row r="23" spans="1:14" s="77" customFormat="1" ht="19.5" thickBot="1" x14ac:dyDescent="0.3">
      <c r="A23" s="1208" t="s">
        <v>1449</v>
      </c>
      <c r="B23" s="1208"/>
      <c r="C23" s="1208"/>
      <c r="D23" s="1208"/>
      <c r="E23" s="1208"/>
      <c r="F23" s="1208"/>
      <c r="G23" s="1208"/>
      <c r="H23" s="1208"/>
      <c r="I23" s="1208"/>
      <c r="J23" s="1208"/>
      <c r="K23" s="1208"/>
      <c r="L23" s="90"/>
      <c r="M23" s="90"/>
      <c r="N23" s="90"/>
    </row>
    <row r="24" spans="1:14" ht="60" customHeight="1" x14ac:dyDescent="0.2">
      <c r="A24" s="1476"/>
      <c r="B24" s="1476"/>
      <c r="C24" s="1476"/>
      <c r="D24" s="1476"/>
      <c r="E24" s="1476"/>
      <c r="F24" s="1476"/>
      <c r="G24" s="1476"/>
      <c r="H24" s="1476"/>
      <c r="I24" s="1476"/>
      <c r="J24" s="1476"/>
      <c r="K24" s="1476"/>
    </row>
    <row r="25" spans="1:14" ht="24.95" customHeight="1" x14ac:dyDescent="0.2">
      <c r="A25" s="1436" t="s">
        <v>1431</v>
      </c>
      <c r="B25" s="1436"/>
      <c r="C25" s="1436"/>
      <c r="D25" s="1436"/>
      <c r="E25" s="1436"/>
      <c r="F25" s="1436"/>
      <c r="G25" s="1436"/>
      <c r="H25" s="1436"/>
      <c r="I25" s="1436"/>
      <c r="J25" s="1436"/>
      <c r="K25" s="1436"/>
      <c r="L25" s="111"/>
      <c r="M25" s="111"/>
      <c r="N25" s="111"/>
    </row>
    <row r="26" spans="1:14" ht="24.95" customHeight="1" x14ac:dyDescent="0.2">
      <c r="A26" s="988" t="s">
        <v>2361</v>
      </c>
      <c r="B26" s="988"/>
      <c r="C26" s="988"/>
      <c r="D26" s="988"/>
      <c r="E26" s="988"/>
      <c r="F26" s="988"/>
      <c r="G26" s="988"/>
      <c r="H26" s="988"/>
      <c r="I26" s="988"/>
      <c r="J26" s="988"/>
      <c r="K26" s="988"/>
    </row>
    <row r="27" spans="1:14" ht="20.100000000000001" customHeight="1" thickBot="1" x14ac:dyDescent="0.25">
      <c r="A27" s="1475" t="s">
        <v>18</v>
      </c>
      <c r="B27" s="1475"/>
      <c r="C27" s="1475"/>
      <c r="D27" s="1475"/>
      <c r="E27" s="1475"/>
      <c r="F27" s="1475"/>
      <c r="G27" s="1475"/>
      <c r="H27" s="1475"/>
      <c r="I27" s="1475"/>
      <c r="J27" s="1475"/>
      <c r="K27" s="1475"/>
    </row>
    <row r="28" spans="1:14" ht="30" customHeight="1" x14ac:dyDescent="0.2">
      <c r="A28" s="1473" t="s">
        <v>6</v>
      </c>
      <c r="B28" s="1469" t="s">
        <v>7</v>
      </c>
      <c r="C28" s="1471" t="s">
        <v>1876</v>
      </c>
      <c r="D28" s="1471" t="s">
        <v>8</v>
      </c>
      <c r="E28" s="831" t="s">
        <v>68</v>
      </c>
      <c r="F28" s="832" t="s">
        <v>9</v>
      </c>
      <c r="G28" s="1467" t="s">
        <v>19</v>
      </c>
      <c r="H28" s="1468"/>
      <c r="I28" s="833" t="s">
        <v>11</v>
      </c>
      <c r="J28" s="834" t="s">
        <v>12</v>
      </c>
      <c r="K28" s="823" t="s">
        <v>13</v>
      </c>
    </row>
    <row r="29" spans="1:14" ht="15.75" customHeight="1" thickBot="1" x14ac:dyDescent="0.25">
      <c r="A29" s="1474"/>
      <c r="B29" s="1470"/>
      <c r="C29" s="1472"/>
      <c r="D29" s="1472"/>
      <c r="E29" s="835" t="s">
        <v>14</v>
      </c>
      <c r="F29" s="836" t="s">
        <v>10</v>
      </c>
      <c r="G29" s="837" t="s">
        <v>16</v>
      </c>
      <c r="H29" s="835" t="s">
        <v>10</v>
      </c>
      <c r="I29" s="836" t="s">
        <v>15</v>
      </c>
      <c r="J29" s="838" t="s">
        <v>17</v>
      </c>
      <c r="K29" s="839" t="s">
        <v>15</v>
      </c>
    </row>
    <row r="30" spans="1:14" s="105" customFormat="1" ht="18" customHeight="1" x14ac:dyDescent="0.2">
      <c r="A30" s="340"/>
      <c r="B30" s="341"/>
      <c r="C30" s="491"/>
      <c r="D30" s="341"/>
      <c r="E30" s="342"/>
      <c r="F30" s="343"/>
      <c r="G30" s="344"/>
      <c r="H30" s="345"/>
      <c r="I30" s="346" t="str">
        <f>IF(AND(ISNUMBER(E30),ISNUMBER(F30),OR(ISNUMBER(G30),ISNUMBER(H30))),IF(G30&gt;0,E30*F30*G30,E30*H30),"")</f>
        <v/>
      </c>
      <c r="J30" s="347"/>
      <c r="K30" s="348" t="str">
        <f>IF(I30="","",IF(ISBLANK(J30),"",J30*I30))</f>
        <v/>
      </c>
      <c r="L30" s="99"/>
      <c r="M30" s="99"/>
      <c r="N30" s="99"/>
    </row>
    <row r="31" spans="1:14" s="105" customFormat="1" ht="18" customHeight="1" x14ac:dyDescent="0.2">
      <c r="A31" s="349"/>
      <c r="B31" s="350"/>
      <c r="C31" s="492"/>
      <c r="D31" s="350"/>
      <c r="E31" s="351"/>
      <c r="F31" s="352"/>
      <c r="G31" s="353"/>
      <c r="H31" s="354"/>
      <c r="I31" s="355" t="str">
        <f t="shared" ref="I31:I62" si="0">IF(AND(ISNUMBER(E31),ISNUMBER(F31),OR(ISNUMBER(G31),ISNUMBER(H31))),IF(G31&gt;0,E31*F31*G31,E31*H31),"")</f>
        <v/>
      </c>
      <c r="J31" s="356"/>
      <c r="K31" s="357" t="str">
        <f t="shared" ref="K31:K62" si="1">IF(I31="","",IF(ISBLANK(J31),"",J31*I31))</f>
        <v/>
      </c>
      <c r="L31" s="99"/>
      <c r="M31" s="99"/>
      <c r="N31" s="99"/>
    </row>
    <row r="32" spans="1:14" s="105" customFormat="1" ht="18" customHeight="1" x14ac:dyDescent="0.2">
      <c r="A32" s="349"/>
      <c r="B32" s="350"/>
      <c r="C32" s="492"/>
      <c r="D32" s="350"/>
      <c r="E32" s="351"/>
      <c r="F32" s="352"/>
      <c r="G32" s="353"/>
      <c r="H32" s="354"/>
      <c r="I32" s="355" t="str">
        <f t="shared" si="0"/>
        <v/>
      </c>
      <c r="J32" s="356"/>
      <c r="K32" s="357" t="str">
        <f t="shared" si="1"/>
        <v/>
      </c>
      <c r="L32" s="99"/>
      <c r="M32" s="99"/>
      <c r="N32" s="99"/>
    </row>
    <row r="33" spans="1:14" s="105" customFormat="1" ht="18" customHeight="1" x14ac:dyDescent="0.2">
      <c r="A33" s="349"/>
      <c r="B33" s="350"/>
      <c r="C33" s="492"/>
      <c r="D33" s="350"/>
      <c r="E33" s="351"/>
      <c r="F33" s="352"/>
      <c r="G33" s="353"/>
      <c r="H33" s="354"/>
      <c r="I33" s="355" t="str">
        <f t="shared" si="0"/>
        <v/>
      </c>
      <c r="J33" s="356"/>
      <c r="K33" s="357" t="str">
        <f t="shared" si="1"/>
        <v/>
      </c>
      <c r="L33" s="99"/>
      <c r="M33" s="99"/>
      <c r="N33" s="99"/>
    </row>
    <row r="34" spans="1:14" s="105" customFormat="1" ht="18" customHeight="1" x14ac:dyDescent="0.2">
      <c r="A34" s="349"/>
      <c r="B34" s="350"/>
      <c r="C34" s="492"/>
      <c r="D34" s="350"/>
      <c r="E34" s="351"/>
      <c r="F34" s="352"/>
      <c r="G34" s="353"/>
      <c r="H34" s="354"/>
      <c r="I34" s="355" t="str">
        <f t="shared" si="0"/>
        <v/>
      </c>
      <c r="J34" s="356"/>
      <c r="K34" s="357" t="str">
        <f t="shared" si="1"/>
        <v/>
      </c>
    </row>
    <row r="35" spans="1:14" s="105" customFormat="1" ht="18" customHeight="1" x14ac:dyDescent="0.2">
      <c r="A35" s="349"/>
      <c r="B35" s="350"/>
      <c r="C35" s="492"/>
      <c r="D35" s="350"/>
      <c r="E35" s="351"/>
      <c r="F35" s="352"/>
      <c r="G35" s="353"/>
      <c r="H35" s="354"/>
      <c r="I35" s="355" t="str">
        <f t="shared" si="0"/>
        <v/>
      </c>
      <c r="J35" s="356"/>
      <c r="K35" s="357" t="str">
        <f t="shared" si="1"/>
        <v/>
      </c>
    </row>
    <row r="36" spans="1:14" s="105" customFormat="1" ht="18" customHeight="1" x14ac:dyDescent="0.2">
      <c r="A36" s="349"/>
      <c r="B36" s="350"/>
      <c r="C36" s="492"/>
      <c r="D36" s="350"/>
      <c r="E36" s="351"/>
      <c r="F36" s="352"/>
      <c r="G36" s="353"/>
      <c r="H36" s="354"/>
      <c r="I36" s="355" t="str">
        <f t="shared" si="0"/>
        <v/>
      </c>
      <c r="J36" s="356"/>
      <c r="K36" s="357" t="str">
        <f t="shared" si="1"/>
        <v/>
      </c>
    </row>
    <row r="37" spans="1:14" s="105" customFormat="1" ht="18" customHeight="1" x14ac:dyDescent="0.2">
      <c r="A37" s="349"/>
      <c r="B37" s="350"/>
      <c r="C37" s="492"/>
      <c r="D37" s="350"/>
      <c r="E37" s="351"/>
      <c r="F37" s="352"/>
      <c r="G37" s="353"/>
      <c r="H37" s="354"/>
      <c r="I37" s="355" t="str">
        <f t="shared" si="0"/>
        <v/>
      </c>
      <c r="J37" s="356"/>
      <c r="K37" s="357" t="str">
        <f t="shared" si="1"/>
        <v/>
      </c>
    </row>
    <row r="38" spans="1:14" s="105" customFormat="1" ht="18" customHeight="1" x14ac:dyDescent="0.2">
      <c r="A38" s="349"/>
      <c r="B38" s="350"/>
      <c r="C38" s="492"/>
      <c r="D38" s="350"/>
      <c r="E38" s="351"/>
      <c r="F38" s="352"/>
      <c r="G38" s="353"/>
      <c r="H38" s="354"/>
      <c r="I38" s="355" t="str">
        <f t="shared" si="0"/>
        <v/>
      </c>
      <c r="J38" s="356"/>
      <c r="K38" s="357" t="str">
        <f t="shared" si="1"/>
        <v/>
      </c>
    </row>
    <row r="39" spans="1:14" s="105" customFormat="1" ht="18" customHeight="1" x14ac:dyDescent="0.2">
      <c r="A39" s="349"/>
      <c r="B39" s="350"/>
      <c r="C39" s="492"/>
      <c r="D39" s="350"/>
      <c r="E39" s="351"/>
      <c r="F39" s="352"/>
      <c r="G39" s="353"/>
      <c r="H39" s="354"/>
      <c r="I39" s="355" t="str">
        <f t="shared" si="0"/>
        <v/>
      </c>
      <c r="J39" s="356"/>
      <c r="K39" s="357" t="str">
        <f t="shared" si="1"/>
        <v/>
      </c>
    </row>
    <row r="40" spans="1:14" s="105" customFormat="1" ht="18" customHeight="1" x14ac:dyDescent="0.2">
      <c r="A40" s="349"/>
      <c r="B40" s="350"/>
      <c r="C40" s="492"/>
      <c r="D40" s="350"/>
      <c r="E40" s="351"/>
      <c r="F40" s="352"/>
      <c r="G40" s="353"/>
      <c r="H40" s="354"/>
      <c r="I40" s="355" t="str">
        <f t="shared" si="0"/>
        <v/>
      </c>
      <c r="J40" s="356"/>
      <c r="K40" s="357" t="str">
        <f t="shared" si="1"/>
        <v/>
      </c>
    </row>
    <row r="41" spans="1:14" s="105" customFormat="1" ht="18" customHeight="1" x14ac:dyDescent="0.2">
      <c r="A41" s="349"/>
      <c r="B41" s="350"/>
      <c r="C41" s="492"/>
      <c r="D41" s="350"/>
      <c r="E41" s="351"/>
      <c r="F41" s="352"/>
      <c r="G41" s="353"/>
      <c r="H41" s="354"/>
      <c r="I41" s="355" t="str">
        <f t="shared" si="0"/>
        <v/>
      </c>
      <c r="J41" s="356"/>
      <c r="K41" s="357" t="str">
        <f t="shared" si="1"/>
        <v/>
      </c>
    </row>
    <row r="42" spans="1:14" s="105" customFormat="1" ht="18" customHeight="1" x14ac:dyDescent="0.2">
      <c r="A42" s="349"/>
      <c r="B42" s="350"/>
      <c r="C42" s="492"/>
      <c r="D42" s="350"/>
      <c r="E42" s="351"/>
      <c r="F42" s="352"/>
      <c r="G42" s="353"/>
      <c r="H42" s="354"/>
      <c r="I42" s="355" t="str">
        <f t="shared" si="0"/>
        <v/>
      </c>
      <c r="J42" s="356"/>
      <c r="K42" s="357" t="str">
        <f t="shared" si="1"/>
        <v/>
      </c>
    </row>
    <row r="43" spans="1:14" s="105" customFormat="1" ht="18" customHeight="1" x14ac:dyDescent="0.2">
      <c r="A43" s="349"/>
      <c r="B43" s="350"/>
      <c r="C43" s="492"/>
      <c r="D43" s="350"/>
      <c r="E43" s="351"/>
      <c r="F43" s="352"/>
      <c r="G43" s="353"/>
      <c r="H43" s="354"/>
      <c r="I43" s="355" t="str">
        <f t="shared" si="0"/>
        <v/>
      </c>
      <c r="J43" s="356"/>
      <c r="K43" s="357" t="str">
        <f t="shared" si="1"/>
        <v/>
      </c>
    </row>
    <row r="44" spans="1:14" s="105" customFormat="1" ht="18" customHeight="1" x14ac:dyDescent="0.2">
      <c r="A44" s="349"/>
      <c r="B44" s="350"/>
      <c r="C44" s="492"/>
      <c r="D44" s="350"/>
      <c r="E44" s="351"/>
      <c r="F44" s="352"/>
      <c r="G44" s="353"/>
      <c r="H44" s="354"/>
      <c r="I44" s="355" t="str">
        <f t="shared" si="0"/>
        <v/>
      </c>
      <c r="J44" s="356"/>
      <c r="K44" s="357" t="str">
        <f t="shared" si="1"/>
        <v/>
      </c>
    </row>
    <row r="45" spans="1:14" s="105" customFormat="1" ht="18" customHeight="1" x14ac:dyDescent="0.2">
      <c r="A45" s="349"/>
      <c r="B45" s="350"/>
      <c r="C45" s="492"/>
      <c r="D45" s="350"/>
      <c r="E45" s="351"/>
      <c r="F45" s="352"/>
      <c r="G45" s="353"/>
      <c r="H45" s="354"/>
      <c r="I45" s="355" t="str">
        <f t="shared" si="0"/>
        <v/>
      </c>
      <c r="J45" s="356"/>
      <c r="K45" s="357" t="str">
        <f t="shared" si="1"/>
        <v/>
      </c>
    </row>
    <row r="46" spans="1:14" s="105" customFormat="1" ht="18" customHeight="1" x14ac:dyDescent="0.2">
      <c r="A46" s="349"/>
      <c r="B46" s="350"/>
      <c r="C46" s="492"/>
      <c r="D46" s="350"/>
      <c r="E46" s="351"/>
      <c r="F46" s="352"/>
      <c r="G46" s="353"/>
      <c r="H46" s="354"/>
      <c r="I46" s="355" t="str">
        <f t="shared" si="0"/>
        <v/>
      </c>
      <c r="J46" s="356"/>
      <c r="K46" s="357" t="str">
        <f t="shared" si="1"/>
        <v/>
      </c>
    </row>
    <row r="47" spans="1:14" s="105" customFormat="1" ht="18" customHeight="1" x14ac:dyDescent="0.2">
      <c r="A47" s="349"/>
      <c r="B47" s="350"/>
      <c r="C47" s="492"/>
      <c r="D47" s="350"/>
      <c r="E47" s="351"/>
      <c r="F47" s="352"/>
      <c r="G47" s="353"/>
      <c r="H47" s="354"/>
      <c r="I47" s="355" t="str">
        <f t="shared" si="0"/>
        <v/>
      </c>
      <c r="J47" s="356"/>
      <c r="K47" s="357" t="str">
        <f t="shared" si="1"/>
        <v/>
      </c>
    </row>
    <row r="48" spans="1:14" s="105" customFormat="1" ht="18" customHeight="1" x14ac:dyDescent="0.2">
      <c r="A48" s="349"/>
      <c r="B48" s="350"/>
      <c r="C48" s="492"/>
      <c r="D48" s="350"/>
      <c r="E48" s="351"/>
      <c r="F48" s="352"/>
      <c r="G48" s="353"/>
      <c r="H48" s="354"/>
      <c r="I48" s="355" t="str">
        <f t="shared" si="0"/>
        <v/>
      </c>
      <c r="J48" s="356"/>
      <c r="K48" s="357" t="str">
        <f t="shared" si="1"/>
        <v/>
      </c>
    </row>
    <row r="49" spans="1:11" s="105" customFormat="1" ht="18" customHeight="1" x14ac:dyDescent="0.2">
      <c r="A49" s="349"/>
      <c r="B49" s="350"/>
      <c r="C49" s="492"/>
      <c r="D49" s="350"/>
      <c r="E49" s="351"/>
      <c r="F49" s="352"/>
      <c r="G49" s="353"/>
      <c r="H49" s="354"/>
      <c r="I49" s="355" t="str">
        <f t="shared" si="0"/>
        <v/>
      </c>
      <c r="J49" s="356"/>
      <c r="K49" s="357" t="str">
        <f t="shared" si="1"/>
        <v/>
      </c>
    </row>
    <row r="50" spans="1:11" s="105" customFormat="1" ht="18" customHeight="1" x14ac:dyDescent="0.2">
      <c r="A50" s="349"/>
      <c r="B50" s="350"/>
      <c r="C50" s="492"/>
      <c r="D50" s="350"/>
      <c r="E50" s="351"/>
      <c r="F50" s="352"/>
      <c r="G50" s="353"/>
      <c r="H50" s="354"/>
      <c r="I50" s="355" t="str">
        <f t="shared" si="0"/>
        <v/>
      </c>
      <c r="J50" s="356"/>
      <c r="K50" s="357" t="str">
        <f t="shared" si="1"/>
        <v/>
      </c>
    </row>
    <row r="51" spans="1:11" s="105" customFormat="1" ht="18" customHeight="1" x14ac:dyDescent="0.2">
      <c r="A51" s="349"/>
      <c r="B51" s="350"/>
      <c r="C51" s="492"/>
      <c r="D51" s="350"/>
      <c r="E51" s="351"/>
      <c r="F51" s="352"/>
      <c r="G51" s="353"/>
      <c r="H51" s="354"/>
      <c r="I51" s="355" t="str">
        <f t="shared" si="0"/>
        <v/>
      </c>
      <c r="J51" s="356"/>
      <c r="K51" s="357" t="str">
        <f t="shared" si="1"/>
        <v/>
      </c>
    </row>
    <row r="52" spans="1:11" s="105" customFormat="1" ht="18" customHeight="1" x14ac:dyDescent="0.2">
      <c r="A52" s="349"/>
      <c r="B52" s="350"/>
      <c r="C52" s="492"/>
      <c r="D52" s="350"/>
      <c r="E52" s="351"/>
      <c r="F52" s="352"/>
      <c r="G52" s="353"/>
      <c r="H52" s="354"/>
      <c r="I52" s="355" t="str">
        <f t="shared" si="0"/>
        <v/>
      </c>
      <c r="J52" s="356"/>
      <c r="K52" s="357" t="str">
        <f t="shared" si="1"/>
        <v/>
      </c>
    </row>
    <row r="53" spans="1:11" s="105" customFormat="1" ht="18" customHeight="1" x14ac:dyDescent="0.2">
      <c r="A53" s="349"/>
      <c r="B53" s="350"/>
      <c r="C53" s="492"/>
      <c r="D53" s="350"/>
      <c r="E53" s="351"/>
      <c r="F53" s="352"/>
      <c r="G53" s="353"/>
      <c r="H53" s="354"/>
      <c r="I53" s="355" t="str">
        <f t="shared" si="0"/>
        <v/>
      </c>
      <c r="J53" s="356"/>
      <c r="K53" s="357" t="str">
        <f t="shared" si="1"/>
        <v/>
      </c>
    </row>
    <row r="54" spans="1:11" s="105" customFormat="1" ht="18" customHeight="1" x14ac:dyDescent="0.2">
      <c r="A54" s="349"/>
      <c r="B54" s="350"/>
      <c r="C54" s="492"/>
      <c r="D54" s="350"/>
      <c r="E54" s="351"/>
      <c r="F54" s="352"/>
      <c r="G54" s="353"/>
      <c r="H54" s="354"/>
      <c r="I54" s="355" t="str">
        <f t="shared" si="0"/>
        <v/>
      </c>
      <c r="J54" s="356"/>
      <c r="K54" s="357" t="str">
        <f t="shared" si="1"/>
        <v/>
      </c>
    </row>
    <row r="55" spans="1:11" s="105" customFormat="1" ht="18" customHeight="1" x14ac:dyDescent="0.2">
      <c r="A55" s="349"/>
      <c r="B55" s="350"/>
      <c r="C55" s="492"/>
      <c r="D55" s="350"/>
      <c r="E55" s="351"/>
      <c r="F55" s="352"/>
      <c r="G55" s="353"/>
      <c r="H55" s="354"/>
      <c r="I55" s="355" t="str">
        <f t="shared" si="0"/>
        <v/>
      </c>
      <c r="J55" s="356"/>
      <c r="K55" s="357" t="str">
        <f t="shared" si="1"/>
        <v/>
      </c>
    </row>
    <row r="56" spans="1:11" s="105" customFormat="1" ht="18" customHeight="1" x14ac:dyDescent="0.2">
      <c r="A56" s="349"/>
      <c r="B56" s="350"/>
      <c r="C56" s="492"/>
      <c r="D56" s="350"/>
      <c r="E56" s="351"/>
      <c r="F56" s="352"/>
      <c r="G56" s="353"/>
      <c r="H56" s="354"/>
      <c r="I56" s="355" t="str">
        <f t="shared" si="0"/>
        <v/>
      </c>
      <c r="J56" s="356"/>
      <c r="K56" s="357" t="str">
        <f t="shared" si="1"/>
        <v/>
      </c>
    </row>
    <row r="57" spans="1:11" s="105" customFormat="1" ht="18" customHeight="1" x14ac:dyDescent="0.2">
      <c r="A57" s="349"/>
      <c r="B57" s="350"/>
      <c r="C57" s="492"/>
      <c r="D57" s="350"/>
      <c r="E57" s="351"/>
      <c r="F57" s="352"/>
      <c r="G57" s="353"/>
      <c r="H57" s="354"/>
      <c r="I57" s="355" t="str">
        <f t="shared" si="0"/>
        <v/>
      </c>
      <c r="J57" s="356"/>
      <c r="K57" s="357" t="str">
        <f t="shared" si="1"/>
        <v/>
      </c>
    </row>
    <row r="58" spans="1:11" s="105" customFormat="1" ht="18" customHeight="1" x14ac:dyDescent="0.2">
      <c r="A58" s="349"/>
      <c r="B58" s="350"/>
      <c r="C58" s="492"/>
      <c r="D58" s="350"/>
      <c r="E58" s="351"/>
      <c r="F58" s="352"/>
      <c r="G58" s="353"/>
      <c r="H58" s="354"/>
      <c r="I58" s="355" t="str">
        <f t="shared" si="0"/>
        <v/>
      </c>
      <c r="J58" s="356"/>
      <c r="K58" s="357" t="str">
        <f t="shared" si="1"/>
        <v/>
      </c>
    </row>
    <row r="59" spans="1:11" s="105" customFormat="1" ht="18" customHeight="1" x14ac:dyDescent="0.2">
      <c r="A59" s="349"/>
      <c r="B59" s="350"/>
      <c r="C59" s="492"/>
      <c r="D59" s="350"/>
      <c r="E59" s="351"/>
      <c r="F59" s="352"/>
      <c r="G59" s="353"/>
      <c r="H59" s="354"/>
      <c r="I59" s="355" t="str">
        <f t="shared" si="0"/>
        <v/>
      </c>
      <c r="J59" s="356"/>
      <c r="K59" s="357" t="str">
        <f t="shared" si="1"/>
        <v/>
      </c>
    </row>
    <row r="60" spans="1:11" s="105" customFormat="1" ht="18" customHeight="1" x14ac:dyDescent="0.2">
      <c r="A60" s="349"/>
      <c r="B60" s="350"/>
      <c r="C60" s="492"/>
      <c r="D60" s="350"/>
      <c r="E60" s="351"/>
      <c r="F60" s="352"/>
      <c r="G60" s="353"/>
      <c r="H60" s="354"/>
      <c r="I60" s="355" t="str">
        <f t="shared" si="0"/>
        <v/>
      </c>
      <c r="J60" s="356"/>
      <c r="K60" s="357" t="str">
        <f t="shared" si="1"/>
        <v/>
      </c>
    </row>
    <row r="61" spans="1:11" s="105" customFormat="1" ht="18" customHeight="1" x14ac:dyDescent="0.2">
      <c r="A61" s="349"/>
      <c r="B61" s="350"/>
      <c r="C61" s="492"/>
      <c r="D61" s="350"/>
      <c r="E61" s="351"/>
      <c r="F61" s="352"/>
      <c r="G61" s="353"/>
      <c r="H61" s="354"/>
      <c r="I61" s="355" t="str">
        <f t="shared" si="0"/>
        <v/>
      </c>
      <c r="J61" s="356"/>
      <c r="K61" s="357" t="str">
        <f t="shared" si="1"/>
        <v/>
      </c>
    </row>
    <row r="62" spans="1:11" s="105" customFormat="1" ht="18" customHeight="1" thickBot="1" x14ac:dyDescent="0.25">
      <c r="A62" s="358"/>
      <c r="B62" s="359"/>
      <c r="C62" s="493"/>
      <c r="D62" s="359"/>
      <c r="E62" s="360"/>
      <c r="F62" s="361"/>
      <c r="G62" s="362"/>
      <c r="H62" s="363"/>
      <c r="I62" s="364" t="str">
        <f t="shared" si="0"/>
        <v/>
      </c>
      <c r="J62" s="365"/>
      <c r="K62" s="366" t="str">
        <f t="shared" si="1"/>
        <v/>
      </c>
    </row>
    <row r="63" spans="1:11" x14ac:dyDescent="0.2">
      <c r="A63" s="112"/>
    </row>
  </sheetData>
  <sheetProtection algorithmName="SHA-512" hashValue="3+0+p/RWN+YHSY44Z24qJsip3IvQnSwPYLkSacZVMh7UqF807vAIdi95Ep9lVQx+7R8ks5HBeeS723iy0AmYhQ==" saltValue="26z3zSWvYhB9F5c0A87X8w==" spinCount="100000" sheet="1" objects="1" scenarios="1"/>
  <mergeCells count="27">
    <mergeCell ref="A17:K17"/>
    <mergeCell ref="A22:K22"/>
    <mergeCell ref="A23:K23"/>
    <mergeCell ref="A24:K24"/>
    <mergeCell ref="A25:K25"/>
    <mergeCell ref="G28:H28"/>
    <mergeCell ref="B28:B29"/>
    <mergeCell ref="D28:D29"/>
    <mergeCell ref="A28:A29"/>
    <mergeCell ref="A26:K26"/>
    <mergeCell ref="A27:K27"/>
    <mergeCell ref="C28:C29"/>
    <mergeCell ref="A1:K1"/>
    <mergeCell ref="G12:H12"/>
    <mergeCell ref="D12:D13"/>
    <mergeCell ref="A2:K2"/>
    <mergeCell ref="A12:A13"/>
    <mergeCell ref="B12:B13"/>
    <mergeCell ref="C12:C13"/>
    <mergeCell ref="B8:K8"/>
    <mergeCell ref="B9:K9"/>
    <mergeCell ref="B10:K10"/>
    <mergeCell ref="B3:K3"/>
    <mergeCell ref="B4:K4"/>
    <mergeCell ref="B5:K5"/>
    <mergeCell ref="B6:K6"/>
    <mergeCell ref="B7:K7"/>
  </mergeCells>
  <conditionalFormatting sqref="B30:K62">
    <cfRule type="expression" dxfId="165" priority="13">
      <formula>AND(NOT(ISBLANK($A30)),ISBLANK(B30))</formula>
    </cfRule>
  </conditionalFormatting>
  <conditionalFormatting sqref="E30:H62 J30:J62">
    <cfRule type="expression" dxfId="164" priority="15">
      <formula>ISTEXT(E30)</formula>
    </cfRule>
  </conditionalFormatting>
  <conditionalFormatting sqref="G30:G62">
    <cfRule type="expression" dxfId="163" priority="12">
      <formula>AND(NOT(ISBLANK(H30)),ISBLANK(G30))</formula>
    </cfRule>
  </conditionalFormatting>
  <conditionalFormatting sqref="H30:H62">
    <cfRule type="expression" dxfId="162" priority="1">
      <formula>AND(NOT(ISBLANK(G30)),ISBLANK(H30))</formula>
    </cfRule>
  </conditionalFormatting>
  <printOptions horizontalCentered="1"/>
  <pageMargins left="0.5" right="0.5" top="0.5" bottom="0.5" header="0.3" footer="0.3"/>
  <pageSetup scale="72" fitToHeight="0" orientation="landscape" r:id="rId1"/>
  <headerFooter>
    <oddFooter>&amp;LRev. 7/2016&amp;C&amp;A&amp;RPage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002060"/>
    <pageSetUpPr fitToPage="1"/>
  </sheetPr>
  <dimension ref="A1:BM287"/>
  <sheetViews>
    <sheetView showGridLines="0" zoomScaleNormal="100" workbookViewId="0">
      <selection sqref="A1:L1"/>
    </sheetView>
  </sheetViews>
  <sheetFormatPr defaultRowHeight="14.25" x14ac:dyDescent="0.2"/>
  <cols>
    <col min="1" max="1" width="24.7109375" style="99" customWidth="1"/>
    <col min="2" max="2" width="22.7109375" style="99" customWidth="1"/>
    <col min="3" max="3" width="11.7109375" style="99" customWidth="1"/>
    <col min="4" max="6" width="12.7109375" style="99" customWidth="1"/>
    <col min="7" max="8" width="13.28515625" style="99" customWidth="1"/>
    <col min="9" max="9" width="11.7109375" style="137" customWidth="1"/>
    <col min="10" max="10" width="13.7109375" style="99" customWidth="1"/>
    <col min="11" max="11" width="11.7109375" style="113" customWidth="1"/>
    <col min="12" max="12" width="13.7109375" style="99" customWidth="1"/>
    <col min="13" max="14" width="9.140625" style="99" customWidth="1"/>
    <col min="15" max="15" width="9.140625" style="99"/>
    <col min="16" max="16" width="19.85546875" style="99" customWidth="1"/>
    <col min="17" max="17" width="20.7109375" style="140" customWidth="1"/>
    <col min="18" max="18" width="9.140625" style="99"/>
    <col min="19" max="19" width="13.7109375" style="99" customWidth="1"/>
    <col min="20" max="32" width="9.140625" style="99"/>
    <col min="33" max="33" width="10.140625" style="99" bestFit="1" customWidth="1"/>
    <col min="34" max="36" width="9.140625" style="99"/>
    <col min="37" max="47" width="12.7109375" style="99" customWidth="1"/>
    <col min="48" max="53" width="9.140625" style="99"/>
    <col min="54" max="64" width="12.7109375" style="99" customWidth="1"/>
    <col min="65" max="16384" width="9.140625" style="99"/>
  </cols>
  <sheetData>
    <row r="1" spans="1:17" s="69" customFormat="1" ht="26.25" customHeight="1" thickBot="1" x14ac:dyDescent="0.3">
      <c r="A1" s="1315" t="s">
        <v>2356</v>
      </c>
      <c r="B1" s="1315"/>
      <c r="C1" s="1315"/>
      <c r="D1" s="1315"/>
      <c r="E1" s="1315"/>
      <c r="F1" s="1315"/>
      <c r="G1" s="1315"/>
      <c r="H1" s="1315"/>
      <c r="I1" s="1315"/>
      <c r="J1" s="1315"/>
      <c r="K1" s="1315"/>
      <c r="L1" s="1315"/>
      <c r="M1" s="79"/>
      <c r="N1" s="79"/>
      <c r="Q1" s="139"/>
    </row>
    <row r="2" spans="1:17" s="160" customFormat="1" ht="35.1" customHeight="1" x14ac:dyDescent="0.25">
      <c r="A2" s="1448" t="s">
        <v>2358</v>
      </c>
      <c r="B2" s="1448"/>
      <c r="C2" s="1448"/>
      <c r="D2" s="1448"/>
      <c r="E2" s="1448"/>
      <c r="F2" s="1448"/>
      <c r="G2" s="1448"/>
      <c r="H2" s="1448"/>
      <c r="I2" s="1448"/>
      <c r="J2" s="1448"/>
      <c r="K2" s="1448"/>
      <c r="L2" s="1448"/>
      <c r="M2" s="163"/>
      <c r="N2" s="163"/>
      <c r="Q2" s="165"/>
    </row>
    <row r="3" spans="1:17" s="160" customFormat="1" ht="35.1" customHeight="1" x14ac:dyDescent="0.25">
      <c r="A3" s="161">
        <v>1</v>
      </c>
      <c r="B3" s="1466" t="s">
        <v>1563</v>
      </c>
      <c r="C3" s="1466"/>
      <c r="D3" s="1466"/>
      <c r="E3" s="1466"/>
      <c r="F3" s="1466"/>
      <c r="G3" s="1466"/>
      <c r="H3" s="1466"/>
      <c r="I3" s="1466"/>
      <c r="J3" s="1466"/>
      <c r="K3" s="1466"/>
      <c r="L3" s="1466"/>
      <c r="M3" s="164"/>
      <c r="N3" s="164"/>
      <c r="Q3" s="165"/>
    </row>
    <row r="4" spans="1:17" s="160" customFormat="1" ht="20.100000000000001" customHeight="1" x14ac:dyDescent="0.25">
      <c r="A4" s="161">
        <v>2</v>
      </c>
      <c r="B4" s="1466" t="s">
        <v>1549</v>
      </c>
      <c r="C4" s="1466"/>
      <c r="D4" s="1466"/>
      <c r="E4" s="1466"/>
      <c r="F4" s="1466"/>
      <c r="G4" s="1466"/>
      <c r="H4" s="1466"/>
      <c r="I4" s="1466"/>
      <c r="J4" s="1466"/>
      <c r="K4" s="1466"/>
      <c r="L4" s="1466"/>
      <c r="M4" s="164"/>
      <c r="N4" s="164"/>
      <c r="Q4" s="165"/>
    </row>
    <row r="5" spans="1:17" s="160" customFormat="1" ht="35.1" customHeight="1" x14ac:dyDescent="0.25">
      <c r="A5" s="161">
        <v>3</v>
      </c>
      <c r="B5" s="1466" t="s">
        <v>1551</v>
      </c>
      <c r="C5" s="1466"/>
      <c r="D5" s="1466"/>
      <c r="E5" s="1466"/>
      <c r="F5" s="1466"/>
      <c r="G5" s="1466"/>
      <c r="H5" s="1466"/>
      <c r="I5" s="1466"/>
      <c r="J5" s="1466"/>
      <c r="K5" s="1466"/>
      <c r="L5" s="1466"/>
      <c r="M5" s="164"/>
      <c r="N5" s="164"/>
      <c r="Q5" s="165"/>
    </row>
    <row r="6" spans="1:17" s="160" customFormat="1" ht="35.1" customHeight="1" x14ac:dyDescent="0.25">
      <c r="A6" s="161">
        <v>4</v>
      </c>
      <c r="B6" s="1466" t="s">
        <v>1892</v>
      </c>
      <c r="C6" s="1466"/>
      <c r="D6" s="1466"/>
      <c r="E6" s="1466"/>
      <c r="F6" s="1466"/>
      <c r="G6" s="1466"/>
      <c r="H6" s="1466"/>
      <c r="I6" s="1466"/>
      <c r="J6" s="1466"/>
      <c r="K6" s="1466"/>
      <c r="L6" s="1466"/>
      <c r="M6" s="164"/>
      <c r="N6" s="164"/>
      <c r="Q6" s="165"/>
    </row>
    <row r="7" spans="1:17" s="160" customFormat="1" ht="50.1" customHeight="1" x14ac:dyDescent="0.25">
      <c r="A7" s="161">
        <v>5</v>
      </c>
      <c r="B7" s="1466" t="s">
        <v>1886</v>
      </c>
      <c r="C7" s="1466"/>
      <c r="D7" s="1466"/>
      <c r="E7" s="1466"/>
      <c r="F7" s="1466"/>
      <c r="G7" s="1466"/>
      <c r="H7" s="1466"/>
      <c r="I7" s="1466"/>
      <c r="J7" s="1466"/>
      <c r="K7" s="1466"/>
      <c r="L7" s="1466"/>
      <c r="M7" s="164"/>
      <c r="N7" s="164"/>
      <c r="Q7" s="165"/>
    </row>
    <row r="8" spans="1:17" s="160" customFormat="1" ht="20.100000000000001" customHeight="1" x14ac:dyDescent="0.25">
      <c r="A8" s="161">
        <v>6</v>
      </c>
      <c r="B8" s="1466" t="s">
        <v>1887</v>
      </c>
      <c r="C8" s="1466"/>
      <c r="D8" s="1466"/>
      <c r="E8" s="1466"/>
      <c r="F8" s="1466"/>
      <c r="G8" s="1466"/>
      <c r="H8" s="1466"/>
      <c r="I8" s="1466"/>
      <c r="J8" s="1466"/>
      <c r="K8" s="1466"/>
      <c r="L8" s="1466"/>
      <c r="M8" s="164"/>
      <c r="N8" s="164"/>
      <c r="Q8" s="165"/>
    </row>
    <row r="9" spans="1:17" s="160" customFormat="1" ht="35.1" customHeight="1" x14ac:dyDescent="0.25">
      <c r="A9" s="161">
        <v>7</v>
      </c>
      <c r="B9" s="1466" t="s">
        <v>1888</v>
      </c>
      <c r="C9" s="1466"/>
      <c r="D9" s="1466"/>
      <c r="E9" s="1466"/>
      <c r="F9" s="1466"/>
      <c r="G9" s="1466"/>
      <c r="H9" s="1466"/>
      <c r="I9" s="1466"/>
      <c r="J9" s="1466"/>
      <c r="K9" s="1466"/>
      <c r="L9" s="1466"/>
      <c r="M9" s="164"/>
      <c r="N9" s="164"/>
      <c r="Q9" s="165"/>
    </row>
    <row r="10" spans="1:17" s="160" customFormat="1" ht="35.1" customHeight="1" x14ac:dyDescent="0.25">
      <c r="A10" s="161">
        <v>8</v>
      </c>
      <c r="B10" s="1466" t="s">
        <v>1889</v>
      </c>
      <c r="C10" s="1466"/>
      <c r="D10" s="1466"/>
      <c r="E10" s="1466"/>
      <c r="F10" s="1466"/>
      <c r="G10" s="1466"/>
      <c r="H10" s="1466"/>
      <c r="I10" s="1466"/>
      <c r="J10" s="1466"/>
      <c r="K10" s="1466"/>
      <c r="L10" s="1466"/>
      <c r="M10" s="164"/>
      <c r="N10" s="164"/>
      <c r="Q10" s="165"/>
    </row>
    <row r="11" spans="1:17" s="160" customFormat="1" ht="50.1" customHeight="1" x14ac:dyDescent="0.25">
      <c r="A11" s="161">
        <v>9</v>
      </c>
      <c r="B11" s="1466" t="s">
        <v>1890</v>
      </c>
      <c r="C11" s="1466"/>
      <c r="D11" s="1466"/>
      <c r="E11" s="1466"/>
      <c r="F11" s="1466"/>
      <c r="G11" s="1466"/>
      <c r="H11" s="1466"/>
      <c r="I11" s="1466"/>
      <c r="J11" s="1466"/>
      <c r="K11" s="1466"/>
      <c r="L11" s="1466"/>
      <c r="M11" s="164"/>
      <c r="N11" s="164"/>
      <c r="Q11" s="165"/>
    </row>
    <row r="12" spans="1:17" s="160" customFormat="1" ht="35.1" customHeight="1" x14ac:dyDescent="0.25">
      <c r="A12" s="161">
        <v>10</v>
      </c>
      <c r="B12" s="1466" t="s">
        <v>1891</v>
      </c>
      <c r="C12" s="1466"/>
      <c r="D12" s="1466"/>
      <c r="E12" s="1466"/>
      <c r="F12" s="1466"/>
      <c r="G12" s="1466"/>
      <c r="H12" s="1466"/>
      <c r="I12" s="1466"/>
      <c r="J12" s="1466"/>
      <c r="K12" s="1466"/>
      <c r="L12" s="1466"/>
      <c r="M12" s="164"/>
      <c r="N12" s="164"/>
      <c r="Q12" s="165"/>
    </row>
    <row r="13" spans="1:17" s="168" customFormat="1" ht="20.100000000000001" customHeight="1" x14ac:dyDescent="0.25">
      <c r="A13" s="463">
        <v>11</v>
      </c>
      <c r="B13" s="1466" t="s">
        <v>1650</v>
      </c>
      <c r="C13" s="1466"/>
      <c r="D13" s="1466"/>
      <c r="E13" s="1466"/>
      <c r="F13" s="1466"/>
      <c r="G13" s="1466"/>
      <c r="H13" s="1466"/>
      <c r="I13" s="1466"/>
      <c r="J13" s="1466"/>
      <c r="K13" s="1466"/>
      <c r="L13" s="1466"/>
      <c r="M13" s="489"/>
      <c r="N13" s="489"/>
      <c r="Q13" s="498"/>
    </row>
    <row r="14" spans="1:17" s="160" customFormat="1" ht="30" customHeight="1" x14ac:dyDescent="0.25">
      <c r="A14" s="1477" t="s">
        <v>1795</v>
      </c>
      <c r="B14" s="1477"/>
      <c r="C14" s="1477"/>
      <c r="D14" s="1477"/>
      <c r="E14" s="1477"/>
      <c r="F14" s="1477"/>
      <c r="G14" s="1477"/>
      <c r="H14" s="1477"/>
      <c r="I14" s="1477"/>
      <c r="J14" s="1477"/>
      <c r="K14" s="1477"/>
      <c r="L14" s="1477"/>
      <c r="M14" s="169"/>
      <c r="N14" s="169"/>
      <c r="Q14" s="165"/>
    </row>
    <row r="15" spans="1:17" s="68" customFormat="1" ht="9" customHeight="1" thickBot="1" x14ac:dyDescent="0.3">
      <c r="A15" s="78"/>
      <c r="B15" s="78"/>
      <c r="C15" s="78"/>
      <c r="D15" s="78"/>
      <c r="E15" s="78"/>
      <c r="F15" s="78"/>
      <c r="G15" s="78"/>
      <c r="H15" s="78"/>
      <c r="I15" s="520"/>
      <c r="J15" s="78"/>
      <c r="K15" s="78"/>
      <c r="L15" s="78"/>
      <c r="M15" s="78"/>
      <c r="Q15" s="66"/>
    </row>
    <row r="16" spans="1:17" ht="30" customHeight="1" x14ac:dyDescent="0.2">
      <c r="A16" s="1462" t="s">
        <v>6</v>
      </c>
      <c r="B16" s="1464" t="s">
        <v>20</v>
      </c>
      <c r="C16" s="1460" t="s">
        <v>1432</v>
      </c>
      <c r="D16" s="1460" t="s">
        <v>1876</v>
      </c>
      <c r="E16" s="1460" t="s">
        <v>1635</v>
      </c>
      <c r="F16" s="1460" t="s">
        <v>1582</v>
      </c>
      <c r="G16" s="1460" t="s">
        <v>1642</v>
      </c>
      <c r="H16" s="1460" t="s">
        <v>1636</v>
      </c>
      <c r="I16" s="521" t="s">
        <v>9</v>
      </c>
      <c r="J16" s="486" t="s">
        <v>1893</v>
      </c>
      <c r="K16" s="490" t="s">
        <v>12</v>
      </c>
      <c r="L16" s="98" t="s">
        <v>21</v>
      </c>
    </row>
    <row r="17" spans="1:17" ht="15" customHeight="1" thickBot="1" x14ac:dyDescent="0.25">
      <c r="A17" s="1463"/>
      <c r="B17" s="1465"/>
      <c r="C17" s="1461"/>
      <c r="D17" s="1461"/>
      <c r="E17" s="1461"/>
      <c r="F17" s="1461"/>
      <c r="G17" s="1461"/>
      <c r="H17" s="1461"/>
      <c r="I17" s="522" t="s">
        <v>10</v>
      </c>
      <c r="J17" s="114" t="s">
        <v>15</v>
      </c>
      <c r="K17" s="115" t="s">
        <v>17</v>
      </c>
      <c r="L17" s="116" t="s">
        <v>15</v>
      </c>
    </row>
    <row r="18" spans="1:17" ht="18" customHeight="1" x14ac:dyDescent="0.2">
      <c r="A18" s="501" t="s">
        <v>1543</v>
      </c>
      <c r="B18" s="502" t="s">
        <v>1550</v>
      </c>
      <c r="C18" s="503">
        <v>1330207</v>
      </c>
      <c r="D18" s="504" t="s">
        <v>2125</v>
      </c>
      <c r="E18" s="505">
        <v>1000</v>
      </c>
      <c r="F18" s="326" t="s">
        <v>1639</v>
      </c>
      <c r="G18" s="506">
        <v>15</v>
      </c>
      <c r="H18" s="507" t="s">
        <v>1640</v>
      </c>
      <c r="I18" s="523">
        <v>10</v>
      </c>
      <c r="J18" s="329">
        <v>1500</v>
      </c>
      <c r="K18" s="330">
        <v>1</v>
      </c>
      <c r="L18" s="508">
        <v>1500</v>
      </c>
    </row>
    <row r="19" spans="1:17" ht="18" customHeight="1" x14ac:dyDescent="0.2">
      <c r="A19" s="509"/>
      <c r="B19" s="510" t="s">
        <v>1</v>
      </c>
      <c r="C19" s="511">
        <v>108883</v>
      </c>
      <c r="D19" s="512"/>
      <c r="E19" s="517"/>
      <c r="F19" s="518"/>
      <c r="G19" s="513">
        <v>5</v>
      </c>
      <c r="H19" s="336" t="s">
        <v>1640</v>
      </c>
      <c r="I19" s="524"/>
      <c r="J19" s="337">
        <v>500</v>
      </c>
      <c r="K19" s="519"/>
      <c r="L19" s="514">
        <v>500</v>
      </c>
    </row>
    <row r="20" spans="1:17" ht="18" customHeight="1" x14ac:dyDescent="0.2">
      <c r="A20" s="509"/>
      <c r="B20" s="510" t="s">
        <v>109</v>
      </c>
      <c r="C20" s="511">
        <v>75092</v>
      </c>
      <c r="D20" s="512"/>
      <c r="E20" s="517"/>
      <c r="F20" s="518"/>
      <c r="G20" s="513">
        <v>3</v>
      </c>
      <c r="H20" s="336" t="s">
        <v>1640</v>
      </c>
      <c r="I20" s="524"/>
      <c r="J20" s="337">
        <v>300</v>
      </c>
      <c r="K20" s="519"/>
      <c r="L20" s="514">
        <v>300</v>
      </c>
    </row>
    <row r="21" spans="1:17" ht="18" customHeight="1" x14ac:dyDescent="0.2">
      <c r="A21" s="509" t="s">
        <v>1547</v>
      </c>
      <c r="B21" s="510" t="s">
        <v>188</v>
      </c>
      <c r="C21" s="511">
        <v>110543</v>
      </c>
      <c r="D21" s="515" t="s">
        <v>2126</v>
      </c>
      <c r="E21" s="516">
        <v>5000</v>
      </c>
      <c r="F21" s="334" t="s">
        <v>1639</v>
      </c>
      <c r="G21" s="513">
        <v>1</v>
      </c>
      <c r="H21" s="336" t="s">
        <v>1641</v>
      </c>
      <c r="I21" s="524"/>
      <c r="J21" s="337">
        <v>5000</v>
      </c>
      <c r="K21" s="338">
        <v>1</v>
      </c>
      <c r="L21" s="514">
        <v>5000</v>
      </c>
    </row>
    <row r="22" spans="1:17" ht="18" customHeight="1" x14ac:dyDescent="0.2">
      <c r="A22" s="509"/>
      <c r="B22" s="510" t="s">
        <v>95</v>
      </c>
      <c r="C22" s="511">
        <v>67561</v>
      </c>
      <c r="D22" s="512"/>
      <c r="E22" s="517"/>
      <c r="F22" s="518"/>
      <c r="G22" s="513">
        <v>0.5</v>
      </c>
      <c r="H22" s="336" t="s">
        <v>1641</v>
      </c>
      <c r="I22" s="524"/>
      <c r="J22" s="337">
        <v>2500</v>
      </c>
      <c r="K22" s="519"/>
      <c r="L22" s="514">
        <v>2500</v>
      </c>
    </row>
    <row r="23" spans="1:17" ht="18" customHeight="1" x14ac:dyDescent="0.2">
      <c r="A23" s="509"/>
      <c r="B23" s="510" t="s">
        <v>156</v>
      </c>
      <c r="C23" s="511">
        <v>98828</v>
      </c>
      <c r="D23" s="512"/>
      <c r="E23" s="517"/>
      <c r="F23" s="518"/>
      <c r="G23" s="513">
        <v>0.5</v>
      </c>
      <c r="H23" s="336" t="s">
        <v>1641</v>
      </c>
      <c r="I23" s="524"/>
      <c r="J23" s="337">
        <v>2500</v>
      </c>
      <c r="K23" s="519"/>
      <c r="L23" s="514">
        <v>2500</v>
      </c>
    </row>
    <row r="24" spans="1:17" ht="18" customHeight="1" x14ac:dyDescent="0.2">
      <c r="A24" s="509"/>
      <c r="B24" s="510" t="s">
        <v>160</v>
      </c>
      <c r="C24" s="511">
        <v>100414</v>
      </c>
      <c r="D24" s="512"/>
      <c r="E24" s="517"/>
      <c r="F24" s="518"/>
      <c r="G24" s="513">
        <v>0.25</v>
      </c>
      <c r="H24" s="336" t="s">
        <v>1641</v>
      </c>
      <c r="I24" s="524"/>
      <c r="J24" s="337">
        <v>1250</v>
      </c>
      <c r="K24" s="519"/>
      <c r="L24" s="514">
        <v>1250</v>
      </c>
    </row>
    <row r="25" spans="1:17" s="68" customFormat="1" ht="9" customHeight="1" thickBot="1" x14ac:dyDescent="0.3">
      <c r="A25" s="78"/>
      <c r="B25" s="78"/>
      <c r="C25" s="78"/>
      <c r="D25" s="78"/>
      <c r="E25" s="78"/>
      <c r="F25" s="78"/>
      <c r="G25" s="78"/>
      <c r="H25" s="78"/>
      <c r="I25" s="520"/>
      <c r="J25" s="78"/>
      <c r="K25" s="78"/>
      <c r="L25" s="78"/>
      <c r="M25" s="78"/>
      <c r="Q25" s="66"/>
    </row>
    <row r="26" spans="1:17" s="68" customFormat="1" ht="27.75" customHeight="1" thickBot="1" x14ac:dyDescent="0.3">
      <c r="A26" s="1334" t="s">
        <v>1470</v>
      </c>
      <c r="B26" s="1208"/>
      <c r="C26" s="1208"/>
      <c r="D26" s="1208"/>
      <c r="E26" s="1208"/>
      <c r="F26" s="1208"/>
      <c r="G26" s="1208"/>
      <c r="H26" s="1208"/>
      <c r="I26" s="1208"/>
      <c r="J26" s="1208"/>
      <c r="K26" s="1208"/>
      <c r="L26" s="1335"/>
      <c r="Q26" s="66"/>
    </row>
    <row r="27" spans="1:17" s="68" customFormat="1" ht="9" customHeight="1" thickBot="1" x14ac:dyDescent="0.3">
      <c r="A27" s="78"/>
      <c r="B27" s="78"/>
      <c r="C27" s="78"/>
      <c r="D27" s="78"/>
      <c r="E27" s="78"/>
      <c r="F27" s="78"/>
      <c r="G27" s="78"/>
      <c r="H27" s="78"/>
      <c r="I27" s="520"/>
      <c r="J27" s="78"/>
      <c r="K27" s="78"/>
      <c r="L27" s="78"/>
      <c r="M27" s="78"/>
      <c r="Q27" s="66"/>
    </row>
    <row r="28" spans="1:17" s="68" customFormat="1" ht="18" customHeight="1" thickBot="1" x14ac:dyDescent="0.3">
      <c r="A28" s="482" t="s">
        <v>1552</v>
      </c>
      <c r="B28" s="118"/>
      <c r="C28" s="68" t="s">
        <v>1557</v>
      </c>
      <c r="E28" s="78"/>
      <c r="F28" s="78"/>
      <c r="G28" s="78"/>
      <c r="I28" s="525"/>
      <c r="J28" s="482" t="s">
        <v>1554</v>
      </c>
      <c r="K28" s="483"/>
      <c r="L28" s="117">
        <f>B28*8.338</f>
        <v>0</v>
      </c>
      <c r="Q28" s="66"/>
    </row>
    <row r="29" spans="1:17" s="68" customFormat="1" ht="18" customHeight="1" thickBot="1" x14ac:dyDescent="0.3">
      <c r="A29" s="482" t="s">
        <v>1560</v>
      </c>
      <c r="B29" s="119"/>
      <c r="C29" s="68" t="s">
        <v>1561</v>
      </c>
      <c r="E29" s="78"/>
      <c r="G29" s="118"/>
      <c r="H29" s="68" t="s">
        <v>1562</v>
      </c>
      <c r="I29" s="525"/>
      <c r="J29" s="482" t="s">
        <v>1559</v>
      </c>
      <c r="K29" s="483"/>
      <c r="L29" s="117">
        <f>B29*G29*0.0078125</f>
        <v>0</v>
      </c>
      <c r="Q29" s="66"/>
    </row>
    <row r="30" spans="1:17" s="68" customFormat="1" ht="35.1" customHeight="1" thickBot="1" x14ac:dyDescent="0.3">
      <c r="A30" s="1292"/>
      <c r="B30" s="1292"/>
      <c r="C30" s="1292"/>
      <c r="D30" s="1292"/>
      <c r="E30" s="1292"/>
      <c r="F30" s="1292"/>
      <c r="G30" s="1292"/>
      <c r="H30" s="1292"/>
      <c r="I30" s="1292"/>
      <c r="J30" s="1292"/>
      <c r="K30" s="1292"/>
      <c r="L30" s="1292"/>
      <c r="M30" s="85"/>
      <c r="N30" s="85"/>
      <c r="Q30" s="66"/>
    </row>
    <row r="31" spans="1:17" s="77" customFormat="1" ht="19.5" thickBot="1" x14ac:dyDescent="0.3">
      <c r="A31" s="1208" t="s">
        <v>1449</v>
      </c>
      <c r="B31" s="1208"/>
      <c r="C31" s="1208"/>
      <c r="D31" s="1208"/>
      <c r="E31" s="1208"/>
      <c r="F31" s="1208"/>
      <c r="G31" s="1208"/>
      <c r="H31" s="1208"/>
      <c r="I31" s="1208"/>
      <c r="J31" s="1208"/>
      <c r="K31" s="1208"/>
      <c r="L31" s="1208"/>
      <c r="M31" s="90"/>
      <c r="N31" s="90"/>
      <c r="Q31" s="141"/>
    </row>
    <row r="32" spans="1:17" ht="60" customHeight="1" x14ac:dyDescent="0.2">
      <c r="A32" s="488"/>
      <c r="B32" s="488"/>
      <c r="C32" s="488"/>
      <c r="D32" s="488"/>
      <c r="E32" s="488"/>
      <c r="F32" s="488"/>
      <c r="G32" s="488"/>
      <c r="H32" s="488"/>
      <c r="I32" s="526"/>
      <c r="J32" s="488"/>
      <c r="K32" s="488"/>
      <c r="L32" s="488"/>
    </row>
    <row r="33" spans="1:65" s="48" customFormat="1" ht="30" customHeight="1" x14ac:dyDescent="0.25">
      <c r="A33" s="1436" t="s">
        <v>1431</v>
      </c>
      <c r="B33" s="1436"/>
      <c r="C33" s="1436"/>
      <c r="D33" s="1436"/>
      <c r="E33" s="1436"/>
      <c r="F33" s="1436"/>
      <c r="G33" s="1436"/>
      <c r="H33" s="1436"/>
      <c r="I33" s="1478" t="s">
        <v>254</v>
      </c>
      <c r="J33" s="1478"/>
      <c r="K33" s="1478"/>
      <c r="L33" s="1478"/>
      <c r="Q33" s="124"/>
      <c r="R33" s="138" t="b">
        <f>AND(NOT(ISBLANK(A38)),NOT(ISBLANK(B38)),NOT(ISBLANK(C38)),NOT(ISBLANK(E38)),NOT(ISBLANK(F38)),NOT(ISBLANK(G38)),NOT(ISBLANK(H38)),ISBLANK(I38))</f>
        <v>0</v>
      </c>
    </row>
    <row r="34" spans="1:65" s="48" customFormat="1" ht="24.95" customHeight="1" thickBot="1" x14ac:dyDescent="0.3">
      <c r="A34" s="988" t="s">
        <v>2357</v>
      </c>
      <c r="B34" s="988"/>
      <c r="C34" s="988"/>
      <c r="D34" s="988"/>
      <c r="E34" s="988"/>
      <c r="F34" s="988"/>
      <c r="G34" s="988"/>
      <c r="H34" s="988"/>
      <c r="I34" s="988"/>
      <c r="J34" s="988"/>
      <c r="K34" s="988"/>
      <c r="L34" s="988"/>
      <c r="Q34" s="124"/>
      <c r="R34" s="138"/>
    </row>
    <row r="35" spans="1:65" ht="20.100000000000001" customHeight="1" thickBot="1" x14ac:dyDescent="0.25">
      <c r="A35" s="1496" t="s">
        <v>67</v>
      </c>
      <c r="B35" s="1496"/>
      <c r="C35" s="1496"/>
      <c r="D35" s="1496"/>
      <c r="E35" s="1496"/>
      <c r="F35" s="1496"/>
      <c r="G35" s="1496"/>
      <c r="H35" s="1496"/>
      <c r="I35" s="1496"/>
      <c r="J35" s="1496"/>
      <c r="K35" s="1496"/>
      <c r="L35" s="1496"/>
      <c r="AG35" s="1189" t="s">
        <v>2486</v>
      </c>
      <c r="AH35" s="1388"/>
      <c r="AI35" s="1388"/>
      <c r="AJ35" s="1388"/>
      <c r="AK35" s="1388"/>
      <c r="AL35" s="1388"/>
      <c r="AM35" s="1388"/>
      <c r="AN35" s="1388"/>
      <c r="AO35" s="1388"/>
      <c r="AP35" s="1388"/>
      <c r="AQ35" s="1388"/>
      <c r="AR35" s="1388"/>
      <c r="AS35" s="1388"/>
      <c r="AT35" s="1388"/>
      <c r="AU35" s="1190"/>
      <c r="AV35" s="129"/>
      <c r="AX35" s="1189" t="s">
        <v>2045</v>
      </c>
      <c r="AY35" s="1388"/>
      <c r="AZ35" s="1388"/>
      <c r="BA35" s="1388"/>
      <c r="BB35" s="1388"/>
      <c r="BC35" s="1388"/>
      <c r="BD35" s="1388"/>
      <c r="BE35" s="1388"/>
      <c r="BF35" s="1388"/>
      <c r="BG35" s="1388"/>
      <c r="BH35" s="1388"/>
      <c r="BI35" s="1388"/>
      <c r="BJ35" s="1388"/>
      <c r="BK35" s="1388"/>
      <c r="BL35" s="1190"/>
      <c r="BM35" s="129"/>
    </row>
    <row r="36" spans="1:65" ht="30" customHeight="1" thickBot="1" x14ac:dyDescent="0.3">
      <c r="A36" s="1488" t="s">
        <v>6</v>
      </c>
      <c r="B36" s="1490" t="s">
        <v>20</v>
      </c>
      <c r="C36" s="1492" t="s">
        <v>1432</v>
      </c>
      <c r="D36" s="1471" t="s">
        <v>1876</v>
      </c>
      <c r="E36" s="1492" t="s">
        <v>1635</v>
      </c>
      <c r="F36" s="1494" t="s">
        <v>1582</v>
      </c>
      <c r="G36" s="1492" t="s">
        <v>1642</v>
      </c>
      <c r="H36" s="1494" t="s">
        <v>1636</v>
      </c>
      <c r="I36" s="840" t="s">
        <v>9</v>
      </c>
      <c r="J36" s="841" t="s">
        <v>22</v>
      </c>
      <c r="K36" s="842" t="s">
        <v>12</v>
      </c>
      <c r="L36" s="843" t="s">
        <v>21</v>
      </c>
      <c r="P36" s="99" t="s">
        <v>68</v>
      </c>
      <c r="Q36" s="140" t="s">
        <v>1582</v>
      </c>
      <c r="R36" s="99" t="s">
        <v>1643</v>
      </c>
      <c r="S36" s="99" t="s">
        <v>1644</v>
      </c>
      <c r="AC36" s="476" t="s">
        <v>1852</v>
      </c>
      <c r="AD36" s="476"/>
      <c r="AE36" s="476"/>
      <c r="AG36" s="107" t="s">
        <v>271</v>
      </c>
      <c r="AH36" s="1189" t="s">
        <v>2043</v>
      </c>
      <c r="AI36" s="1388"/>
      <c r="AJ36" s="1190"/>
      <c r="AK36" s="775" t="s">
        <v>74</v>
      </c>
      <c r="AL36" s="790" t="s">
        <v>1550</v>
      </c>
      <c r="AM36" s="791" t="s">
        <v>2467</v>
      </c>
      <c r="AN36" s="791" t="s">
        <v>1</v>
      </c>
      <c r="AO36" s="791" t="s">
        <v>2468</v>
      </c>
      <c r="AP36" s="791" t="s">
        <v>139</v>
      </c>
      <c r="AQ36" s="791" t="s">
        <v>99</v>
      </c>
      <c r="AR36" s="791" t="s">
        <v>108</v>
      </c>
      <c r="AS36" s="790" t="s">
        <v>239</v>
      </c>
      <c r="AT36" s="790" t="s">
        <v>249</v>
      </c>
      <c r="AU36" s="792" t="s">
        <v>237</v>
      </c>
      <c r="AV36" s="48"/>
      <c r="AX36" s="107" t="s">
        <v>271</v>
      </c>
      <c r="AY36" s="1189" t="s">
        <v>2043</v>
      </c>
      <c r="AZ36" s="1388"/>
      <c r="BA36" s="1190"/>
      <c r="BB36" s="775" t="s">
        <v>74</v>
      </c>
      <c r="BC36" s="790" t="s">
        <v>1550</v>
      </c>
      <c r="BD36" s="791" t="s">
        <v>2467</v>
      </c>
      <c r="BE36" s="791" t="s">
        <v>1</v>
      </c>
      <c r="BF36" s="791" t="s">
        <v>2468</v>
      </c>
      <c r="BG36" s="791" t="s">
        <v>139</v>
      </c>
      <c r="BH36" s="791" t="s">
        <v>99</v>
      </c>
      <c r="BI36" s="791" t="s">
        <v>108</v>
      </c>
      <c r="BJ36" s="790" t="s">
        <v>239</v>
      </c>
      <c r="BK36" s="790" t="s">
        <v>249</v>
      </c>
      <c r="BL36" s="792" t="s">
        <v>237</v>
      </c>
      <c r="BM36" s="48"/>
    </row>
    <row r="37" spans="1:65" ht="15.75" customHeight="1" thickBot="1" x14ac:dyDescent="0.25">
      <c r="A37" s="1489"/>
      <c r="B37" s="1491"/>
      <c r="C37" s="1493"/>
      <c r="D37" s="1472"/>
      <c r="E37" s="1493"/>
      <c r="F37" s="1495"/>
      <c r="G37" s="1493"/>
      <c r="H37" s="1495"/>
      <c r="I37" s="844" t="s">
        <v>10</v>
      </c>
      <c r="J37" s="845" t="s">
        <v>15</v>
      </c>
      <c r="K37" s="846" t="s">
        <v>17</v>
      </c>
      <c r="L37" s="847" t="s">
        <v>15</v>
      </c>
      <c r="W37" s="99" t="s">
        <v>1582</v>
      </c>
      <c r="Z37" s="99" t="s">
        <v>1637</v>
      </c>
      <c r="AC37" s="99">
        <v>171</v>
      </c>
      <c r="AD37" s="99">
        <f t="shared" ref="AD37:AD68" si="0">SUMIF($C$38:$C$69,AC37,$L$38:$L$69)</f>
        <v>0</v>
      </c>
      <c r="AG37" s="66">
        <f ca="1">'Table 5-A| Primary MPTE'!B85</f>
        <v>0</v>
      </c>
      <c r="AH37" s="68" t="s">
        <v>2470</v>
      </c>
      <c r="AI37" s="48"/>
      <c r="AJ37" s="48"/>
      <c r="AK37" s="793">
        <f ca="1">IF($AG37=0,0,'Table 5-A| Primary MPTE'!$E$85*VLOOKUP($AG37,$AX$37:$BL$57,5,FALSE))</f>
        <v>0</v>
      </c>
      <c r="AL37" s="793">
        <f ca="1">IF($AG37=0,0,'Table 5-A| Primary MPTE'!$E$85*VLOOKUP($AG37,$AX$37:$BL$57,6,FALSE))</f>
        <v>0</v>
      </c>
      <c r="AM37" s="794">
        <f ca="1">IF($AG37=0,0,'Table 5-A| Primary MPTE'!$E$85*VLOOKUP($AG37,$AX$37:$BL$57,7,FALSE))</f>
        <v>0</v>
      </c>
      <c r="AN37" s="794">
        <f ca="1">IF($AG37=0,0,'Table 5-A| Primary MPTE'!$E$85*VLOOKUP($AG37,$AX$37:$BL$57,8,FALSE))</f>
        <v>0</v>
      </c>
      <c r="AO37" s="794">
        <f ca="1">IF($AG37=0,0,'Table 5-A| Primary MPTE'!$E$85*VLOOKUP($AG37,$AX$37:$BL$57,9,FALSE))</f>
        <v>0</v>
      </c>
      <c r="AP37" s="794">
        <f ca="1">IF($AG37=0,0,'Table 5-A| Primary MPTE'!$E$85*VLOOKUP($AG37,$AX$37:$BL$57,10,FALSE))</f>
        <v>0</v>
      </c>
      <c r="AQ37" s="794">
        <f ca="1">IF($AG37=0,0,'Table 5-A| Primary MPTE'!$E$85*VLOOKUP($AG37,$AX$37:$BL$57,11,FALSE))</f>
        <v>0</v>
      </c>
      <c r="AR37" s="794">
        <f ca="1">IF($AG37=0,0,'Table 5-A| Primary MPTE'!$E$85*VLOOKUP($AG37,$AX$37:$BL$57,12,FALSE))</f>
        <v>0</v>
      </c>
      <c r="AS37" s="794">
        <f ca="1">IF($AG37=0,0,'Table 5-A| Primary MPTE'!$E$85*VLOOKUP($AG37,$AX$37:$BL$57,13,FALSE))</f>
        <v>0</v>
      </c>
      <c r="AT37" s="794">
        <f ca="1">IF($AG37=0,0,'Table 5-A| Primary MPTE'!$E$85*VLOOKUP($AG37,$AX$37:$BL$57,14,FALSE))</f>
        <v>0</v>
      </c>
      <c r="AU37" s="794">
        <f ca="1">IF($AG37=0,0,'Table 5-A| Primary MPTE'!$E$85*VLOOKUP($AG37,$AX$37:$BL$57,15,FALSE))</f>
        <v>0</v>
      </c>
      <c r="AV37" s="539"/>
      <c r="AX37" s="66">
        <v>20200102</v>
      </c>
      <c r="AY37" s="68" t="s">
        <v>2195</v>
      </c>
      <c r="AZ37" s="48"/>
      <c r="BA37" s="48"/>
      <c r="BB37" s="793">
        <v>0.16402000000000003</v>
      </c>
      <c r="BC37" s="793">
        <v>3.9614999999999997E-2</v>
      </c>
      <c r="BD37" s="794">
        <v>0</v>
      </c>
      <c r="BE37" s="794">
        <v>5.6850999999999992E-2</v>
      </c>
      <c r="BF37" s="794">
        <v>0</v>
      </c>
      <c r="BG37" s="794">
        <v>1.1787199999999999E-2</v>
      </c>
      <c r="BH37" s="794">
        <v>0.129687</v>
      </c>
      <c r="BI37" s="794">
        <v>0.10661299999999999</v>
      </c>
      <c r="BJ37" s="794">
        <v>0</v>
      </c>
      <c r="BK37" s="794">
        <v>0</v>
      </c>
      <c r="BL37" s="794">
        <v>0</v>
      </c>
      <c r="BM37" s="539" t="s">
        <v>2249</v>
      </c>
    </row>
    <row r="38" spans="1:65" ht="18" customHeight="1" x14ac:dyDescent="0.2">
      <c r="A38" s="800" t="s">
        <v>2466</v>
      </c>
      <c r="B38" s="801" t="s">
        <v>74</v>
      </c>
      <c r="C38" s="802">
        <v>50000</v>
      </c>
      <c r="D38" s="1479" t="s">
        <v>2469</v>
      </c>
      <c r="E38" s="1482">
        <f>SUM('Table 5-A| Primary MPTE'!E86,'Table 5-A| Primary MPTE'!E99,'Table 5-A| Primary MPTE'!E112)</f>
        <v>0</v>
      </c>
      <c r="F38" s="1485" t="s">
        <v>2042</v>
      </c>
      <c r="G38" s="803" t="s">
        <v>2200</v>
      </c>
      <c r="H38" s="804" t="s">
        <v>2251</v>
      </c>
      <c r="I38" s="805" t="s">
        <v>2200</v>
      </c>
      <c r="J38" s="346">
        <f ca="1">AK66</f>
        <v>0</v>
      </c>
      <c r="K38" s="397">
        <v>1</v>
      </c>
      <c r="L38" s="367">
        <f ca="1">J38*K38</f>
        <v>0</v>
      </c>
      <c r="N38" s="154"/>
      <c r="P38" s="429">
        <f>IF(AND(NOT(ISBLANK(A38)),NOT(ISBLANK(B38)),NOT(ISBLANK(C38)),E38&gt;0),E38,IF(AND(ISBLANK(A38),NOT(ISBLANK(B38)),NOT(ISBLANK(C38))),P37,0))</f>
        <v>0</v>
      </c>
      <c r="Q38" s="140" t="str">
        <f>IF(AND(NOT(ISBLANK(A38)),NOT(ISBLANK(B38)),NOT(ISBLANK(C38)),NOT(ISBLANK(F38))),F38,IF(AND(ISBLANK(A38),NOT(ISBLANK(B38)),NOT(ISBLANK(C38))),Q37,""))</f>
        <v>tons</v>
      </c>
      <c r="R38" s="99" t="str">
        <f>IF(AND(NOT(ISBLANK(A38)),NOT(ISBLANK(B38)),NOT(ISBLANK(C38)),I38&gt;0),I38,IF(AND(ISBLANK(A38),NOT(ISBLANK(B38)),NOT(ISBLANK(C38))),R37,0))</f>
        <v>N/A</v>
      </c>
      <c r="S38" s="142">
        <f>IF(AND(NOT(ISBLANK(A38)),NOT(ISBLANK(B38)),NOT(ISBLANK(C38)),K38&gt;0),K38,IF(AND(ISBLANK(A38),NOT(ISBLANK(B38)),NOT(ISBLANK(C38))),S37,0))</f>
        <v>1</v>
      </c>
      <c r="W38" s="99" t="s">
        <v>1638</v>
      </c>
      <c r="Z38" s="99" t="s">
        <v>1640</v>
      </c>
      <c r="AC38" s="99">
        <v>50000</v>
      </c>
      <c r="AD38" s="99">
        <f t="shared" ca="1" si="0"/>
        <v>0</v>
      </c>
      <c r="AG38" s="66">
        <f ca="1">'Table 5-A| Primary MPTE'!B86</f>
        <v>0</v>
      </c>
      <c r="AH38" s="68" t="s">
        <v>2471</v>
      </c>
      <c r="AI38" s="48"/>
      <c r="AJ38" s="48"/>
      <c r="AK38" s="794">
        <f ca="1">IF($AG38=0,0,'Table 5-A| Primary MPTE'!$E$86*VLOOKUP($AG38,$AX$37:$BL$57,5,FALSE))</f>
        <v>0</v>
      </c>
      <c r="AL38" s="794">
        <f ca="1">IF($AG38=0,0,'Table 5-A| Primary MPTE'!$E$86*VLOOKUP($AG38,$AX$37:$BL$57,6,FALSE))</f>
        <v>0</v>
      </c>
      <c r="AM38" s="794">
        <f ca="1">IF($AG38=0,0,'Table 5-A| Primary MPTE'!$E$86*VLOOKUP($AG38,$AX$37:$BL$57,7,FALSE))</f>
        <v>0</v>
      </c>
      <c r="AN38" s="794">
        <f ca="1">IF($AG38=0,0,'Table 5-A| Primary MPTE'!$E$86*VLOOKUP($AG38,$AX$37:$BL$57,8,FALSE))</f>
        <v>0</v>
      </c>
      <c r="AO38" s="794">
        <f ca="1">IF($AG38=0,0,'Table 5-A| Primary MPTE'!$E$86*VLOOKUP($AG38,$AX$37:$BL$57,9,FALSE))</f>
        <v>0</v>
      </c>
      <c r="AP38" s="794">
        <f ca="1">IF($AG38=0,0,'Table 5-A| Primary MPTE'!$E$86*VLOOKUP($AG38,$AX$37:$BL$57,10,FALSE))</f>
        <v>0</v>
      </c>
      <c r="AQ38" s="794">
        <f ca="1">IF($AG38=0,0,'Table 5-A| Primary MPTE'!$E$86*VLOOKUP($AG38,$AX$37:$BL$57,11,FALSE))</f>
        <v>0</v>
      </c>
      <c r="AR38" s="794">
        <f ca="1">IF($AG38=0,0,'Table 5-A| Primary MPTE'!$E$86*VLOOKUP($AG38,$AX$37:$BL$57,12,FALSE))</f>
        <v>0</v>
      </c>
      <c r="AS38" s="794">
        <f ca="1">IF($AG38=0,0,'Table 5-A| Primary MPTE'!$E$86*VLOOKUP($AG38,$AX$37:$BL$57,13,FALSE))</f>
        <v>0</v>
      </c>
      <c r="AT38" s="794">
        <f ca="1">IF($AG38=0,0,'Table 5-A| Primary MPTE'!$E$86*VLOOKUP($AG38,$AX$37:$BL$57,14,FALSE))</f>
        <v>0</v>
      </c>
      <c r="AU38" s="794">
        <f ca="1">IF($AG38=0,0,'Table 5-A| Primary MPTE'!$E$86*VLOOKUP($AG38,$AX$37:$BL$57,15,FALSE))</f>
        <v>0</v>
      </c>
      <c r="AV38" s="539"/>
      <c r="AX38" s="66">
        <v>20200253</v>
      </c>
      <c r="AY38" s="68" t="s">
        <v>2196</v>
      </c>
      <c r="AZ38" s="48"/>
      <c r="BA38" s="48"/>
      <c r="BB38" s="794">
        <v>21.0535</v>
      </c>
      <c r="BC38" s="794">
        <v>0.200265</v>
      </c>
      <c r="BD38" s="794">
        <v>2.5469599999999998E-2</v>
      </c>
      <c r="BE38" s="794">
        <v>0.57306599999999996</v>
      </c>
      <c r="BF38" s="794">
        <v>0</v>
      </c>
      <c r="BG38" s="794">
        <v>9.9721699999999996E-2</v>
      </c>
      <c r="BH38" s="794">
        <v>1.62266</v>
      </c>
      <c r="BI38" s="794">
        <v>2.8653300000000002</v>
      </c>
      <c r="BJ38" s="794">
        <v>0</v>
      </c>
      <c r="BK38" s="794">
        <v>0</v>
      </c>
      <c r="BL38" s="794">
        <v>0</v>
      </c>
      <c r="BM38" s="539" t="s">
        <v>2250</v>
      </c>
    </row>
    <row r="39" spans="1:65" ht="18" customHeight="1" x14ac:dyDescent="0.2">
      <c r="A39" s="806"/>
      <c r="B39" s="807" t="s">
        <v>1550</v>
      </c>
      <c r="C39" s="808">
        <v>1330207</v>
      </c>
      <c r="D39" s="1480"/>
      <c r="E39" s="1483"/>
      <c r="F39" s="1486"/>
      <c r="G39" s="809" t="s">
        <v>2200</v>
      </c>
      <c r="H39" s="810" t="s">
        <v>2251</v>
      </c>
      <c r="I39" s="811" t="s">
        <v>2200</v>
      </c>
      <c r="J39" s="355">
        <f ca="1">AL66</f>
        <v>0</v>
      </c>
      <c r="K39" s="400">
        <v>1</v>
      </c>
      <c r="L39" s="373">
        <f t="shared" ref="L39:L48" ca="1" si="1">J39*K39</f>
        <v>0</v>
      </c>
      <c r="N39" s="154"/>
      <c r="P39" s="429">
        <f t="shared" ref="P39:P69" si="2">IF(AND(NOT(ISBLANK(A39)),NOT(ISBLANK(B39)),NOT(ISBLANK(C39)),E39&gt;0),E39,IF(AND(ISBLANK(A39),NOT(ISBLANK(B39)),NOT(ISBLANK(C39))),P38,0))</f>
        <v>0</v>
      </c>
      <c r="Q39" s="140" t="str">
        <f>IF(AND(NOT(ISBLANK(A39)),NOT(ISBLANK(B39)),NOT(ISBLANK(C39)),NOT(ISBLANK(F39))),F39,IF(AND(ISBLANK(A39),NOT(ISBLANK(B39)),NOT(ISBLANK(C39))),Q38,""))</f>
        <v>tons</v>
      </c>
      <c r="R39" s="99" t="str">
        <f t="shared" ref="R39:R69" si="3">IF(AND(NOT(ISBLANK(A39)),NOT(ISBLANK(B39)),NOT(ISBLANK(C39)),I39&gt;0),I39,IF(AND(ISBLANK(A39),NOT(ISBLANK(B39)),NOT(ISBLANK(C39))),R38,0))</f>
        <v>N/A</v>
      </c>
      <c r="S39" s="142">
        <f t="shared" ref="S39:S69" si="4">IF(AND(NOT(ISBLANK(A39)),NOT(ISBLANK(B39)),NOT(ISBLANK(C39)),K39&gt;0),K39,IF(AND(ISBLANK(A39),NOT(ISBLANK(B39)),NOT(ISBLANK(C39))),S38,0))</f>
        <v>1</v>
      </c>
      <c r="W39" s="99" t="s">
        <v>1639</v>
      </c>
      <c r="Z39" s="99" t="s">
        <v>1641</v>
      </c>
      <c r="AC39" s="99">
        <v>51285</v>
      </c>
      <c r="AD39" s="99">
        <f t="shared" si="0"/>
        <v>0</v>
      </c>
      <c r="AG39" s="66">
        <f ca="1">'Table 5-A| Primary MPTE'!B87</f>
        <v>0</v>
      </c>
      <c r="AH39" s="68" t="s">
        <v>2472</v>
      </c>
      <c r="AI39" s="48"/>
      <c r="AJ39" s="48"/>
      <c r="AK39" s="794">
        <f ca="1">IF($AG39=0,0,'Table 5-A| Primary MPTE'!$E$86*VLOOKUP($AG39,$AX$37:$BL$57,5,FALSE))</f>
        <v>0</v>
      </c>
      <c r="AL39" s="794">
        <f ca="1">IF($AG39=0,0,'Table 5-A| Primary MPTE'!$E$86*VLOOKUP($AG39,$AX$37:$BL$57,6,FALSE))</f>
        <v>0</v>
      </c>
      <c r="AM39" s="794">
        <f ca="1">IF($AG39=0,0,'Table 5-A| Primary MPTE'!$E$86*VLOOKUP($AG39,$AX$37:$BL$57,7,FALSE))</f>
        <v>0</v>
      </c>
      <c r="AN39" s="794">
        <f ca="1">IF($AG39=0,0,'Table 5-A| Primary MPTE'!$E$86*VLOOKUP($AG39,$AX$37:$BL$57,8,FALSE))</f>
        <v>0</v>
      </c>
      <c r="AO39" s="794">
        <f ca="1">IF($AG39=0,0,'Table 5-A| Primary MPTE'!$E$86*VLOOKUP($AG39,$AX$37:$BL$57,9,FALSE))</f>
        <v>0</v>
      </c>
      <c r="AP39" s="794">
        <f ca="1">IF($AG39=0,0,'Table 5-A| Primary MPTE'!$E$86*VLOOKUP($AG39,$AX$37:$BL$57,10,FALSE))</f>
        <v>0</v>
      </c>
      <c r="AQ39" s="794">
        <f ca="1">IF($AG39=0,0,'Table 5-A| Primary MPTE'!$E$86*VLOOKUP($AG39,$AX$37:$BL$57,11,FALSE))</f>
        <v>0</v>
      </c>
      <c r="AR39" s="794">
        <f ca="1">IF($AG39=0,0,'Table 5-A| Primary MPTE'!$E$86*VLOOKUP($AG39,$AX$37:$BL$57,12,FALSE))</f>
        <v>0</v>
      </c>
      <c r="AS39" s="794">
        <f ca="1">IF($AG39=0,0,'Table 5-A| Primary MPTE'!$E$86*VLOOKUP($AG39,$AX$37:$BL$57,13,FALSE))</f>
        <v>0</v>
      </c>
      <c r="AT39" s="794">
        <f ca="1">IF($AG39=0,0,'Table 5-A| Primary MPTE'!$E$86*VLOOKUP($AG39,$AX$37:$BL$57,14,FALSE))</f>
        <v>0</v>
      </c>
      <c r="AU39" s="794">
        <f ca="1">IF($AG39=0,0,'Table 5-A| Primary MPTE'!$E$86*VLOOKUP($AG39,$AX$37:$BL$57,15,FALSE))</f>
        <v>0</v>
      </c>
      <c r="AV39" s="539"/>
      <c r="AX39" s="66">
        <v>20200254</v>
      </c>
      <c r="AY39" s="68" t="s">
        <v>2197</v>
      </c>
      <c r="AZ39" s="48"/>
      <c r="BA39" s="48"/>
      <c r="BB39" s="794">
        <v>54.2256</v>
      </c>
      <c r="BC39" s="794">
        <v>0.188968</v>
      </c>
      <c r="BD39" s="794">
        <v>4.07719E-2</v>
      </c>
      <c r="BE39" s="794">
        <v>0.419016</v>
      </c>
      <c r="BF39" s="794">
        <v>1.1399700000000001</v>
      </c>
      <c r="BG39" s="794">
        <v>7.6408800000000013E-2</v>
      </c>
      <c r="BH39" s="794">
        <v>0.45188</v>
      </c>
      <c r="BI39" s="794">
        <v>8.5857200000000002</v>
      </c>
      <c r="BJ39" s="794">
        <v>0</v>
      </c>
      <c r="BK39" s="794">
        <v>0</v>
      </c>
      <c r="BL39" s="794">
        <v>0</v>
      </c>
      <c r="BM39" s="539" t="s">
        <v>2250</v>
      </c>
    </row>
    <row r="40" spans="1:65" ht="18" customHeight="1" x14ac:dyDescent="0.2">
      <c r="A40" s="806"/>
      <c r="B40" s="807" t="s">
        <v>2467</v>
      </c>
      <c r="C40" s="808">
        <v>100414</v>
      </c>
      <c r="D40" s="1480"/>
      <c r="E40" s="1483"/>
      <c r="F40" s="1486"/>
      <c r="G40" s="809" t="s">
        <v>2200</v>
      </c>
      <c r="H40" s="810" t="s">
        <v>2251</v>
      </c>
      <c r="I40" s="811" t="s">
        <v>2200</v>
      </c>
      <c r="J40" s="355">
        <f ca="1">AM66</f>
        <v>0</v>
      </c>
      <c r="K40" s="400">
        <v>1</v>
      </c>
      <c r="L40" s="373">
        <f t="shared" ca="1" si="1"/>
        <v>0</v>
      </c>
      <c r="N40" s="154"/>
      <c r="P40" s="429">
        <f t="shared" si="2"/>
        <v>0</v>
      </c>
      <c r="Q40" s="140" t="str">
        <f t="shared" ref="Q40:Q69" si="5">IF(AND(NOT(ISBLANK(A40)),NOT(ISBLANK(B40)),NOT(ISBLANK(C40)),NOT(ISBLANK(F40))),F40,IF(AND(ISBLANK(A40),NOT(ISBLANK(B40)),NOT(ISBLANK(C40))),Q39,""))</f>
        <v>tons</v>
      </c>
      <c r="R40" s="99" t="str">
        <f t="shared" si="3"/>
        <v>N/A</v>
      </c>
      <c r="S40" s="142">
        <f t="shared" si="4"/>
        <v>1</v>
      </c>
      <c r="AC40" s="99">
        <v>51796</v>
      </c>
      <c r="AD40" s="99">
        <f t="shared" si="0"/>
        <v>0</v>
      </c>
      <c r="AG40" s="66">
        <f ca="1">'Table 5-A| Primary MPTE'!B88</f>
        <v>0</v>
      </c>
      <c r="AH40" s="68" t="s">
        <v>2473</v>
      </c>
      <c r="AI40" s="48"/>
      <c r="AJ40" s="48"/>
      <c r="AK40" s="794">
        <f ca="1">IF($AG40=0,0,'Table 5-A| Primary MPTE'!$E$86*VLOOKUP($AG40,$AX$37:$BL$57,5,FALSE))</f>
        <v>0</v>
      </c>
      <c r="AL40" s="794">
        <f ca="1">IF($AG40=0,0,'Table 5-A| Primary MPTE'!$E$86*VLOOKUP($AG40,$AX$37:$BL$57,6,FALSE))</f>
        <v>0</v>
      </c>
      <c r="AM40" s="794">
        <f ca="1">IF($AG40=0,0,'Table 5-A| Primary MPTE'!$E$86*VLOOKUP($AG40,$AX$37:$BL$57,7,FALSE))</f>
        <v>0</v>
      </c>
      <c r="AN40" s="794">
        <f ca="1">IF($AG40=0,0,'Table 5-A| Primary MPTE'!$E$86*VLOOKUP($AG40,$AX$37:$BL$57,8,FALSE))</f>
        <v>0</v>
      </c>
      <c r="AO40" s="794">
        <f ca="1">IF($AG40=0,0,'Table 5-A| Primary MPTE'!$E$86*VLOOKUP($AG40,$AX$37:$BL$57,9,FALSE))</f>
        <v>0</v>
      </c>
      <c r="AP40" s="794">
        <f ca="1">IF($AG40=0,0,'Table 5-A| Primary MPTE'!$E$86*VLOOKUP($AG40,$AX$37:$BL$57,10,FALSE))</f>
        <v>0</v>
      </c>
      <c r="AQ40" s="794">
        <f ca="1">IF($AG40=0,0,'Table 5-A| Primary MPTE'!$E$86*VLOOKUP($AG40,$AX$37:$BL$57,11,FALSE))</f>
        <v>0</v>
      </c>
      <c r="AR40" s="794">
        <f ca="1">IF($AG40=0,0,'Table 5-A| Primary MPTE'!$E$86*VLOOKUP($AG40,$AX$37:$BL$57,12,FALSE))</f>
        <v>0</v>
      </c>
      <c r="AS40" s="794">
        <f ca="1">IF($AG40=0,0,'Table 5-A| Primary MPTE'!$E$86*VLOOKUP($AG40,$AX$37:$BL$57,13,FALSE))</f>
        <v>0</v>
      </c>
      <c r="AT40" s="794">
        <f ca="1">IF($AG40=0,0,'Table 5-A| Primary MPTE'!$E$86*VLOOKUP($AG40,$AX$37:$BL$57,14,FALSE))</f>
        <v>0</v>
      </c>
      <c r="AU40" s="794">
        <f ca="1">IF($AG40=0,0,'Table 5-A| Primary MPTE'!$E$86*VLOOKUP($AG40,$AX$37:$BL$57,15,FALSE))</f>
        <v>0</v>
      </c>
      <c r="AV40" s="539"/>
      <c r="AX40" s="66">
        <v>20200301</v>
      </c>
      <c r="AY40" s="68" t="s">
        <v>2198</v>
      </c>
      <c r="AZ40" s="48"/>
      <c r="BA40" s="48"/>
      <c r="BB40" s="794">
        <v>0</v>
      </c>
      <c r="BC40" s="794">
        <v>0</v>
      </c>
      <c r="BD40" s="794">
        <v>0</v>
      </c>
      <c r="BE40" s="794">
        <v>0</v>
      </c>
      <c r="BF40" s="794">
        <v>0</v>
      </c>
      <c r="BG40" s="794">
        <v>0</v>
      </c>
      <c r="BH40" s="794">
        <v>0</v>
      </c>
      <c r="BI40" s="794">
        <v>8.75</v>
      </c>
      <c r="BJ40" s="794">
        <v>0</v>
      </c>
      <c r="BK40" s="794">
        <v>0</v>
      </c>
      <c r="BL40" s="794">
        <v>0</v>
      </c>
      <c r="BM40" s="539" t="s">
        <v>2249</v>
      </c>
    </row>
    <row r="41" spans="1:65" ht="18" customHeight="1" x14ac:dyDescent="0.2">
      <c r="A41" s="806"/>
      <c r="B41" s="807" t="s">
        <v>1</v>
      </c>
      <c r="C41" s="808">
        <v>108883</v>
      </c>
      <c r="D41" s="1480"/>
      <c r="E41" s="1483"/>
      <c r="F41" s="1486"/>
      <c r="G41" s="809" t="s">
        <v>2200</v>
      </c>
      <c r="H41" s="810" t="s">
        <v>2251</v>
      </c>
      <c r="I41" s="811" t="s">
        <v>2200</v>
      </c>
      <c r="J41" s="355">
        <f ca="1">AN66</f>
        <v>0</v>
      </c>
      <c r="K41" s="400">
        <v>1</v>
      </c>
      <c r="L41" s="373">
        <f t="shared" ca="1" si="1"/>
        <v>0</v>
      </c>
      <c r="N41" s="154"/>
      <c r="P41" s="429">
        <f t="shared" si="2"/>
        <v>0</v>
      </c>
      <c r="Q41" s="140" t="str">
        <f t="shared" si="5"/>
        <v>tons</v>
      </c>
      <c r="R41" s="99" t="str">
        <f t="shared" si="3"/>
        <v>N/A</v>
      </c>
      <c r="S41" s="142">
        <f t="shared" si="4"/>
        <v>1</v>
      </c>
      <c r="AC41" s="99">
        <v>53963</v>
      </c>
      <c r="AD41" s="99">
        <f t="shared" si="0"/>
        <v>0</v>
      </c>
      <c r="AG41" s="66">
        <f ca="1">'Table 5-A| Primary MPTE'!B98</f>
        <v>0</v>
      </c>
      <c r="AH41" s="68" t="s">
        <v>2474</v>
      </c>
      <c r="AI41" s="48"/>
      <c r="AJ41" s="48"/>
      <c r="AK41" s="794">
        <f ca="1">IF($AG41=0,0,'Table 5-A| Primary MPTE'!$E$98*VLOOKUP($AG41,$AX$37:$BL$57,5,FALSE))</f>
        <v>0</v>
      </c>
      <c r="AL41" s="794">
        <f ca="1">IF($AG41=0,0,'Table 5-A| Primary MPTE'!$E$98*VLOOKUP($AG41,$AX$37:$BL$57,6,FALSE))</f>
        <v>0</v>
      </c>
      <c r="AM41" s="794">
        <f ca="1">IF($AG41=0,0,'Table 5-A| Primary MPTE'!$E$98*VLOOKUP($AG41,$AX$37:$BL$57,7,FALSE))</f>
        <v>0</v>
      </c>
      <c r="AN41" s="794">
        <f ca="1">IF($AG41=0,0,'Table 5-A| Primary MPTE'!$E$98*VLOOKUP($AG41,$AX$37:$BL$57,8,FALSE))</f>
        <v>0</v>
      </c>
      <c r="AO41" s="794">
        <f ca="1">IF($AG41=0,0,'Table 5-A| Primary MPTE'!$E$98*VLOOKUP($AG41,$AX$37:$BL$57,9,FALSE))</f>
        <v>0</v>
      </c>
      <c r="AP41" s="794">
        <f ca="1">IF($AG41=0,0,'Table 5-A| Primary MPTE'!$E$98*VLOOKUP($AG41,$AX$37:$BL$57,10,FALSE))</f>
        <v>0</v>
      </c>
      <c r="AQ41" s="794">
        <f ca="1">IF($AG41=0,0,'Table 5-A| Primary MPTE'!$E$98*VLOOKUP($AG41,$AX$37:$BL$57,11,FALSE))</f>
        <v>0</v>
      </c>
      <c r="AR41" s="794">
        <f ca="1">IF($AG41=0,0,'Table 5-A| Primary MPTE'!$E$98*VLOOKUP($AG41,$AX$37:$BL$57,12,FALSE))</f>
        <v>0</v>
      </c>
      <c r="AS41" s="794">
        <f ca="1">IF($AG41=0,0,'Table 5-A| Primary MPTE'!$E$98*VLOOKUP($AG41,$AX$37:$BL$57,13,FALSE))</f>
        <v>0</v>
      </c>
      <c r="AT41" s="794">
        <f ca="1">IF($AG41=0,0,'Table 5-A| Primary MPTE'!$E$98*VLOOKUP($AG41,$AX$37:$BL$57,14,FALSE))</f>
        <v>0</v>
      </c>
      <c r="AU41" s="794">
        <f ca="1">IF($AG41=0,0,'Table 5-A| Primary MPTE'!$E$98*VLOOKUP($AG41,$AX$37:$BL$57,15,FALSE))</f>
        <v>0</v>
      </c>
      <c r="AV41" s="539"/>
      <c r="AX41" s="66">
        <v>20200401</v>
      </c>
      <c r="AY41" s="68" t="s">
        <v>2194</v>
      </c>
      <c r="AZ41" s="48"/>
      <c r="BA41" s="48"/>
      <c r="BB41" s="794">
        <v>1.0967099999999999E-2</v>
      </c>
      <c r="BC41" s="794">
        <v>2.6827E-2</v>
      </c>
      <c r="BD41" s="794">
        <v>0</v>
      </c>
      <c r="BE41" s="794">
        <v>3.9058999999999996E-2</v>
      </c>
      <c r="BF41" s="794">
        <v>0</v>
      </c>
      <c r="BG41" s="794">
        <v>1.8069999999999999E-2</v>
      </c>
      <c r="BH41" s="794">
        <v>0.107864</v>
      </c>
      <c r="BI41" s="794">
        <v>3.5027999999999999E-3</v>
      </c>
      <c r="BJ41" s="794">
        <v>0</v>
      </c>
      <c r="BK41" s="794">
        <v>0</v>
      </c>
      <c r="BL41" s="794">
        <v>0</v>
      </c>
      <c r="BM41" s="539" t="s">
        <v>2249</v>
      </c>
    </row>
    <row r="42" spans="1:65" ht="18" customHeight="1" x14ac:dyDescent="0.2">
      <c r="A42" s="806"/>
      <c r="B42" s="807" t="s">
        <v>2468</v>
      </c>
      <c r="C42" s="808">
        <v>110543</v>
      </c>
      <c r="D42" s="1480"/>
      <c r="E42" s="1483"/>
      <c r="F42" s="1486"/>
      <c r="G42" s="809" t="s">
        <v>2200</v>
      </c>
      <c r="H42" s="810" t="s">
        <v>2251</v>
      </c>
      <c r="I42" s="811" t="s">
        <v>2200</v>
      </c>
      <c r="J42" s="355">
        <f ca="1">AO66</f>
        <v>0</v>
      </c>
      <c r="K42" s="400">
        <v>1</v>
      </c>
      <c r="L42" s="373">
        <f t="shared" ca="1" si="1"/>
        <v>0</v>
      </c>
      <c r="N42" s="154"/>
      <c r="P42" s="429">
        <f t="shared" si="2"/>
        <v>0</v>
      </c>
      <c r="Q42" s="140" t="str">
        <f t="shared" si="5"/>
        <v>tons</v>
      </c>
      <c r="R42" s="99" t="str">
        <f t="shared" si="3"/>
        <v>N/A</v>
      </c>
      <c r="S42" s="142">
        <f t="shared" si="4"/>
        <v>1</v>
      </c>
      <c r="AC42" s="99">
        <v>56235</v>
      </c>
      <c r="AD42" s="99">
        <f t="shared" si="0"/>
        <v>0</v>
      </c>
      <c r="AG42" s="66">
        <f ca="1">'Table 5-A| Primary MPTE'!B99</f>
        <v>0</v>
      </c>
      <c r="AH42" s="68" t="s">
        <v>2475</v>
      </c>
      <c r="AI42" s="48"/>
      <c r="AJ42" s="48"/>
      <c r="AK42" s="794">
        <f ca="1">IF($AG42=0,0,'Table 5-A| Primary MPTE'!$E$99*VLOOKUP($AG42,$AX$37:$BL$57,5,FALSE))</f>
        <v>0</v>
      </c>
      <c r="AL42" s="794">
        <f ca="1">IF($AG42=0,0,'Table 5-A| Primary MPTE'!$E$99*VLOOKUP($AG42,$AX$37:$BL$57,6,FALSE))</f>
        <v>0</v>
      </c>
      <c r="AM42" s="794">
        <f ca="1">IF($AG42=0,0,'Table 5-A| Primary MPTE'!$E$99*VLOOKUP($AG42,$AX$37:$BL$57,7,FALSE))</f>
        <v>0</v>
      </c>
      <c r="AN42" s="794">
        <f ca="1">IF($AG42=0,0,'Table 5-A| Primary MPTE'!$E$99*VLOOKUP($AG42,$AX$37:$BL$57,8,FALSE))</f>
        <v>0</v>
      </c>
      <c r="AO42" s="794">
        <f ca="1">IF($AG42=0,0,'Table 5-A| Primary MPTE'!$E$99*VLOOKUP($AG42,$AX$37:$BL$57,9,FALSE))</f>
        <v>0</v>
      </c>
      <c r="AP42" s="794">
        <f ca="1">IF($AG42=0,0,'Table 5-A| Primary MPTE'!$E$99*VLOOKUP($AG42,$AX$37:$BL$57,10,FALSE))</f>
        <v>0</v>
      </c>
      <c r="AQ42" s="794">
        <f ca="1">IF($AG42=0,0,'Table 5-A| Primary MPTE'!$E$99*VLOOKUP($AG42,$AX$37:$BL$57,11,FALSE))</f>
        <v>0</v>
      </c>
      <c r="AR42" s="794">
        <f ca="1">IF($AG42=0,0,'Table 5-A| Primary MPTE'!$E$99*VLOOKUP($AG42,$AX$37:$BL$57,12,FALSE))</f>
        <v>0</v>
      </c>
      <c r="AS42" s="794">
        <f ca="1">IF($AG42=0,0,'Table 5-A| Primary MPTE'!$E$99*VLOOKUP($AG42,$AX$37:$BL$57,13,FALSE))</f>
        <v>0</v>
      </c>
      <c r="AT42" s="794">
        <f ca="1">IF($AG42=0,0,'Table 5-A| Primary MPTE'!$E$99*VLOOKUP($AG42,$AX$37:$BL$57,14,FALSE))</f>
        <v>0</v>
      </c>
      <c r="AU42" s="794">
        <f ca="1">IF($AG42=0,0,'Table 5-A| Primary MPTE'!$E$99*VLOOKUP($AG42,$AX$37:$BL$57,15,FALSE))</f>
        <v>0</v>
      </c>
      <c r="AV42" s="539"/>
      <c r="AX42" s="66">
        <v>30500206</v>
      </c>
      <c r="AY42" s="68" t="s">
        <v>2392</v>
      </c>
      <c r="AZ42" s="48"/>
      <c r="BA42" s="48"/>
      <c r="BB42" s="794">
        <v>0.08</v>
      </c>
      <c r="BC42" s="794">
        <v>0</v>
      </c>
      <c r="BD42" s="794">
        <v>0</v>
      </c>
      <c r="BE42" s="794">
        <v>3.3999999999999998E-3</v>
      </c>
      <c r="BF42" s="794">
        <v>1.8</v>
      </c>
      <c r="BG42" s="794">
        <v>6.0999999999999997E-4</v>
      </c>
      <c r="BH42" s="794">
        <v>2.0999999999999999E-3</v>
      </c>
      <c r="BI42" s="794">
        <v>0</v>
      </c>
      <c r="BJ42" s="794">
        <v>2.0999999999999999E-3</v>
      </c>
      <c r="BK42" s="794">
        <v>0</v>
      </c>
      <c r="BL42" s="794">
        <v>3.8000000000000002E-4</v>
      </c>
      <c r="BM42" s="539" t="s">
        <v>2250</v>
      </c>
    </row>
    <row r="43" spans="1:65" ht="18" customHeight="1" x14ac:dyDescent="0.2">
      <c r="A43" s="806"/>
      <c r="B43" s="807" t="s">
        <v>139</v>
      </c>
      <c r="C43" s="808">
        <v>91203</v>
      </c>
      <c r="D43" s="1480"/>
      <c r="E43" s="1483"/>
      <c r="F43" s="1486"/>
      <c r="G43" s="809" t="s">
        <v>2200</v>
      </c>
      <c r="H43" s="810" t="s">
        <v>2251</v>
      </c>
      <c r="I43" s="811" t="s">
        <v>2200</v>
      </c>
      <c r="J43" s="355">
        <f ca="1">AP66</f>
        <v>0</v>
      </c>
      <c r="K43" s="400">
        <v>1</v>
      </c>
      <c r="L43" s="373">
        <f t="shared" ca="1" si="1"/>
        <v>0</v>
      </c>
      <c r="N43" s="154"/>
      <c r="P43" s="429">
        <f t="shared" si="2"/>
        <v>0</v>
      </c>
      <c r="Q43" s="140" t="str">
        <f t="shared" si="5"/>
        <v>tons</v>
      </c>
      <c r="R43" s="99" t="str">
        <f t="shared" si="3"/>
        <v>N/A</v>
      </c>
      <c r="S43" s="142">
        <f t="shared" si="4"/>
        <v>1</v>
      </c>
      <c r="AC43" s="99">
        <v>56382</v>
      </c>
      <c r="AD43" s="99">
        <f t="shared" si="0"/>
        <v>0</v>
      </c>
      <c r="AG43" s="66">
        <f ca="1">'Table 5-A| Primary MPTE'!B100</f>
        <v>0</v>
      </c>
      <c r="AH43" s="68" t="s">
        <v>2476</v>
      </c>
      <c r="AI43" s="48"/>
      <c r="AJ43" s="48"/>
      <c r="AK43" s="794">
        <f ca="1">IF($AG43=0,0,'Table 5-A| Primary MPTE'!$E$99*VLOOKUP($AG43,$AX$37:$BL$57,5,FALSE))</f>
        <v>0</v>
      </c>
      <c r="AL43" s="794">
        <f ca="1">IF($AG43=0,0,'Table 5-A| Primary MPTE'!$E$99*VLOOKUP($AG43,$AX$37:$BL$57,6,FALSE))</f>
        <v>0</v>
      </c>
      <c r="AM43" s="794">
        <f ca="1">IF($AG43=0,0,'Table 5-A| Primary MPTE'!$E$99*VLOOKUP($AG43,$AX$37:$BL$57,7,FALSE))</f>
        <v>0</v>
      </c>
      <c r="AN43" s="794">
        <f ca="1">IF($AG43=0,0,'Table 5-A| Primary MPTE'!$E$99*VLOOKUP($AG43,$AX$37:$BL$57,8,FALSE))</f>
        <v>0</v>
      </c>
      <c r="AO43" s="794">
        <f ca="1">IF($AG43=0,0,'Table 5-A| Primary MPTE'!$E$99*VLOOKUP($AG43,$AX$37:$BL$57,9,FALSE))</f>
        <v>0</v>
      </c>
      <c r="AP43" s="794">
        <f ca="1">IF($AG43=0,0,'Table 5-A| Primary MPTE'!$E$99*VLOOKUP($AG43,$AX$37:$BL$57,10,FALSE))</f>
        <v>0</v>
      </c>
      <c r="AQ43" s="794">
        <f ca="1">IF($AG43=0,0,'Table 5-A| Primary MPTE'!$E$99*VLOOKUP($AG43,$AX$37:$BL$57,11,FALSE))</f>
        <v>0</v>
      </c>
      <c r="AR43" s="794">
        <f ca="1">IF($AG43=0,0,'Table 5-A| Primary MPTE'!$E$99*VLOOKUP($AG43,$AX$37:$BL$57,12,FALSE))</f>
        <v>0</v>
      </c>
      <c r="AS43" s="794">
        <f ca="1">IF($AG43=0,0,'Table 5-A| Primary MPTE'!$E$99*VLOOKUP($AG43,$AX$37:$BL$57,13,FALSE))</f>
        <v>0</v>
      </c>
      <c r="AT43" s="794">
        <f ca="1">IF($AG43=0,0,'Table 5-A| Primary MPTE'!$E$99*VLOOKUP($AG43,$AX$37:$BL$57,14,FALSE))</f>
        <v>0</v>
      </c>
      <c r="AU43" s="794">
        <f ca="1">IF($AG43=0,0,'Table 5-A| Primary MPTE'!$E$99*VLOOKUP($AG43,$AX$37:$BL$57,15,FALSE))</f>
        <v>0</v>
      </c>
      <c r="AV43" s="539"/>
      <c r="AX43" s="66">
        <v>30500207</v>
      </c>
      <c r="AY43" s="68" t="s">
        <v>2457</v>
      </c>
      <c r="AZ43" s="48"/>
      <c r="BA43" s="48"/>
      <c r="BB43" s="794">
        <v>0.06</v>
      </c>
      <c r="BC43" s="794">
        <v>0</v>
      </c>
      <c r="BD43" s="794">
        <v>0</v>
      </c>
      <c r="BE43" s="794">
        <v>0</v>
      </c>
      <c r="BF43" s="794">
        <v>0</v>
      </c>
      <c r="BG43" s="794">
        <v>0</v>
      </c>
      <c r="BH43" s="794">
        <v>0</v>
      </c>
      <c r="BI43" s="794">
        <v>0</v>
      </c>
      <c r="BJ43" s="794">
        <v>2.1582733812949641E-8</v>
      </c>
      <c r="BK43" s="794">
        <v>0</v>
      </c>
      <c r="BL43" s="794">
        <v>4.3165467625899283E-8</v>
      </c>
      <c r="BM43" s="539" t="s">
        <v>2249</v>
      </c>
    </row>
    <row r="44" spans="1:65" ht="18" customHeight="1" x14ac:dyDescent="0.2">
      <c r="A44" s="806"/>
      <c r="B44" s="807" t="s">
        <v>99</v>
      </c>
      <c r="C44" s="808">
        <v>71432</v>
      </c>
      <c r="D44" s="1480"/>
      <c r="E44" s="1483"/>
      <c r="F44" s="1486"/>
      <c r="G44" s="809" t="s">
        <v>2200</v>
      </c>
      <c r="H44" s="810" t="s">
        <v>2251</v>
      </c>
      <c r="I44" s="811" t="s">
        <v>2200</v>
      </c>
      <c r="J44" s="355">
        <f ca="1">AQ66</f>
        <v>0</v>
      </c>
      <c r="K44" s="400">
        <v>1</v>
      </c>
      <c r="L44" s="373">
        <f t="shared" ca="1" si="1"/>
        <v>0</v>
      </c>
      <c r="N44" s="154"/>
      <c r="P44" s="429">
        <f t="shared" si="2"/>
        <v>0</v>
      </c>
      <c r="Q44" s="140" t="str">
        <f t="shared" si="5"/>
        <v>tons</v>
      </c>
      <c r="R44" s="99" t="str">
        <f t="shared" si="3"/>
        <v>N/A</v>
      </c>
      <c r="S44" s="142">
        <f t="shared" si="4"/>
        <v>1</v>
      </c>
      <c r="AC44" s="99">
        <v>57125</v>
      </c>
      <c r="AD44" s="99">
        <f t="shared" si="0"/>
        <v>0</v>
      </c>
      <c r="AG44" s="66">
        <f ca="1">'Table 5-A| Primary MPTE'!B101</f>
        <v>0</v>
      </c>
      <c r="AH44" s="68" t="s">
        <v>2477</v>
      </c>
      <c r="AI44" s="48"/>
      <c r="AJ44" s="48"/>
      <c r="AK44" s="794">
        <f ca="1">IF($AG44=0,0,'Table 5-A| Primary MPTE'!$E$99*VLOOKUP($AG44,$AX$37:$BL$57,5,FALSE))</f>
        <v>0</v>
      </c>
      <c r="AL44" s="794">
        <f ca="1">IF($AG44=0,0,'Table 5-A| Primary MPTE'!$E$99*VLOOKUP($AG44,$AX$37:$BL$57,6,FALSE))</f>
        <v>0</v>
      </c>
      <c r="AM44" s="794">
        <f ca="1">IF($AG44=0,0,'Table 5-A| Primary MPTE'!$E$99*VLOOKUP($AG44,$AX$37:$BL$57,7,FALSE))</f>
        <v>0</v>
      </c>
      <c r="AN44" s="794">
        <f ca="1">IF($AG44=0,0,'Table 5-A| Primary MPTE'!$E$99*VLOOKUP($AG44,$AX$37:$BL$57,8,FALSE))</f>
        <v>0</v>
      </c>
      <c r="AO44" s="794">
        <f ca="1">IF($AG44=0,0,'Table 5-A| Primary MPTE'!$E$99*VLOOKUP($AG44,$AX$37:$BL$57,9,FALSE))</f>
        <v>0</v>
      </c>
      <c r="AP44" s="794">
        <f ca="1">IF($AG44=0,0,'Table 5-A| Primary MPTE'!$E$99*VLOOKUP($AG44,$AX$37:$BL$57,10,FALSE))</f>
        <v>0</v>
      </c>
      <c r="AQ44" s="794">
        <f ca="1">IF($AG44=0,0,'Table 5-A| Primary MPTE'!$E$99*VLOOKUP($AG44,$AX$37:$BL$57,11,FALSE))</f>
        <v>0</v>
      </c>
      <c r="AR44" s="794">
        <f ca="1">IF($AG44=0,0,'Table 5-A| Primary MPTE'!$E$99*VLOOKUP($AG44,$AX$37:$BL$57,12,FALSE))</f>
        <v>0</v>
      </c>
      <c r="AS44" s="794">
        <f ca="1">IF($AG44=0,0,'Table 5-A| Primary MPTE'!$E$99*VLOOKUP($AG44,$AX$37:$BL$57,13,FALSE))</f>
        <v>0</v>
      </c>
      <c r="AT44" s="794">
        <f ca="1">IF($AG44=0,0,'Table 5-A| Primary MPTE'!$E$99*VLOOKUP($AG44,$AX$37:$BL$57,14,FALSE))</f>
        <v>0</v>
      </c>
      <c r="AU44" s="794">
        <f ca="1">IF($AG44=0,0,'Table 5-A| Primary MPTE'!$E$99*VLOOKUP($AG44,$AX$37:$BL$57,15,FALSE))</f>
        <v>0</v>
      </c>
      <c r="AV44" s="539"/>
      <c r="AX44" s="66">
        <v>30500208</v>
      </c>
      <c r="AY44" s="68" t="s">
        <v>2393</v>
      </c>
      <c r="AZ44" s="48"/>
      <c r="BA44" s="48"/>
      <c r="BB44" s="794">
        <v>0.06</v>
      </c>
      <c r="BC44" s="794">
        <v>0</v>
      </c>
      <c r="BD44" s="794">
        <v>0</v>
      </c>
      <c r="BE44" s="794">
        <v>0</v>
      </c>
      <c r="BF44" s="794">
        <v>0</v>
      </c>
      <c r="BG44" s="794">
        <v>0</v>
      </c>
      <c r="BH44" s="794">
        <v>0</v>
      </c>
      <c r="BI44" s="794">
        <v>0</v>
      </c>
      <c r="BJ44" s="794">
        <v>2.1582733812949641E-8</v>
      </c>
      <c r="BK44" s="794">
        <v>0</v>
      </c>
      <c r="BL44" s="794">
        <v>4.3165467625899283E-8</v>
      </c>
      <c r="BM44" s="539" t="s">
        <v>2249</v>
      </c>
    </row>
    <row r="45" spans="1:65" ht="18" customHeight="1" x14ac:dyDescent="0.2">
      <c r="A45" s="806"/>
      <c r="B45" s="807" t="s">
        <v>108</v>
      </c>
      <c r="C45" s="808">
        <v>75070</v>
      </c>
      <c r="D45" s="1480"/>
      <c r="E45" s="1483"/>
      <c r="F45" s="1486"/>
      <c r="G45" s="809" t="s">
        <v>2200</v>
      </c>
      <c r="H45" s="810" t="s">
        <v>2251</v>
      </c>
      <c r="I45" s="811" t="s">
        <v>2200</v>
      </c>
      <c r="J45" s="355">
        <f ca="1">AR66</f>
        <v>0</v>
      </c>
      <c r="K45" s="400">
        <v>1</v>
      </c>
      <c r="L45" s="373">
        <f t="shared" ca="1" si="1"/>
        <v>0</v>
      </c>
      <c r="N45" s="154"/>
      <c r="P45" s="429">
        <f t="shared" si="2"/>
        <v>0</v>
      </c>
      <c r="Q45" s="140" t="str">
        <f t="shared" si="5"/>
        <v>tons</v>
      </c>
      <c r="R45" s="99" t="str">
        <f t="shared" si="3"/>
        <v>N/A</v>
      </c>
      <c r="S45" s="142">
        <f t="shared" si="4"/>
        <v>1</v>
      </c>
      <c r="AC45" s="99">
        <v>57147</v>
      </c>
      <c r="AD45" s="99">
        <f t="shared" si="0"/>
        <v>0</v>
      </c>
      <c r="AG45" s="66">
        <f ca="1">'Table 5-A| Primary MPTE'!B111</f>
        <v>0</v>
      </c>
      <c r="AH45" s="68" t="s">
        <v>2478</v>
      </c>
      <c r="AI45" s="48"/>
      <c r="AJ45" s="48"/>
      <c r="AK45" s="794">
        <f ca="1">IF($AG45=0,0,'Table 5-A| Primary MPTE'!$E$111*VLOOKUP($AG45,$AX$37:$BL$57,5,FALSE))</f>
        <v>0</v>
      </c>
      <c r="AL45" s="794">
        <f ca="1">IF($AG45=0,0,'Table 5-A| Primary MPTE'!$E$111*VLOOKUP($AG45,$AX$37:$BL$57,6,FALSE))</f>
        <v>0</v>
      </c>
      <c r="AM45" s="794">
        <f ca="1">IF($AG45=0,0,'Table 5-A| Primary MPTE'!$E$111*VLOOKUP($AG45,$AX$37:$BL$57,7,FALSE))</f>
        <v>0</v>
      </c>
      <c r="AN45" s="794">
        <f ca="1">IF($AG45=0,0,'Table 5-A| Primary MPTE'!$E$111*VLOOKUP($AG45,$AX$37:$BL$57,8,FALSE))</f>
        <v>0</v>
      </c>
      <c r="AO45" s="794">
        <f ca="1">IF($AG45=0,0,'Table 5-A| Primary MPTE'!$E$111*VLOOKUP($AG45,$AX$37:$BL$57,9,FALSE))</f>
        <v>0</v>
      </c>
      <c r="AP45" s="794">
        <f ca="1">IF($AG45=0,0,'Table 5-A| Primary MPTE'!$E$111*VLOOKUP($AG45,$AX$37:$BL$57,10,FALSE))</f>
        <v>0</v>
      </c>
      <c r="AQ45" s="794">
        <f ca="1">IF($AG45=0,0,'Table 5-A| Primary MPTE'!$E$111*VLOOKUP($AG45,$AX$37:$BL$57,11,FALSE))</f>
        <v>0</v>
      </c>
      <c r="AR45" s="794">
        <f ca="1">IF($AG45=0,0,'Table 5-A| Primary MPTE'!$E$111*VLOOKUP($AG45,$AX$37:$BL$57,12,FALSE))</f>
        <v>0</v>
      </c>
      <c r="AS45" s="794">
        <f ca="1">IF($AG45=0,0,'Table 5-A| Primary MPTE'!$E$111*VLOOKUP($AG45,$AX$37:$BL$57,13,FALSE))</f>
        <v>0</v>
      </c>
      <c r="AT45" s="794">
        <f ca="1">IF($AG45=0,0,'Table 5-A| Primary MPTE'!$E$111*VLOOKUP($AG45,$AX$37:$BL$57,14,FALSE))</f>
        <v>0</v>
      </c>
      <c r="AU45" s="794">
        <f ca="1">IF($AG45=0,0,'Table 5-A| Primary MPTE'!$E$111*VLOOKUP($AG45,$AX$37:$BL$57,15,FALSE))</f>
        <v>0</v>
      </c>
      <c r="AV45" s="539"/>
      <c r="AX45" s="66">
        <v>30500209</v>
      </c>
      <c r="AY45" s="68" t="s">
        <v>2394</v>
      </c>
      <c r="AZ45" s="48"/>
      <c r="BA45" s="48"/>
      <c r="BB45" s="794">
        <v>0</v>
      </c>
      <c r="BC45" s="794">
        <v>0</v>
      </c>
      <c r="BD45" s="794">
        <v>0</v>
      </c>
      <c r="BE45" s="794">
        <v>0</v>
      </c>
      <c r="BF45" s="794">
        <v>0</v>
      </c>
      <c r="BG45" s="794">
        <v>0</v>
      </c>
      <c r="BH45" s="794">
        <v>0</v>
      </c>
      <c r="BI45" s="794">
        <v>0</v>
      </c>
      <c r="BJ45" s="794">
        <v>0</v>
      </c>
      <c r="BK45" s="794">
        <v>0</v>
      </c>
      <c r="BL45" s="794">
        <v>0</v>
      </c>
      <c r="BM45" s="539" t="s">
        <v>2249</v>
      </c>
    </row>
    <row r="46" spans="1:65" ht="18" customHeight="1" x14ac:dyDescent="0.2">
      <c r="A46" s="806"/>
      <c r="B46" s="807" t="s">
        <v>239</v>
      </c>
      <c r="C46" s="808">
        <v>7440020</v>
      </c>
      <c r="D46" s="1480"/>
      <c r="E46" s="1483"/>
      <c r="F46" s="1486"/>
      <c r="G46" s="809" t="s">
        <v>2200</v>
      </c>
      <c r="H46" s="810" t="s">
        <v>2251</v>
      </c>
      <c r="I46" s="811" t="s">
        <v>2200</v>
      </c>
      <c r="J46" s="355">
        <f ca="1">AS66</f>
        <v>0</v>
      </c>
      <c r="K46" s="400">
        <v>1</v>
      </c>
      <c r="L46" s="373">
        <f t="shared" ca="1" si="1"/>
        <v>0</v>
      </c>
      <c r="N46" s="154"/>
      <c r="P46" s="429">
        <f t="shared" si="2"/>
        <v>0</v>
      </c>
      <c r="Q46" s="140" t="str">
        <f t="shared" si="5"/>
        <v>tons</v>
      </c>
      <c r="R46" s="99" t="str">
        <f t="shared" si="3"/>
        <v>N/A</v>
      </c>
      <c r="S46" s="142">
        <f t="shared" si="4"/>
        <v>1</v>
      </c>
      <c r="AC46" s="99">
        <v>57578</v>
      </c>
      <c r="AD46" s="99">
        <f t="shared" si="0"/>
        <v>0</v>
      </c>
      <c r="AG46" s="66">
        <f ca="1">'Table 5-A| Primary MPTE'!B112</f>
        <v>0</v>
      </c>
      <c r="AH46" s="68" t="s">
        <v>2479</v>
      </c>
      <c r="AI46" s="48"/>
      <c r="AJ46" s="48"/>
      <c r="AK46" s="794">
        <f ca="1">IF($AG46=0,0,'Table 5-A| Primary MPTE'!$E$112*VLOOKUP($AG46,$AX$37:$BL$57,5,FALSE))</f>
        <v>0</v>
      </c>
      <c r="AL46" s="794">
        <f ca="1">IF($AG46=0,0,'Table 5-A| Primary MPTE'!$E$112*VLOOKUP($AG46,$AX$37:$BL$57,6,FALSE))</f>
        <v>0</v>
      </c>
      <c r="AM46" s="794">
        <f ca="1">IF($AG46=0,0,'Table 5-A| Primary MPTE'!$E$112*VLOOKUP($AG46,$AX$37:$BL$57,7,FALSE))</f>
        <v>0</v>
      </c>
      <c r="AN46" s="794">
        <f ca="1">IF($AG46=0,0,'Table 5-A| Primary MPTE'!$E$112*VLOOKUP($AG46,$AX$37:$BL$57,8,FALSE))</f>
        <v>0</v>
      </c>
      <c r="AO46" s="794">
        <f ca="1">IF($AG46=0,0,'Table 5-A| Primary MPTE'!$E$112*VLOOKUP($AG46,$AX$37:$BL$57,9,FALSE))</f>
        <v>0</v>
      </c>
      <c r="AP46" s="794">
        <f ca="1">IF($AG46=0,0,'Table 5-A| Primary MPTE'!$E$112*VLOOKUP($AG46,$AX$37:$BL$57,10,FALSE))</f>
        <v>0</v>
      </c>
      <c r="AQ46" s="794">
        <f ca="1">IF($AG46=0,0,'Table 5-A| Primary MPTE'!$E$112*VLOOKUP($AG46,$AX$37:$BL$57,11,FALSE))</f>
        <v>0</v>
      </c>
      <c r="AR46" s="794">
        <f ca="1">IF($AG46=0,0,'Table 5-A| Primary MPTE'!$E$112*VLOOKUP($AG46,$AX$37:$BL$57,12,FALSE))</f>
        <v>0</v>
      </c>
      <c r="AS46" s="794">
        <f ca="1">IF($AG46=0,0,'Table 5-A| Primary MPTE'!$E$112*VLOOKUP($AG46,$AX$37:$BL$57,13,FALSE))</f>
        <v>0</v>
      </c>
      <c r="AT46" s="794">
        <f ca="1">IF($AG46=0,0,'Table 5-A| Primary MPTE'!$E$112*VLOOKUP($AG46,$AX$37:$BL$57,14,FALSE))</f>
        <v>0</v>
      </c>
      <c r="AU46" s="794">
        <f ca="1">IF($AG46=0,0,'Table 5-A| Primary MPTE'!$E$112*VLOOKUP($AG46,$AX$37:$BL$57,15,FALSE))</f>
        <v>0</v>
      </c>
      <c r="AV46" s="539"/>
      <c r="AX46" s="66">
        <v>30500213</v>
      </c>
      <c r="AY46" s="68" t="s">
        <v>2395</v>
      </c>
      <c r="AZ46" s="48"/>
      <c r="BA46" s="48"/>
      <c r="BB46" s="794">
        <v>8.3999999999999995E-5</v>
      </c>
      <c r="BC46" s="794">
        <v>2.4000000000000001E-5</v>
      </c>
      <c r="BD46" s="794">
        <v>4.6E-6</v>
      </c>
      <c r="BE46" s="794">
        <v>7.6000000000000001E-6</v>
      </c>
      <c r="BF46" s="794">
        <v>1.2E-5</v>
      </c>
      <c r="BG46" s="794">
        <v>4.6E-6</v>
      </c>
      <c r="BH46" s="794">
        <v>3.8999999999999999E-6</v>
      </c>
      <c r="BI46" s="794">
        <v>0</v>
      </c>
      <c r="BJ46" s="794">
        <v>0</v>
      </c>
      <c r="BK46" s="794">
        <v>0</v>
      </c>
      <c r="BL46" s="794">
        <v>0</v>
      </c>
      <c r="BM46" s="539" t="s">
        <v>2251</v>
      </c>
    </row>
    <row r="47" spans="1:65" ht="18" customHeight="1" x14ac:dyDescent="0.2">
      <c r="A47" s="806"/>
      <c r="B47" s="807" t="s">
        <v>249</v>
      </c>
      <c r="C47" s="808">
        <v>7723140</v>
      </c>
      <c r="D47" s="1480"/>
      <c r="E47" s="1483"/>
      <c r="F47" s="1486"/>
      <c r="G47" s="809" t="s">
        <v>2200</v>
      </c>
      <c r="H47" s="810" t="s">
        <v>2251</v>
      </c>
      <c r="I47" s="811" t="s">
        <v>2200</v>
      </c>
      <c r="J47" s="355">
        <f ca="1">AT66</f>
        <v>0</v>
      </c>
      <c r="K47" s="400">
        <v>1</v>
      </c>
      <c r="L47" s="373">
        <f t="shared" ca="1" si="1"/>
        <v>0</v>
      </c>
      <c r="N47" s="154"/>
      <c r="P47" s="429">
        <f t="shared" si="2"/>
        <v>0</v>
      </c>
      <c r="Q47" s="140" t="str">
        <f t="shared" si="5"/>
        <v>tons</v>
      </c>
      <c r="R47" s="99" t="str">
        <f t="shared" si="3"/>
        <v>N/A</v>
      </c>
      <c r="S47" s="142">
        <f t="shared" si="4"/>
        <v>1</v>
      </c>
      <c r="W47" s="99" t="b">
        <f>AND(NOT(ISBLANK(C38)),IFERROR(MATCH(C38,$AC$37:$AC$219,0),TRUE))</f>
        <v>1</v>
      </c>
      <c r="AC47" s="99">
        <v>57749</v>
      </c>
      <c r="AD47" s="99">
        <f t="shared" si="0"/>
        <v>0</v>
      </c>
      <c r="AG47" s="66">
        <f ca="1">'Table 5-A| Primary MPTE'!B113</f>
        <v>0</v>
      </c>
      <c r="AH47" s="68" t="s">
        <v>2480</v>
      </c>
      <c r="AI47" s="48"/>
      <c r="AJ47" s="48"/>
      <c r="AK47" s="794">
        <f ca="1">IF($AG47=0,0,'Table 5-A| Primary MPTE'!$E$112*VLOOKUP($AG47,$AX$37:$BL$57,5,FALSE))</f>
        <v>0</v>
      </c>
      <c r="AL47" s="794">
        <f ca="1">IF($AG47=0,0,'Table 5-A| Primary MPTE'!$E$112*VLOOKUP($AG47,$AX$37:$BL$57,6,FALSE))</f>
        <v>0</v>
      </c>
      <c r="AM47" s="794">
        <f ca="1">IF($AG47=0,0,'Table 5-A| Primary MPTE'!$E$112*VLOOKUP($AG47,$AX$37:$BL$57,7,FALSE))</f>
        <v>0</v>
      </c>
      <c r="AN47" s="794">
        <f ca="1">IF($AG47=0,0,'Table 5-A| Primary MPTE'!$E$112*VLOOKUP($AG47,$AX$37:$BL$57,8,FALSE))</f>
        <v>0</v>
      </c>
      <c r="AO47" s="794">
        <f ca="1">IF($AG47=0,0,'Table 5-A| Primary MPTE'!$E$112*VLOOKUP($AG47,$AX$37:$BL$57,9,FALSE))</f>
        <v>0</v>
      </c>
      <c r="AP47" s="794">
        <f ca="1">IF($AG47=0,0,'Table 5-A| Primary MPTE'!$E$112*VLOOKUP($AG47,$AX$37:$BL$57,10,FALSE))</f>
        <v>0</v>
      </c>
      <c r="AQ47" s="794">
        <f ca="1">IF($AG47=0,0,'Table 5-A| Primary MPTE'!$E$112*VLOOKUP($AG47,$AX$37:$BL$57,11,FALSE))</f>
        <v>0</v>
      </c>
      <c r="AR47" s="794">
        <f ca="1">IF($AG47=0,0,'Table 5-A| Primary MPTE'!$E$112*VLOOKUP($AG47,$AX$37:$BL$57,12,FALSE))</f>
        <v>0</v>
      </c>
      <c r="AS47" s="794">
        <f ca="1">IF($AG47=0,0,'Table 5-A| Primary MPTE'!$E$112*VLOOKUP($AG47,$AX$37:$BL$57,13,FALSE))</f>
        <v>0</v>
      </c>
      <c r="AT47" s="794">
        <f ca="1">IF($AG47=0,0,'Table 5-A| Primary MPTE'!$E$112*VLOOKUP($AG47,$AX$37:$BL$57,14,FALSE))</f>
        <v>0</v>
      </c>
      <c r="AU47" s="794">
        <f ca="1">IF($AG47=0,0,'Table 5-A| Primary MPTE'!$E$112*VLOOKUP($AG47,$AX$37:$BL$57,15,FALSE))</f>
        <v>0</v>
      </c>
      <c r="AV47" s="539"/>
      <c r="AX47" s="66">
        <v>30500214</v>
      </c>
      <c r="AY47" s="68" t="s">
        <v>2396</v>
      </c>
      <c r="AZ47" s="48"/>
      <c r="BA47" s="48"/>
      <c r="BB47" s="794">
        <v>3.7000000000000002E-6</v>
      </c>
      <c r="BC47" s="794">
        <v>1.7E-5</v>
      </c>
      <c r="BD47" s="794">
        <v>1.2E-5</v>
      </c>
      <c r="BE47" s="794">
        <v>8.6999999999999997E-6</v>
      </c>
      <c r="BF47" s="794">
        <v>6.1999999999999999E-6</v>
      </c>
      <c r="BG47" s="794">
        <v>4.3000000000000003E-6</v>
      </c>
      <c r="BH47" s="794">
        <v>2.2000000000000001E-6</v>
      </c>
      <c r="BI47" s="794">
        <v>0</v>
      </c>
      <c r="BJ47" s="794">
        <v>0</v>
      </c>
      <c r="BK47" s="794">
        <v>0</v>
      </c>
      <c r="BL47" s="794">
        <v>0</v>
      </c>
      <c r="BM47" s="539" t="s">
        <v>2251</v>
      </c>
    </row>
    <row r="48" spans="1:65" ht="18" customHeight="1" x14ac:dyDescent="0.2">
      <c r="A48" s="806"/>
      <c r="B48" s="807" t="s">
        <v>237</v>
      </c>
      <c r="C48" s="808">
        <v>7439965</v>
      </c>
      <c r="D48" s="1481"/>
      <c r="E48" s="1484"/>
      <c r="F48" s="1487"/>
      <c r="G48" s="809" t="s">
        <v>2200</v>
      </c>
      <c r="H48" s="810" t="s">
        <v>2251</v>
      </c>
      <c r="I48" s="811" t="s">
        <v>2200</v>
      </c>
      <c r="J48" s="355">
        <f ca="1">AU66</f>
        <v>0</v>
      </c>
      <c r="K48" s="400">
        <v>1</v>
      </c>
      <c r="L48" s="373">
        <f t="shared" ca="1" si="1"/>
        <v>0</v>
      </c>
      <c r="N48" s="154"/>
      <c r="P48" s="429">
        <f t="shared" si="2"/>
        <v>0</v>
      </c>
      <c r="Q48" s="140" t="str">
        <f t="shared" si="5"/>
        <v>tons</v>
      </c>
      <c r="R48" s="99" t="str">
        <f t="shared" si="3"/>
        <v>N/A</v>
      </c>
      <c r="S48" s="142">
        <f t="shared" si="4"/>
        <v>1</v>
      </c>
      <c r="AC48" s="99">
        <v>58899</v>
      </c>
      <c r="AD48" s="99">
        <f t="shared" si="0"/>
        <v>0</v>
      </c>
      <c r="AG48" s="66">
        <f ca="1">'Table 5-A| Primary MPTE'!B114</f>
        <v>0</v>
      </c>
      <c r="AH48" s="68" t="s">
        <v>2481</v>
      </c>
      <c r="AI48" s="48"/>
      <c r="AJ48" s="48"/>
      <c r="AK48" s="794">
        <f ca="1">IF($AG48=0,0,'Table 5-A| Primary MPTE'!$E$112*VLOOKUP($AG48,$AX$37:$BL$57,5,FALSE))</f>
        <v>0</v>
      </c>
      <c r="AL48" s="794">
        <f ca="1">IF($AG48=0,0,'Table 5-A| Primary MPTE'!$E$112*VLOOKUP($AG48,$AX$37:$BL$57,6,FALSE))</f>
        <v>0</v>
      </c>
      <c r="AM48" s="794">
        <f ca="1">IF($AG48=0,0,'Table 5-A| Primary MPTE'!$E$112*VLOOKUP($AG48,$AX$37:$BL$57,7,FALSE))</f>
        <v>0</v>
      </c>
      <c r="AN48" s="794">
        <f ca="1">IF($AG48=0,0,'Table 5-A| Primary MPTE'!$E$112*VLOOKUP($AG48,$AX$37:$BL$57,8,FALSE))</f>
        <v>0</v>
      </c>
      <c r="AO48" s="794">
        <f ca="1">IF($AG48=0,0,'Table 5-A| Primary MPTE'!$E$112*VLOOKUP($AG48,$AX$37:$BL$57,9,FALSE))</f>
        <v>0</v>
      </c>
      <c r="AP48" s="794">
        <f ca="1">IF($AG48=0,0,'Table 5-A| Primary MPTE'!$E$112*VLOOKUP($AG48,$AX$37:$BL$57,10,FALSE))</f>
        <v>0</v>
      </c>
      <c r="AQ48" s="794">
        <f ca="1">IF($AG48=0,0,'Table 5-A| Primary MPTE'!$E$112*VLOOKUP($AG48,$AX$37:$BL$57,11,FALSE))</f>
        <v>0</v>
      </c>
      <c r="AR48" s="794">
        <f ca="1">IF($AG48=0,0,'Table 5-A| Primary MPTE'!$E$112*VLOOKUP($AG48,$AX$37:$BL$57,12,FALSE))</f>
        <v>0</v>
      </c>
      <c r="AS48" s="794">
        <f ca="1">IF($AG48=0,0,'Table 5-A| Primary MPTE'!$E$112*VLOOKUP($AG48,$AX$37:$BL$57,13,FALSE))</f>
        <v>0</v>
      </c>
      <c r="AT48" s="794">
        <f ca="1">IF($AG48=0,0,'Table 5-A| Primary MPTE'!$E$112*VLOOKUP($AG48,$AX$37:$BL$57,14,FALSE))</f>
        <v>0</v>
      </c>
      <c r="AU48" s="794">
        <f ca="1">IF($AG48=0,0,'Table 5-A| Primary MPTE'!$E$112*VLOOKUP($AG48,$AX$37:$BL$57,15,FALSE))</f>
        <v>0</v>
      </c>
      <c r="AV48" s="539"/>
      <c r="AX48" s="66">
        <v>30500245</v>
      </c>
      <c r="AY48" s="68" t="s">
        <v>2383</v>
      </c>
      <c r="AZ48" s="48"/>
      <c r="BA48" s="48"/>
      <c r="BB48" s="794">
        <v>7.3999999999999999E-4</v>
      </c>
      <c r="BC48" s="794">
        <v>2.7000000000000001E-3</v>
      </c>
      <c r="BD48" s="794">
        <v>2.2000000000000001E-3</v>
      </c>
      <c r="BE48" s="794">
        <v>1E-3</v>
      </c>
      <c r="BF48" s="794">
        <v>0</v>
      </c>
      <c r="BG48" s="794">
        <v>3.6000000000000001E-5</v>
      </c>
      <c r="BH48" s="794">
        <v>2.7999999999999998E-4</v>
      </c>
      <c r="BI48" s="794">
        <v>3.2000000000000003E-4</v>
      </c>
      <c r="BJ48" s="794">
        <v>5.0100000000000003E-4</v>
      </c>
      <c r="BK48" s="794">
        <v>0</v>
      </c>
      <c r="BL48" s="794">
        <v>1.1523E-3</v>
      </c>
      <c r="BM48" s="539" t="s">
        <v>2251</v>
      </c>
    </row>
    <row r="49" spans="1:65" ht="18" customHeight="1" x14ac:dyDescent="0.2">
      <c r="A49" s="368"/>
      <c r="B49" s="369"/>
      <c r="C49" s="370"/>
      <c r="D49" s="499"/>
      <c r="E49" s="371"/>
      <c r="F49" s="351"/>
      <c r="G49" s="372"/>
      <c r="H49" s="354"/>
      <c r="I49" s="527"/>
      <c r="J49" s="355" t="str">
        <f t="shared" ref="J49:J69" si="6">IFERROR(IF(ISBLANK(H49),"",IF(AND(Q49="POUNDS",H49="WEIGHT %"),P49*(G49/100),IF(AND(Q49="POUNDS",H49="LBS/GALLON"),P49*(G49/R49),IF(Q49="GALLONS",IF(H49="LBS/GALLON",P49*G49,IF(AND(H49="WEIGHT %",R49&gt;0),P49*R49*(G49/100),"")))))),"")</f>
        <v/>
      </c>
      <c r="K49" s="356"/>
      <c r="L49" s="373" t="str">
        <f t="shared" ref="L49:L69" si="7">IF(NOT(ISNUMBER(J49)),"",IF(S49&gt;0,J49*S49,""))</f>
        <v/>
      </c>
      <c r="N49" s="154"/>
      <c r="P49" s="429">
        <f t="shared" si="2"/>
        <v>0</v>
      </c>
      <c r="Q49" s="140" t="str">
        <f t="shared" si="5"/>
        <v/>
      </c>
      <c r="R49" s="99">
        <f t="shared" si="3"/>
        <v>0</v>
      </c>
      <c r="S49" s="142">
        <f t="shared" si="4"/>
        <v>0</v>
      </c>
      <c r="AC49" s="99">
        <v>59892</v>
      </c>
      <c r="AD49" s="99">
        <f t="shared" si="0"/>
        <v>0</v>
      </c>
      <c r="AG49" s="66">
        <f ca="1">'Table 5-A| Primary MPTE'!B126</f>
        <v>0</v>
      </c>
      <c r="AH49" s="68" t="s">
        <v>2482</v>
      </c>
      <c r="AI49" s="48"/>
      <c r="AJ49" s="48"/>
      <c r="AK49" s="794">
        <f ca="1">IF($AG49=0,0,'Table 5-A| Primary MPTE'!$E$126*VLOOKUP($AG49,$AX$37:$BL$57,5,FALSE))</f>
        <v>0</v>
      </c>
      <c r="AL49" s="794">
        <f ca="1">IF($AG49=0,0,'Table 5-A| Primary MPTE'!$E$126*VLOOKUP($AG49,$AX$37:$BL$57,6,FALSE))</f>
        <v>0</v>
      </c>
      <c r="AM49" s="794">
        <f ca="1">IF($AG49=0,0,'Table 5-A| Primary MPTE'!$E$126*VLOOKUP($AG49,$AX$37:$BL$57,7,FALSE))</f>
        <v>0</v>
      </c>
      <c r="AN49" s="794">
        <f ca="1">IF($AG49=0,0,'Table 5-A| Primary MPTE'!$E$126*VLOOKUP($AG49,$AX$37:$BL$57,8,FALSE))</f>
        <v>0</v>
      </c>
      <c r="AO49" s="794">
        <f ca="1">IF($AG49=0,0,'Table 5-A| Primary MPTE'!$E$126*VLOOKUP($AG49,$AX$37:$BL$57,9,FALSE))</f>
        <v>0</v>
      </c>
      <c r="AP49" s="794">
        <f ca="1">IF($AG49=0,0,'Table 5-A| Primary MPTE'!$E$126*VLOOKUP($AG49,$AX$37:$BL$57,10,FALSE))</f>
        <v>0</v>
      </c>
      <c r="AQ49" s="794">
        <f ca="1">IF($AG49=0,0,'Table 5-A| Primary MPTE'!$E$126*VLOOKUP($AG49,$AX$37:$BL$57,11,FALSE))</f>
        <v>0</v>
      </c>
      <c r="AR49" s="794">
        <f ca="1">IF($AG49=0,0,'Table 5-A| Primary MPTE'!$E$126*VLOOKUP($AG49,$AX$37:$BL$57,12,FALSE))</f>
        <v>0</v>
      </c>
      <c r="AS49" s="794">
        <f ca="1">IF($AG49=0,0,'Table 5-A| Primary MPTE'!$E$126*VLOOKUP($AG49,$AX$37:$BL$57,13,FALSE))</f>
        <v>0</v>
      </c>
      <c r="AT49" s="794">
        <f ca="1">IF($AG49=0,0,'Table 5-A| Primary MPTE'!$E$126*VLOOKUP($AG49,$AX$37:$BL$57,14,FALSE))</f>
        <v>0</v>
      </c>
      <c r="AU49" s="794">
        <f ca="1">IF($AG49=0,0,'Table 5-A| Primary MPTE'!$E$126*VLOOKUP($AG49,$AX$37:$BL$57,15,FALSE))</f>
        <v>0</v>
      </c>
      <c r="AV49" s="539"/>
      <c r="AX49" s="66">
        <v>30500246</v>
      </c>
      <c r="AY49" s="68" t="s">
        <v>2384</v>
      </c>
      <c r="AZ49" s="48"/>
      <c r="BA49" s="48"/>
      <c r="BB49" s="794">
        <v>7.3999999999999999E-4</v>
      </c>
      <c r="BC49" s="794">
        <v>2.7000000000000001E-3</v>
      </c>
      <c r="BD49" s="794">
        <v>2.2000000000000001E-3</v>
      </c>
      <c r="BE49" s="794">
        <v>1E-3</v>
      </c>
      <c r="BF49" s="794">
        <v>0</v>
      </c>
      <c r="BG49" s="794">
        <v>3.6000000000000001E-5</v>
      </c>
      <c r="BH49" s="794">
        <v>2.7999999999999998E-4</v>
      </c>
      <c r="BI49" s="794">
        <v>3.2000000000000003E-4</v>
      </c>
      <c r="BJ49" s="794">
        <v>5.0100000000000003E-4</v>
      </c>
      <c r="BK49" s="794">
        <v>0</v>
      </c>
      <c r="BL49" s="794">
        <v>1.1523E-3</v>
      </c>
      <c r="BM49" s="539" t="s">
        <v>2251</v>
      </c>
    </row>
    <row r="50" spans="1:65" ht="18" customHeight="1" x14ac:dyDescent="0.2">
      <c r="A50" s="368"/>
      <c r="B50" s="369"/>
      <c r="C50" s="370"/>
      <c r="D50" s="499"/>
      <c r="E50" s="371"/>
      <c r="F50" s="351"/>
      <c r="G50" s="372"/>
      <c r="H50" s="354"/>
      <c r="I50" s="527"/>
      <c r="J50" s="355" t="str">
        <f t="shared" si="6"/>
        <v/>
      </c>
      <c r="K50" s="356"/>
      <c r="L50" s="373" t="str">
        <f t="shared" si="7"/>
        <v/>
      </c>
      <c r="N50" s="154"/>
      <c r="P50" s="429">
        <f t="shared" si="2"/>
        <v>0</v>
      </c>
      <c r="Q50" s="140" t="str">
        <f t="shared" si="5"/>
        <v/>
      </c>
      <c r="R50" s="99">
        <f t="shared" si="3"/>
        <v>0</v>
      </c>
      <c r="S50" s="142">
        <f t="shared" si="4"/>
        <v>0</v>
      </c>
      <c r="AC50" s="99">
        <v>60117</v>
      </c>
      <c r="AD50" s="99">
        <f t="shared" si="0"/>
        <v>0</v>
      </c>
      <c r="AG50" s="66">
        <f ca="1">'Table 5-A| Primary MPTE'!B127</f>
        <v>0</v>
      </c>
      <c r="AH50" s="68" t="s">
        <v>2483</v>
      </c>
      <c r="AI50" s="48"/>
      <c r="AJ50" s="48"/>
      <c r="AK50" s="794">
        <f ca="1">IF($AG50=0,0,'Table 5-A| Primary MPTE'!$E$127*VLOOKUP($AG50,$AX$37:$BL$57,5,FALSE))</f>
        <v>0</v>
      </c>
      <c r="AL50" s="794">
        <f ca="1">IF($AG50=0,0,'Table 5-A| Primary MPTE'!$E$127*VLOOKUP($AG50,$AX$37:$BL$57,6,FALSE))</f>
        <v>0</v>
      </c>
      <c r="AM50" s="794">
        <f ca="1">IF($AG50=0,0,'Table 5-A| Primary MPTE'!$E$127*VLOOKUP($AG50,$AX$37:$BL$57,7,FALSE))</f>
        <v>0</v>
      </c>
      <c r="AN50" s="794">
        <f ca="1">IF($AG50=0,0,'Table 5-A| Primary MPTE'!$E$127*VLOOKUP($AG50,$AX$37:$BL$57,8,FALSE))</f>
        <v>0</v>
      </c>
      <c r="AO50" s="794">
        <f ca="1">IF($AG50=0,0,'Table 5-A| Primary MPTE'!$E$127*VLOOKUP($AG50,$AX$37:$BL$57,9,FALSE))</f>
        <v>0</v>
      </c>
      <c r="AP50" s="794">
        <f ca="1">IF($AG50=0,0,'Table 5-A| Primary MPTE'!$E$127*VLOOKUP($AG50,$AX$37:$BL$57,10,FALSE))</f>
        <v>0</v>
      </c>
      <c r="AQ50" s="794">
        <f ca="1">IF($AG50=0,0,'Table 5-A| Primary MPTE'!$E$127*VLOOKUP($AG50,$AX$37:$BL$57,11,FALSE))</f>
        <v>0</v>
      </c>
      <c r="AR50" s="794">
        <f ca="1">IF($AG50=0,0,'Table 5-A| Primary MPTE'!$E$127*VLOOKUP($AG50,$AX$37:$BL$57,12,FALSE))</f>
        <v>0</v>
      </c>
      <c r="AS50" s="794">
        <f ca="1">IF($AG50=0,0,'Table 5-A| Primary MPTE'!$E$127*VLOOKUP($AG50,$AX$37:$BL$57,13,FALSE))</f>
        <v>0</v>
      </c>
      <c r="AT50" s="794">
        <f ca="1">IF($AG50=0,0,'Table 5-A| Primary MPTE'!$E$127*VLOOKUP($AG50,$AX$37:$BL$57,14,FALSE))</f>
        <v>0</v>
      </c>
      <c r="AU50" s="794">
        <f ca="1">IF($AG50=0,0,'Table 5-A| Primary MPTE'!$E$127*VLOOKUP($AG50,$AX$37:$BL$57,15,FALSE))</f>
        <v>0</v>
      </c>
      <c r="AV50" s="539"/>
      <c r="AX50" s="66">
        <v>30500247</v>
      </c>
      <c r="AY50" s="68" t="s">
        <v>2385</v>
      </c>
      <c r="AZ50" s="48"/>
      <c r="BA50" s="48"/>
      <c r="BB50" s="794">
        <v>7.3999999999999999E-4</v>
      </c>
      <c r="BC50" s="794">
        <v>2.7000000000000001E-3</v>
      </c>
      <c r="BD50" s="794">
        <v>2.2000000000000001E-3</v>
      </c>
      <c r="BE50" s="794">
        <v>1E-3</v>
      </c>
      <c r="BF50" s="794">
        <v>0</v>
      </c>
      <c r="BG50" s="794">
        <v>3.6000000000000001E-5</v>
      </c>
      <c r="BH50" s="794">
        <v>2.7999999999999998E-4</v>
      </c>
      <c r="BI50" s="794">
        <v>3.2000000000000003E-4</v>
      </c>
      <c r="BJ50" s="794">
        <v>5.0100000000000003E-4</v>
      </c>
      <c r="BK50" s="794">
        <v>0</v>
      </c>
      <c r="BL50" s="794">
        <v>1.1523E-3</v>
      </c>
      <c r="BM50" s="539" t="s">
        <v>2251</v>
      </c>
    </row>
    <row r="51" spans="1:65" ht="18" customHeight="1" x14ac:dyDescent="0.2">
      <c r="A51" s="368"/>
      <c r="B51" s="369"/>
      <c r="C51" s="370"/>
      <c r="D51" s="499"/>
      <c r="E51" s="371"/>
      <c r="F51" s="351"/>
      <c r="G51" s="372"/>
      <c r="H51" s="354"/>
      <c r="I51" s="527"/>
      <c r="J51" s="355" t="str">
        <f t="shared" si="6"/>
        <v/>
      </c>
      <c r="K51" s="356"/>
      <c r="L51" s="373" t="str">
        <f t="shared" si="7"/>
        <v/>
      </c>
      <c r="N51" s="154"/>
      <c r="P51" s="429">
        <f t="shared" si="2"/>
        <v>0</v>
      </c>
      <c r="Q51" s="140" t="str">
        <f t="shared" si="5"/>
        <v/>
      </c>
      <c r="R51" s="99">
        <f t="shared" si="3"/>
        <v>0</v>
      </c>
      <c r="S51" s="142">
        <f t="shared" si="4"/>
        <v>0</v>
      </c>
      <c r="AC51" s="99">
        <v>60344</v>
      </c>
      <c r="AD51" s="99">
        <f t="shared" si="0"/>
        <v>0</v>
      </c>
      <c r="AG51" s="66">
        <f ca="1">'Table 5-A| Primary MPTE'!B128</f>
        <v>0</v>
      </c>
      <c r="AH51" s="68" t="s">
        <v>2484</v>
      </c>
      <c r="AI51" s="48"/>
      <c r="AJ51" s="48"/>
      <c r="AK51" s="794">
        <f ca="1">IF($AG51=0,0,'Table 5-A| Primary MPTE'!$E$128*VLOOKUP($AG51,$AX$37:$BL$57,5,FALSE))</f>
        <v>0</v>
      </c>
      <c r="AL51" s="794">
        <f ca="1">IF($AG51=0,0,'Table 5-A| Primary MPTE'!$E$128*VLOOKUP($AG51,$AX$37:$BL$57,6,FALSE))</f>
        <v>0</v>
      </c>
      <c r="AM51" s="794">
        <f ca="1">IF($AG51=0,0,'Table 5-A| Primary MPTE'!$E$128*VLOOKUP($AG51,$AX$37:$BL$57,7,FALSE))</f>
        <v>0</v>
      </c>
      <c r="AN51" s="794">
        <f ca="1">IF($AG51=0,0,'Table 5-A| Primary MPTE'!$E$128*VLOOKUP($AG51,$AX$37:$BL$57,8,FALSE))</f>
        <v>0</v>
      </c>
      <c r="AO51" s="794">
        <f ca="1">IF($AG51=0,0,'Table 5-A| Primary MPTE'!$E$128*VLOOKUP($AG51,$AX$37:$BL$57,9,FALSE))</f>
        <v>0</v>
      </c>
      <c r="AP51" s="794">
        <f ca="1">IF($AG51=0,0,'Table 5-A| Primary MPTE'!$E$128*VLOOKUP($AG51,$AX$37:$BL$57,10,FALSE))</f>
        <v>0</v>
      </c>
      <c r="AQ51" s="794">
        <f ca="1">IF($AG51=0,0,'Table 5-A| Primary MPTE'!$E$128*VLOOKUP($AG51,$AX$37:$BL$57,11,FALSE))</f>
        <v>0</v>
      </c>
      <c r="AR51" s="794">
        <f ca="1">IF($AG51=0,0,'Table 5-A| Primary MPTE'!$E$128*VLOOKUP($AG51,$AX$37:$BL$57,12,FALSE))</f>
        <v>0</v>
      </c>
      <c r="AS51" s="794">
        <f ca="1">IF($AG51=0,0,'Table 5-A| Primary MPTE'!$E$128*VLOOKUP($AG51,$AX$37:$BL$57,13,FALSE))</f>
        <v>0</v>
      </c>
      <c r="AT51" s="794">
        <f ca="1">IF($AG51=0,0,'Table 5-A| Primary MPTE'!$E$128*VLOOKUP($AG51,$AX$37:$BL$57,14,FALSE))</f>
        <v>0</v>
      </c>
      <c r="AU51" s="794">
        <f ca="1">IF($AG51=0,0,'Table 5-A| Primary MPTE'!$E$128*VLOOKUP($AG51,$AX$37:$BL$57,15,FALSE))</f>
        <v>0</v>
      </c>
      <c r="AV51" s="539"/>
      <c r="AX51" s="66">
        <v>30500256</v>
      </c>
      <c r="AY51" s="68" t="s">
        <v>2388</v>
      </c>
      <c r="AZ51" s="48"/>
      <c r="BA51" s="48"/>
      <c r="BB51" s="794">
        <v>3.0999999999999999E-3</v>
      </c>
      <c r="BC51" s="794">
        <v>2.0000000000000001E-4</v>
      </c>
      <c r="BD51" s="794">
        <v>2.4000000000000001E-4</v>
      </c>
      <c r="BE51" s="794">
        <v>1.4999999999999999E-4</v>
      </c>
      <c r="BF51" s="794">
        <v>9.2000000000000003E-4</v>
      </c>
      <c r="BG51" s="794">
        <v>9.0000000000000006E-5</v>
      </c>
      <c r="BH51" s="794">
        <v>3.8999999999999999E-4</v>
      </c>
      <c r="BI51" s="794">
        <v>0</v>
      </c>
      <c r="BJ51" s="794">
        <v>1.7829278582477855E-2</v>
      </c>
      <c r="BK51" s="794">
        <v>7.9240000000000005E-3</v>
      </c>
      <c r="BL51" s="794">
        <v>2.1791000000000002E-3</v>
      </c>
      <c r="BM51" s="539" t="s">
        <v>2251</v>
      </c>
    </row>
    <row r="52" spans="1:65" ht="18" customHeight="1" x14ac:dyDescent="0.2">
      <c r="A52" s="368"/>
      <c r="B52" s="369"/>
      <c r="C52" s="370"/>
      <c r="D52" s="499"/>
      <c r="E52" s="371"/>
      <c r="F52" s="351"/>
      <c r="G52" s="372"/>
      <c r="H52" s="354"/>
      <c r="I52" s="527"/>
      <c r="J52" s="355" t="str">
        <f t="shared" si="6"/>
        <v/>
      </c>
      <c r="K52" s="356"/>
      <c r="L52" s="373" t="str">
        <f t="shared" si="7"/>
        <v/>
      </c>
      <c r="N52" s="154"/>
      <c r="P52" s="429">
        <f t="shared" si="2"/>
        <v>0</v>
      </c>
      <c r="Q52" s="140" t="str">
        <f t="shared" si="5"/>
        <v/>
      </c>
      <c r="R52" s="99">
        <f t="shared" si="3"/>
        <v>0</v>
      </c>
      <c r="S52" s="142">
        <f t="shared" si="4"/>
        <v>0</v>
      </c>
      <c r="AC52" s="99">
        <v>60355</v>
      </c>
      <c r="AD52" s="99">
        <f t="shared" si="0"/>
        <v>0</v>
      </c>
      <c r="AG52" s="66">
        <f ca="1">'Table 5-A| Primary MPTE'!B129</f>
        <v>0</v>
      </c>
      <c r="AH52" s="68" t="s">
        <v>2485</v>
      </c>
      <c r="AI52" s="48"/>
      <c r="AJ52" s="48"/>
      <c r="AK52" s="794">
        <f ca="1">IF($AG52=0,0,'Table 5-A| Primary MPTE'!$E$129*VLOOKUP($AG52,$AX$37:$BL$57,5,FALSE))</f>
        <v>0</v>
      </c>
      <c r="AL52" s="794">
        <f ca="1">IF($AG52=0,0,'Table 5-A| Primary MPTE'!$E$129*VLOOKUP($AG52,$AX$37:$BL$57,6,FALSE))</f>
        <v>0</v>
      </c>
      <c r="AM52" s="794">
        <f ca="1">IF($AG52=0,0,'Table 5-A| Primary MPTE'!$E$129*VLOOKUP($AG52,$AX$37:$BL$57,7,FALSE))</f>
        <v>0</v>
      </c>
      <c r="AN52" s="794">
        <f ca="1">IF($AG52=0,0,'Table 5-A| Primary MPTE'!$E$129*VLOOKUP($AG52,$AX$37:$BL$57,8,FALSE))</f>
        <v>0</v>
      </c>
      <c r="AO52" s="794">
        <f ca="1">IF($AG52=0,0,'Table 5-A| Primary MPTE'!$E$129*VLOOKUP($AG52,$AX$37:$BL$57,9,FALSE))</f>
        <v>0</v>
      </c>
      <c r="AP52" s="794">
        <f ca="1">IF($AG52=0,0,'Table 5-A| Primary MPTE'!$E$129*VLOOKUP($AG52,$AX$37:$BL$57,10,FALSE))</f>
        <v>0</v>
      </c>
      <c r="AQ52" s="794">
        <f ca="1">IF($AG52=0,0,'Table 5-A| Primary MPTE'!$E$129*VLOOKUP($AG52,$AX$37:$BL$57,11,FALSE))</f>
        <v>0</v>
      </c>
      <c r="AR52" s="794">
        <f ca="1">IF($AG52=0,0,'Table 5-A| Primary MPTE'!$E$129*VLOOKUP($AG52,$AX$37:$BL$57,12,FALSE))</f>
        <v>0</v>
      </c>
      <c r="AS52" s="794">
        <f ca="1">IF($AG52=0,0,'Table 5-A| Primary MPTE'!$E$129*VLOOKUP($AG52,$AX$37:$BL$57,13,FALSE))</f>
        <v>0</v>
      </c>
      <c r="AT52" s="794">
        <f ca="1">IF($AG52=0,0,'Table 5-A| Primary MPTE'!$E$129*VLOOKUP($AG52,$AX$37:$BL$57,14,FALSE))</f>
        <v>0</v>
      </c>
      <c r="AU52" s="794">
        <f ca="1">IF($AG52=0,0,'Table 5-A| Primary MPTE'!$E$129*VLOOKUP($AG52,$AX$37:$BL$57,15,FALSE))</f>
        <v>0</v>
      </c>
      <c r="AV52" s="539"/>
      <c r="AX52" s="66">
        <v>30500257</v>
      </c>
      <c r="AY52" s="68" t="s">
        <v>2389</v>
      </c>
      <c r="AZ52" s="48"/>
      <c r="BA52" s="48"/>
      <c r="BB52" s="794">
        <v>3.0999999999999999E-3</v>
      </c>
      <c r="BC52" s="794">
        <v>2.0000000000000001E-4</v>
      </c>
      <c r="BD52" s="794">
        <v>2.4000000000000001E-4</v>
      </c>
      <c r="BE52" s="794">
        <v>1.4999999999999999E-4</v>
      </c>
      <c r="BF52" s="794">
        <v>9.2000000000000003E-4</v>
      </c>
      <c r="BG52" s="794">
        <v>9.0000000000000006E-5</v>
      </c>
      <c r="BH52" s="794">
        <v>3.8999999999999999E-4</v>
      </c>
      <c r="BI52" s="794">
        <v>0</v>
      </c>
      <c r="BJ52" s="794">
        <v>1.7829278582477855E-2</v>
      </c>
      <c r="BK52" s="794">
        <v>7.9240000000000005E-3</v>
      </c>
      <c r="BL52" s="794">
        <v>2.1791000000000002E-3</v>
      </c>
      <c r="BM52" s="539" t="s">
        <v>2251</v>
      </c>
    </row>
    <row r="53" spans="1:65" ht="18" customHeight="1" thickBot="1" x14ac:dyDescent="0.25">
      <c r="A53" s="368"/>
      <c r="B53" s="369"/>
      <c r="C53" s="370"/>
      <c r="D53" s="499"/>
      <c r="E53" s="371"/>
      <c r="F53" s="351"/>
      <c r="G53" s="372"/>
      <c r="H53" s="354"/>
      <c r="I53" s="527"/>
      <c r="J53" s="355" t="str">
        <f t="shared" si="6"/>
        <v/>
      </c>
      <c r="K53" s="356"/>
      <c r="L53" s="373" t="str">
        <f t="shared" si="7"/>
        <v/>
      </c>
      <c r="N53" s="154"/>
      <c r="P53" s="429">
        <f t="shared" si="2"/>
        <v>0</v>
      </c>
      <c r="Q53" s="140" t="str">
        <f t="shared" si="5"/>
        <v/>
      </c>
      <c r="R53" s="99">
        <f t="shared" si="3"/>
        <v>0</v>
      </c>
      <c r="S53" s="142">
        <f t="shared" si="4"/>
        <v>0</v>
      </c>
      <c r="AC53" s="99">
        <v>62533</v>
      </c>
      <c r="AD53" s="99">
        <f t="shared" si="0"/>
        <v>0</v>
      </c>
      <c r="AG53" s="66"/>
      <c r="AH53" s="68"/>
      <c r="AI53" s="48"/>
      <c r="AJ53" s="48"/>
      <c r="AV53" s="539"/>
      <c r="AX53" s="66">
        <v>30500259</v>
      </c>
      <c r="AY53" s="68" t="s">
        <v>2390</v>
      </c>
      <c r="AZ53" s="48"/>
      <c r="BA53" s="48"/>
      <c r="BB53" s="794">
        <v>3.0999999999999999E-3</v>
      </c>
      <c r="BC53" s="794">
        <v>2.0000000000000001E-4</v>
      </c>
      <c r="BD53" s="794">
        <v>2.4000000000000001E-4</v>
      </c>
      <c r="BE53" s="794">
        <v>2.8999999999999998E-3</v>
      </c>
      <c r="BF53" s="794">
        <v>9.2000000000000003E-4</v>
      </c>
      <c r="BG53" s="794">
        <v>6.4999999999999997E-4</v>
      </c>
      <c r="BH53" s="794">
        <v>3.8999999999999999E-4</v>
      </c>
      <c r="BI53" s="794">
        <v>0</v>
      </c>
      <c r="BJ53" s="794">
        <v>1.2999999999999999E-3</v>
      </c>
      <c r="BK53" s="794">
        <v>1.1999999999999999E-3</v>
      </c>
      <c r="BL53" s="794">
        <v>6.4999999999999997E-4</v>
      </c>
      <c r="BM53" s="539" t="s">
        <v>2251</v>
      </c>
    </row>
    <row r="54" spans="1:65" ht="18" customHeight="1" thickBot="1" x14ac:dyDescent="0.25">
      <c r="A54" s="368"/>
      <c r="B54" s="369"/>
      <c r="C54" s="370"/>
      <c r="D54" s="499"/>
      <c r="E54" s="371"/>
      <c r="F54" s="351"/>
      <c r="G54" s="372"/>
      <c r="H54" s="354"/>
      <c r="I54" s="527"/>
      <c r="J54" s="355" t="str">
        <f t="shared" si="6"/>
        <v/>
      </c>
      <c r="K54" s="356"/>
      <c r="L54" s="373" t="str">
        <f t="shared" si="7"/>
        <v/>
      </c>
      <c r="N54" s="154"/>
      <c r="P54" s="429">
        <f t="shared" si="2"/>
        <v>0</v>
      </c>
      <c r="Q54" s="140" t="str">
        <f t="shared" si="5"/>
        <v/>
      </c>
      <c r="R54" s="99">
        <f t="shared" si="3"/>
        <v>0</v>
      </c>
      <c r="S54" s="142">
        <f t="shared" si="4"/>
        <v>0</v>
      </c>
      <c r="AC54" s="99">
        <v>62737</v>
      </c>
      <c r="AD54" s="99">
        <f t="shared" si="0"/>
        <v>0</v>
      </c>
      <c r="AG54" s="1189" t="s">
        <v>2491</v>
      </c>
      <c r="AH54" s="1388"/>
      <c r="AI54" s="1388"/>
      <c r="AJ54" s="1388"/>
      <c r="AK54" s="1388"/>
      <c r="AL54" s="1388"/>
      <c r="AM54" s="1388"/>
      <c r="AN54" s="1388"/>
      <c r="AO54" s="1388"/>
      <c r="AP54" s="1388"/>
      <c r="AQ54" s="1388"/>
      <c r="AR54" s="1388"/>
      <c r="AS54" s="1388"/>
      <c r="AT54" s="1388"/>
      <c r="AU54" s="1190"/>
      <c r="AV54" s="539"/>
      <c r="AX54" s="66">
        <v>30500260</v>
      </c>
      <c r="AY54" s="68" t="s">
        <v>2391</v>
      </c>
      <c r="AZ54" s="48"/>
      <c r="BA54" s="48"/>
      <c r="BB54" s="794">
        <v>3.0999999999999999E-3</v>
      </c>
      <c r="BC54" s="794">
        <v>2.0000000000000001E-4</v>
      </c>
      <c r="BD54" s="794">
        <v>2.4000000000000001E-4</v>
      </c>
      <c r="BE54" s="794">
        <v>2.8999999999999998E-3</v>
      </c>
      <c r="BF54" s="794">
        <v>9.2000000000000003E-4</v>
      </c>
      <c r="BG54" s="794">
        <v>6.4999999999999997E-4</v>
      </c>
      <c r="BH54" s="794">
        <v>3.8999999999999999E-4</v>
      </c>
      <c r="BI54" s="794">
        <v>0</v>
      </c>
      <c r="BJ54" s="794">
        <v>1.2999999999999999E-3</v>
      </c>
      <c r="BK54" s="794">
        <v>1.1999999999999999E-3</v>
      </c>
      <c r="BL54" s="794">
        <v>6.4999999999999997E-4</v>
      </c>
      <c r="BM54" s="539" t="s">
        <v>2251</v>
      </c>
    </row>
    <row r="55" spans="1:65" ht="18" customHeight="1" thickBot="1" x14ac:dyDescent="0.25">
      <c r="A55" s="368"/>
      <c r="B55" s="369"/>
      <c r="C55" s="370"/>
      <c r="D55" s="499"/>
      <c r="E55" s="371"/>
      <c r="F55" s="351"/>
      <c r="G55" s="372"/>
      <c r="H55" s="354"/>
      <c r="I55" s="527"/>
      <c r="J55" s="355" t="str">
        <f t="shared" si="6"/>
        <v/>
      </c>
      <c r="K55" s="356"/>
      <c r="L55" s="373" t="str">
        <f t="shared" si="7"/>
        <v/>
      </c>
      <c r="N55" s="154"/>
      <c r="P55" s="429">
        <f t="shared" si="2"/>
        <v>0</v>
      </c>
      <c r="Q55" s="140" t="str">
        <f t="shared" si="5"/>
        <v/>
      </c>
      <c r="R55" s="99">
        <f t="shared" si="3"/>
        <v>0</v>
      </c>
      <c r="S55" s="142">
        <f t="shared" si="4"/>
        <v>0</v>
      </c>
      <c r="AC55" s="99">
        <v>62759</v>
      </c>
      <c r="AD55" s="99">
        <f t="shared" si="0"/>
        <v>0</v>
      </c>
      <c r="AG55" s="795" t="s">
        <v>271</v>
      </c>
      <c r="AH55" s="1189" t="s">
        <v>2043</v>
      </c>
      <c r="AI55" s="1388"/>
      <c r="AJ55" s="1190"/>
      <c r="AK55" s="775" t="s">
        <v>74</v>
      </c>
      <c r="AL55" s="790" t="s">
        <v>1550</v>
      </c>
      <c r="AM55" s="791" t="s">
        <v>2467</v>
      </c>
      <c r="AN55" s="791" t="s">
        <v>1</v>
      </c>
      <c r="AO55" s="791" t="s">
        <v>2468</v>
      </c>
      <c r="AP55" s="791" t="s">
        <v>139</v>
      </c>
      <c r="AQ55" s="791" t="s">
        <v>99</v>
      </c>
      <c r="AR55" s="791" t="s">
        <v>108</v>
      </c>
      <c r="AS55" s="790" t="s">
        <v>239</v>
      </c>
      <c r="AT55" s="790" t="s">
        <v>249</v>
      </c>
      <c r="AU55" s="792" t="s">
        <v>237</v>
      </c>
      <c r="AV55" s="539"/>
      <c r="AX55" s="66">
        <v>30500262</v>
      </c>
      <c r="AY55" s="68" t="s">
        <v>2386</v>
      </c>
      <c r="AZ55" s="48"/>
      <c r="BA55" s="48"/>
      <c r="BB55" s="794">
        <v>3.0999999999999999E-3</v>
      </c>
      <c r="BC55" s="794">
        <v>2.0000000000000001E-4</v>
      </c>
      <c r="BD55" s="794">
        <v>2.4000000000000001E-4</v>
      </c>
      <c r="BE55" s="794">
        <v>2.8999999999999998E-3</v>
      </c>
      <c r="BF55" s="794">
        <v>9.2000000000000003E-4</v>
      </c>
      <c r="BG55" s="794">
        <v>6.4999999999999997E-4</v>
      </c>
      <c r="BH55" s="794">
        <v>3.8999999999999999E-4</v>
      </c>
      <c r="BI55" s="794">
        <v>1.2999999999999999E-3</v>
      </c>
      <c r="BJ55" s="794">
        <v>1.7829000000000001E-2</v>
      </c>
      <c r="BK55" s="794">
        <v>7.9240000000000005E-3</v>
      </c>
      <c r="BL55" s="794">
        <v>2.1791000000000002E-3</v>
      </c>
      <c r="BM55" s="539" t="s">
        <v>2251</v>
      </c>
    </row>
    <row r="56" spans="1:65" ht="18" customHeight="1" x14ac:dyDescent="0.2">
      <c r="A56" s="368"/>
      <c r="B56" s="369"/>
      <c r="C56" s="370"/>
      <c r="D56" s="499"/>
      <c r="E56" s="371"/>
      <c r="F56" s="351"/>
      <c r="G56" s="372"/>
      <c r="H56" s="354"/>
      <c r="I56" s="527"/>
      <c r="J56" s="355" t="str">
        <f t="shared" si="6"/>
        <v/>
      </c>
      <c r="K56" s="356"/>
      <c r="L56" s="373" t="str">
        <f t="shared" si="7"/>
        <v/>
      </c>
      <c r="N56" s="154"/>
      <c r="P56" s="429">
        <f t="shared" si="2"/>
        <v>0</v>
      </c>
      <c r="Q56" s="140" t="str">
        <f t="shared" si="5"/>
        <v/>
      </c>
      <c r="R56" s="99">
        <f t="shared" si="3"/>
        <v>0</v>
      </c>
      <c r="S56" s="142">
        <f t="shared" si="4"/>
        <v>0</v>
      </c>
      <c r="AC56" s="99">
        <v>63252</v>
      </c>
      <c r="AD56" s="99">
        <f t="shared" si="0"/>
        <v>0</v>
      </c>
      <c r="AG56" s="66">
        <f ca="1">AG37</f>
        <v>0</v>
      </c>
      <c r="AH56" s="68" t="s">
        <v>2470</v>
      </c>
      <c r="AI56" s="48"/>
      <c r="AJ56" s="48"/>
      <c r="AK56" s="793">
        <f ca="1">AK37</f>
        <v>0</v>
      </c>
      <c r="AL56" s="793">
        <f t="shared" ref="AL56:AU56" ca="1" si="8">AL37</f>
        <v>0</v>
      </c>
      <c r="AM56" s="794">
        <f t="shared" ca="1" si="8"/>
        <v>0</v>
      </c>
      <c r="AN56" s="794">
        <f t="shared" ca="1" si="8"/>
        <v>0</v>
      </c>
      <c r="AO56" s="794">
        <f t="shared" ca="1" si="8"/>
        <v>0</v>
      </c>
      <c r="AP56" s="794">
        <f t="shared" ca="1" si="8"/>
        <v>0</v>
      </c>
      <c r="AQ56" s="794">
        <f t="shared" ca="1" si="8"/>
        <v>0</v>
      </c>
      <c r="AR56" s="794">
        <f t="shared" ca="1" si="8"/>
        <v>0</v>
      </c>
      <c r="AS56" s="794">
        <f t="shared" ca="1" si="8"/>
        <v>0</v>
      </c>
      <c r="AT56" s="794">
        <f t="shared" ca="1" si="8"/>
        <v>0</v>
      </c>
      <c r="AU56" s="794">
        <f t="shared" ca="1" si="8"/>
        <v>0</v>
      </c>
      <c r="AV56" s="539"/>
      <c r="AX56" s="66">
        <v>30500263</v>
      </c>
      <c r="AY56" s="68" t="s">
        <v>2387</v>
      </c>
      <c r="AZ56" s="48"/>
      <c r="BA56" s="48"/>
      <c r="BB56" s="794">
        <v>3.0999999999999999E-3</v>
      </c>
      <c r="BC56" s="794">
        <v>2.0000000000000001E-4</v>
      </c>
      <c r="BD56" s="794">
        <v>2.4000000000000001E-4</v>
      </c>
      <c r="BE56" s="794">
        <v>2.8999999999999998E-3</v>
      </c>
      <c r="BF56" s="794">
        <v>9.2000000000000003E-4</v>
      </c>
      <c r="BG56" s="794">
        <v>6.4999999999999997E-4</v>
      </c>
      <c r="BH56" s="794">
        <v>3.8999999999999999E-4</v>
      </c>
      <c r="BI56" s="794">
        <v>1.2999999999999999E-3</v>
      </c>
      <c r="BJ56" s="794">
        <v>1.7829000000000001E-2</v>
      </c>
      <c r="BK56" s="794">
        <v>7.9240000000000005E-3</v>
      </c>
      <c r="BL56" s="794">
        <v>2.1791000000000002E-3</v>
      </c>
      <c r="BM56" s="539" t="s">
        <v>2251</v>
      </c>
    </row>
    <row r="57" spans="1:65" ht="18" customHeight="1" x14ac:dyDescent="0.2">
      <c r="A57" s="368"/>
      <c r="B57" s="369"/>
      <c r="C57" s="370"/>
      <c r="D57" s="499"/>
      <c r="E57" s="371"/>
      <c r="F57" s="351"/>
      <c r="G57" s="372"/>
      <c r="H57" s="354"/>
      <c r="I57" s="527"/>
      <c r="J57" s="355" t="str">
        <f t="shared" si="6"/>
        <v/>
      </c>
      <c r="K57" s="356"/>
      <c r="L57" s="373" t="str">
        <f t="shared" si="7"/>
        <v/>
      </c>
      <c r="N57" s="154"/>
      <c r="P57" s="429">
        <f t="shared" si="2"/>
        <v>0</v>
      </c>
      <c r="Q57" s="140" t="str">
        <f t="shared" si="5"/>
        <v/>
      </c>
      <c r="R57" s="99">
        <f t="shared" si="3"/>
        <v>0</v>
      </c>
      <c r="S57" s="142">
        <f t="shared" si="4"/>
        <v>0</v>
      </c>
      <c r="AC57" s="99">
        <v>64675</v>
      </c>
      <c r="AD57" s="99">
        <f t="shared" si="0"/>
        <v>0</v>
      </c>
      <c r="AG57" s="66" t="s">
        <v>2200</v>
      </c>
      <c r="AH57" s="68" t="s">
        <v>2487</v>
      </c>
      <c r="AI57" s="48"/>
      <c r="AJ57" s="48"/>
      <c r="AK57" s="794">
        <f ca="1">LARGE(AK38:AK40,1)</f>
        <v>0</v>
      </c>
      <c r="AL57" s="794">
        <f t="shared" ref="AL57:AU57" ca="1" si="9">LARGE(AL38:AL40,1)</f>
        <v>0</v>
      </c>
      <c r="AM57" s="794">
        <f t="shared" ca="1" si="9"/>
        <v>0</v>
      </c>
      <c r="AN57" s="794">
        <f t="shared" ca="1" si="9"/>
        <v>0</v>
      </c>
      <c r="AO57" s="794">
        <f t="shared" ca="1" si="9"/>
        <v>0</v>
      </c>
      <c r="AP57" s="794">
        <f t="shared" ca="1" si="9"/>
        <v>0</v>
      </c>
      <c r="AQ57" s="794">
        <f t="shared" ca="1" si="9"/>
        <v>0</v>
      </c>
      <c r="AR57" s="794">
        <f t="shared" ca="1" si="9"/>
        <v>0</v>
      </c>
      <c r="AS57" s="794">
        <f t="shared" ca="1" si="9"/>
        <v>0</v>
      </c>
      <c r="AT57" s="794">
        <f t="shared" ca="1" si="9"/>
        <v>0</v>
      </c>
      <c r="AU57" s="794">
        <f t="shared" ca="1" si="9"/>
        <v>0</v>
      </c>
      <c r="AV57" s="539"/>
      <c r="AX57" s="66">
        <v>30500270</v>
      </c>
      <c r="AY57" s="68" t="s">
        <v>2397</v>
      </c>
      <c r="AZ57" s="48"/>
      <c r="BA57" s="48"/>
      <c r="BB57" s="794">
        <v>9.7000000000000003E-7</v>
      </c>
      <c r="BC57" s="794">
        <v>4.5000000000000001E-6</v>
      </c>
      <c r="BD57" s="794">
        <v>3.1E-6</v>
      </c>
      <c r="BE57" s="794">
        <v>2.3E-6</v>
      </c>
      <c r="BF57" s="794">
        <v>1.7E-6</v>
      </c>
      <c r="BG57" s="794">
        <v>0</v>
      </c>
      <c r="BH57" s="794">
        <v>5.7000000000000005E-7</v>
      </c>
      <c r="BI57" s="794">
        <v>0</v>
      </c>
      <c r="BJ57" s="794">
        <v>0</v>
      </c>
      <c r="BK57" s="794">
        <v>0</v>
      </c>
      <c r="BL57" s="794">
        <v>0</v>
      </c>
      <c r="BM57" s="539" t="s">
        <v>2251</v>
      </c>
    </row>
    <row r="58" spans="1:65" ht="18" customHeight="1" x14ac:dyDescent="0.2">
      <c r="A58" s="368"/>
      <c r="B58" s="369"/>
      <c r="C58" s="370"/>
      <c r="D58" s="499"/>
      <c r="E58" s="371"/>
      <c r="F58" s="351"/>
      <c r="G58" s="372"/>
      <c r="H58" s="354"/>
      <c r="I58" s="527"/>
      <c r="J58" s="355" t="str">
        <f t="shared" si="6"/>
        <v/>
      </c>
      <c r="K58" s="356"/>
      <c r="L58" s="373" t="str">
        <f t="shared" si="7"/>
        <v/>
      </c>
      <c r="N58" s="154"/>
      <c r="P58" s="429">
        <f t="shared" si="2"/>
        <v>0</v>
      </c>
      <c r="Q58" s="140" t="str">
        <f t="shared" si="5"/>
        <v/>
      </c>
      <c r="R58" s="99">
        <f t="shared" si="3"/>
        <v>0</v>
      </c>
      <c r="S58" s="142">
        <f t="shared" si="4"/>
        <v>0</v>
      </c>
      <c r="AC58" s="99">
        <v>67561</v>
      </c>
      <c r="AD58" s="99">
        <f t="shared" si="0"/>
        <v>0</v>
      </c>
      <c r="AG58" s="66">
        <f ca="1">AG41</f>
        <v>0</v>
      </c>
      <c r="AH58" s="68" t="s">
        <v>2474</v>
      </c>
      <c r="AI58" s="48"/>
      <c r="AJ58" s="48"/>
      <c r="AK58" s="794">
        <f ca="1">AK41</f>
        <v>0</v>
      </c>
      <c r="AL58" s="794">
        <f t="shared" ref="AL58:AU58" ca="1" si="10">AL41</f>
        <v>0</v>
      </c>
      <c r="AM58" s="794">
        <f t="shared" ca="1" si="10"/>
        <v>0</v>
      </c>
      <c r="AN58" s="794">
        <f t="shared" ca="1" si="10"/>
        <v>0</v>
      </c>
      <c r="AO58" s="794">
        <f t="shared" ca="1" si="10"/>
        <v>0</v>
      </c>
      <c r="AP58" s="794">
        <f t="shared" ca="1" si="10"/>
        <v>0</v>
      </c>
      <c r="AQ58" s="794">
        <f t="shared" ca="1" si="10"/>
        <v>0</v>
      </c>
      <c r="AR58" s="794">
        <f t="shared" ca="1" si="10"/>
        <v>0</v>
      </c>
      <c r="AS58" s="794">
        <f t="shared" ca="1" si="10"/>
        <v>0</v>
      </c>
      <c r="AT58" s="794">
        <f t="shared" ca="1" si="10"/>
        <v>0</v>
      </c>
      <c r="AU58" s="794">
        <f t="shared" ca="1" si="10"/>
        <v>0</v>
      </c>
      <c r="AX58" s="66"/>
      <c r="AY58" s="68"/>
      <c r="AZ58" s="48"/>
      <c r="BA58" s="48"/>
    </row>
    <row r="59" spans="1:65" ht="18" customHeight="1" x14ac:dyDescent="0.2">
      <c r="A59" s="368"/>
      <c r="B59" s="369"/>
      <c r="C59" s="370"/>
      <c r="D59" s="499"/>
      <c r="E59" s="371"/>
      <c r="F59" s="351"/>
      <c r="G59" s="372"/>
      <c r="H59" s="354"/>
      <c r="I59" s="527"/>
      <c r="J59" s="355" t="str">
        <f t="shared" si="6"/>
        <v/>
      </c>
      <c r="K59" s="356"/>
      <c r="L59" s="373" t="str">
        <f t="shared" si="7"/>
        <v/>
      </c>
      <c r="N59" s="154"/>
      <c r="P59" s="429">
        <f t="shared" si="2"/>
        <v>0</v>
      </c>
      <c r="Q59" s="140" t="str">
        <f t="shared" si="5"/>
        <v/>
      </c>
      <c r="R59" s="99">
        <f t="shared" si="3"/>
        <v>0</v>
      </c>
      <c r="S59" s="142">
        <f t="shared" si="4"/>
        <v>0</v>
      </c>
      <c r="AC59" s="99">
        <v>67663</v>
      </c>
      <c r="AD59" s="99">
        <f t="shared" si="0"/>
        <v>0</v>
      </c>
      <c r="AG59" s="66" t="s">
        <v>2200</v>
      </c>
      <c r="AH59" s="68" t="s">
        <v>2489</v>
      </c>
      <c r="AI59" s="48"/>
      <c r="AJ59" s="48"/>
      <c r="AK59" s="794">
        <f ca="1">LARGE(AK42:AK44,1)</f>
        <v>0</v>
      </c>
      <c r="AL59" s="794">
        <f t="shared" ref="AL59:AU59" ca="1" si="11">LARGE(AL42:AL44,1)</f>
        <v>0</v>
      </c>
      <c r="AM59" s="794">
        <f t="shared" ca="1" si="11"/>
        <v>0</v>
      </c>
      <c r="AN59" s="794">
        <f t="shared" ca="1" si="11"/>
        <v>0</v>
      </c>
      <c r="AO59" s="794">
        <f t="shared" ca="1" si="11"/>
        <v>0</v>
      </c>
      <c r="AP59" s="794">
        <f t="shared" ca="1" si="11"/>
        <v>0</v>
      </c>
      <c r="AQ59" s="794">
        <f t="shared" ca="1" si="11"/>
        <v>0</v>
      </c>
      <c r="AR59" s="794">
        <f t="shared" ca="1" si="11"/>
        <v>0</v>
      </c>
      <c r="AS59" s="794">
        <f t="shared" ca="1" si="11"/>
        <v>0</v>
      </c>
      <c r="AT59" s="794">
        <f t="shared" ca="1" si="11"/>
        <v>0</v>
      </c>
      <c r="AU59" s="794">
        <f t="shared" ca="1" si="11"/>
        <v>0</v>
      </c>
      <c r="AX59" s="66"/>
      <c r="AY59" s="68"/>
      <c r="AZ59" s="48"/>
      <c r="BA59" s="48"/>
    </row>
    <row r="60" spans="1:65" ht="18" customHeight="1" x14ac:dyDescent="0.2">
      <c r="A60" s="368"/>
      <c r="B60" s="369"/>
      <c r="C60" s="370"/>
      <c r="D60" s="499"/>
      <c r="E60" s="371"/>
      <c r="F60" s="351"/>
      <c r="G60" s="372"/>
      <c r="H60" s="354"/>
      <c r="I60" s="527"/>
      <c r="J60" s="355" t="str">
        <f t="shared" si="6"/>
        <v/>
      </c>
      <c r="K60" s="356"/>
      <c r="L60" s="373" t="str">
        <f t="shared" si="7"/>
        <v/>
      </c>
      <c r="N60" s="154"/>
      <c r="P60" s="429">
        <f t="shared" si="2"/>
        <v>0</v>
      </c>
      <c r="Q60" s="140" t="str">
        <f t="shared" si="5"/>
        <v/>
      </c>
      <c r="R60" s="99">
        <f t="shared" si="3"/>
        <v>0</v>
      </c>
      <c r="S60" s="142">
        <f t="shared" si="4"/>
        <v>0</v>
      </c>
      <c r="AC60" s="99">
        <v>67721</v>
      </c>
      <c r="AD60" s="99">
        <f t="shared" si="0"/>
        <v>0</v>
      </c>
      <c r="AG60" s="66">
        <f ca="1">AG45</f>
        <v>0</v>
      </c>
      <c r="AH60" s="68" t="s">
        <v>2478</v>
      </c>
      <c r="AI60" s="48"/>
      <c r="AJ60" s="48"/>
      <c r="AK60" s="794">
        <f ca="1">AK45</f>
        <v>0</v>
      </c>
      <c r="AL60" s="794">
        <f t="shared" ref="AL60:AU60" ca="1" si="12">AL45</f>
        <v>0</v>
      </c>
      <c r="AM60" s="794">
        <f t="shared" ca="1" si="12"/>
        <v>0</v>
      </c>
      <c r="AN60" s="794">
        <f t="shared" ca="1" si="12"/>
        <v>0</v>
      </c>
      <c r="AO60" s="794">
        <f t="shared" ca="1" si="12"/>
        <v>0</v>
      </c>
      <c r="AP60" s="794">
        <f t="shared" ca="1" si="12"/>
        <v>0</v>
      </c>
      <c r="AQ60" s="794">
        <f t="shared" ca="1" si="12"/>
        <v>0</v>
      </c>
      <c r="AR60" s="794">
        <f t="shared" ca="1" si="12"/>
        <v>0</v>
      </c>
      <c r="AS60" s="794">
        <f t="shared" ca="1" si="12"/>
        <v>0</v>
      </c>
      <c r="AT60" s="794">
        <f t="shared" ca="1" si="12"/>
        <v>0</v>
      </c>
      <c r="AU60" s="794">
        <f t="shared" ca="1" si="12"/>
        <v>0</v>
      </c>
      <c r="AX60" s="66"/>
      <c r="AY60" s="68"/>
      <c r="AZ60" s="48"/>
      <c r="BA60" s="48"/>
    </row>
    <row r="61" spans="1:65" ht="18" customHeight="1" x14ac:dyDescent="0.2">
      <c r="A61" s="368"/>
      <c r="B61" s="369"/>
      <c r="C61" s="370"/>
      <c r="D61" s="499"/>
      <c r="E61" s="371"/>
      <c r="F61" s="351"/>
      <c r="G61" s="372"/>
      <c r="H61" s="354"/>
      <c r="I61" s="527"/>
      <c r="J61" s="355" t="str">
        <f t="shared" si="6"/>
        <v/>
      </c>
      <c r="K61" s="356"/>
      <c r="L61" s="373" t="str">
        <f t="shared" si="7"/>
        <v/>
      </c>
      <c r="N61" s="154"/>
      <c r="P61" s="429">
        <f t="shared" si="2"/>
        <v>0</v>
      </c>
      <c r="Q61" s="140" t="str">
        <f t="shared" si="5"/>
        <v/>
      </c>
      <c r="R61" s="99">
        <f t="shared" si="3"/>
        <v>0</v>
      </c>
      <c r="S61" s="142">
        <f t="shared" si="4"/>
        <v>0</v>
      </c>
      <c r="AC61" s="99">
        <v>68122</v>
      </c>
      <c r="AD61" s="99">
        <f t="shared" si="0"/>
        <v>0</v>
      </c>
      <c r="AG61" s="66" t="s">
        <v>2200</v>
      </c>
      <c r="AH61" s="68" t="s">
        <v>2488</v>
      </c>
      <c r="AI61" s="48"/>
      <c r="AJ61" s="48"/>
      <c r="AK61" s="794">
        <f ca="1">LARGE(AK46:AK48,1)</f>
        <v>0</v>
      </c>
      <c r="AL61" s="794">
        <f t="shared" ref="AL61:AU61" ca="1" si="13">LARGE(AL46:AL48,1)</f>
        <v>0</v>
      </c>
      <c r="AM61" s="794">
        <f t="shared" ca="1" si="13"/>
        <v>0</v>
      </c>
      <c r="AN61" s="794">
        <f t="shared" ca="1" si="13"/>
        <v>0</v>
      </c>
      <c r="AO61" s="794">
        <f t="shared" ca="1" si="13"/>
        <v>0</v>
      </c>
      <c r="AP61" s="794">
        <f t="shared" ca="1" si="13"/>
        <v>0</v>
      </c>
      <c r="AQ61" s="794">
        <f t="shared" ca="1" si="13"/>
        <v>0</v>
      </c>
      <c r="AR61" s="794">
        <f t="shared" ca="1" si="13"/>
        <v>0</v>
      </c>
      <c r="AS61" s="794">
        <f t="shared" ca="1" si="13"/>
        <v>0</v>
      </c>
      <c r="AT61" s="794">
        <f t="shared" ca="1" si="13"/>
        <v>0</v>
      </c>
      <c r="AU61" s="794">
        <f t="shared" ca="1" si="13"/>
        <v>0</v>
      </c>
      <c r="AX61" s="66"/>
      <c r="AY61" s="68"/>
      <c r="AZ61" s="48"/>
      <c r="BA61" s="48"/>
    </row>
    <row r="62" spans="1:65" ht="18" customHeight="1" x14ac:dyDescent="0.2">
      <c r="A62" s="368"/>
      <c r="B62" s="369"/>
      <c r="C62" s="370"/>
      <c r="D62" s="499"/>
      <c r="E62" s="371"/>
      <c r="F62" s="351"/>
      <c r="G62" s="372"/>
      <c r="H62" s="354"/>
      <c r="I62" s="527"/>
      <c r="J62" s="355" t="str">
        <f t="shared" si="6"/>
        <v/>
      </c>
      <c r="K62" s="356"/>
      <c r="L62" s="373" t="str">
        <f t="shared" si="7"/>
        <v/>
      </c>
      <c r="N62" s="154"/>
      <c r="P62" s="429">
        <f t="shared" si="2"/>
        <v>0</v>
      </c>
      <c r="Q62" s="140" t="str">
        <f t="shared" si="5"/>
        <v/>
      </c>
      <c r="R62" s="99">
        <f t="shared" si="3"/>
        <v>0</v>
      </c>
      <c r="S62" s="142">
        <f t="shared" si="4"/>
        <v>0</v>
      </c>
      <c r="AC62" s="99">
        <v>71432</v>
      </c>
      <c r="AD62" s="99">
        <f t="shared" ca="1" si="0"/>
        <v>0</v>
      </c>
      <c r="AG62" s="66">
        <f t="shared" ref="AG62:AH65" ca="1" si="14">AG49</f>
        <v>0</v>
      </c>
      <c r="AH62" s="68" t="str">
        <f t="shared" si="14"/>
        <v>Engine #1</v>
      </c>
      <c r="AI62" s="48"/>
      <c r="AJ62" s="48"/>
      <c r="AK62" s="794">
        <f ca="1">AK49</f>
        <v>0</v>
      </c>
      <c r="AL62" s="794">
        <f t="shared" ref="AL62:AU62" ca="1" si="15">AL49</f>
        <v>0</v>
      </c>
      <c r="AM62" s="794">
        <f t="shared" ca="1" si="15"/>
        <v>0</v>
      </c>
      <c r="AN62" s="794">
        <f t="shared" ca="1" si="15"/>
        <v>0</v>
      </c>
      <c r="AO62" s="794">
        <f t="shared" ca="1" si="15"/>
        <v>0</v>
      </c>
      <c r="AP62" s="794">
        <f t="shared" ca="1" si="15"/>
        <v>0</v>
      </c>
      <c r="AQ62" s="794">
        <f t="shared" ca="1" si="15"/>
        <v>0</v>
      </c>
      <c r="AR62" s="794">
        <f t="shared" ca="1" si="15"/>
        <v>0</v>
      </c>
      <c r="AS62" s="794">
        <f t="shared" ca="1" si="15"/>
        <v>0</v>
      </c>
      <c r="AT62" s="794">
        <f t="shared" ca="1" si="15"/>
        <v>0</v>
      </c>
      <c r="AU62" s="794">
        <f t="shared" ca="1" si="15"/>
        <v>0</v>
      </c>
      <c r="AX62" s="66"/>
      <c r="AY62" s="68"/>
      <c r="AZ62" s="48"/>
      <c r="BA62" s="48"/>
    </row>
    <row r="63" spans="1:65" ht="18" customHeight="1" x14ac:dyDescent="0.2">
      <c r="A63" s="368"/>
      <c r="B63" s="369"/>
      <c r="C63" s="370"/>
      <c r="D63" s="499"/>
      <c r="E63" s="371"/>
      <c r="F63" s="351"/>
      <c r="G63" s="372"/>
      <c r="H63" s="354"/>
      <c r="I63" s="527"/>
      <c r="J63" s="355" t="str">
        <f t="shared" si="6"/>
        <v/>
      </c>
      <c r="K63" s="356"/>
      <c r="L63" s="373" t="str">
        <f t="shared" si="7"/>
        <v/>
      </c>
      <c r="N63" s="154"/>
      <c r="P63" s="429">
        <f t="shared" si="2"/>
        <v>0</v>
      </c>
      <c r="Q63" s="140" t="str">
        <f t="shared" si="5"/>
        <v/>
      </c>
      <c r="R63" s="99">
        <f t="shared" si="3"/>
        <v>0</v>
      </c>
      <c r="S63" s="142">
        <f t="shared" si="4"/>
        <v>0</v>
      </c>
      <c r="AC63" s="99">
        <v>71556</v>
      </c>
      <c r="AD63" s="99">
        <f t="shared" si="0"/>
        <v>0</v>
      </c>
      <c r="AG63" s="66">
        <f t="shared" ca="1" si="14"/>
        <v>0</v>
      </c>
      <c r="AH63" s="68" t="str">
        <f t="shared" si="14"/>
        <v>Engine #2</v>
      </c>
      <c r="AI63" s="48"/>
      <c r="AJ63" s="48"/>
      <c r="AK63" s="794">
        <f t="shared" ref="AK63:AU63" ca="1" si="16">AK50</f>
        <v>0</v>
      </c>
      <c r="AL63" s="794">
        <f t="shared" ca="1" si="16"/>
        <v>0</v>
      </c>
      <c r="AM63" s="794">
        <f t="shared" ca="1" si="16"/>
        <v>0</v>
      </c>
      <c r="AN63" s="794">
        <f t="shared" ca="1" si="16"/>
        <v>0</v>
      </c>
      <c r="AO63" s="794">
        <f t="shared" ca="1" si="16"/>
        <v>0</v>
      </c>
      <c r="AP63" s="794">
        <f t="shared" ca="1" si="16"/>
        <v>0</v>
      </c>
      <c r="AQ63" s="794">
        <f t="shared" ca="1" si="16"/>
        <v>0</v>
      </c>
      <c r="AR63" s="794">
        <f t="shared" ca="1" si="16"/>
        <v>0</v>
      </c>
      <c r="AS63" s="794">
        <f t="shared" ca="1" si="16"/>
        <v>0</v>
      </c>
      <c r="AT63" s="794">
        <f t="shared" ca="1" si="16"/>
        <v>0</v>
      </c>
      <c r="AU63" s="794">
        <f t="shared" ca="1" si="16"/>
        <v>0</v>
      </c>
      <c r="AX63" s="66"/>
      <c r="AY63" s="68"/>
      <c r="AZ63" s="48"/>
      <c r="BA63" s="48"/>
    </row>
    <row r="64" spans="1:65" ht="18" customHeight="1" x14ac:dyDescent="0.2">
      <c r="A64" s="368"/>
      <c r="B64" s="369"/>
      <c r="C64" s="370"/>
      <c r="D64" s="499"/>
      <c r="E64" s="371"/>
      <c r="F64" s="351"/>
      <c r="G64" s="372"/>
      <c r="H64" s="354"/>
      <c r="I64" s="527"/>
      <c r="J64" s="355" t="str">
        <f t="shared" si="6"/>
        <v/>
      </c>
      <c r="K64" s="356"/>
      <c r="L64" s="373" t="str">
        <f t="shared" si="7"/>
        <v/>
      </c>
      <c r="N64" s="154"/>
      <c r="P64" s="429">
        <f t="shared" si="2"/>
        <v>0</v>
      </c>
      <c r="Q64" s="140" t="str">
        <f t="shared" si="5"/>
        <v/>
      </c>
      <c r="R64" s="99">
        <f t="shared" si="3"/>
        <v>0</v>
      </c>
      <c r="S64" s="142">
        <f t="shared" si="4"/>
        <v>0</v>
      </c>
      <c r="AC64" s="99">
        <v>72435</v>
      </c>
      <c r="AD64" s="99">
        <f t="shared" si="0"/>
        <v>0</v>
      </c>
      <c r="AG64" s="66">
        <f t="shared" ca="1" si="14"/>
        <v>0</v>
      </c>
      <c r="AH64" s="68" t="str">
        <f t="shared" si="14"/>
        <v>Engine #3</v>
      </c>
      <c r="AI64" s="48"/>
      <c r="AJ64" s="48"/>
      <c r="AK64" s="794">
        <f t="shared" ref="AK64:AU64" ca="1" si="17">AK51</f>
        <v>0</v>
      </c>
      <c r="AL64" s="794">
        <f t="shared" ca="1" si="17"/>
        <v>0</v>
      </c>
      <c r="AM64" s="794">
        <f t="shared" ca="1" si="17"/>
        <v>0</v>
      </c>
      <c r="AN64" s="794">
        <f t="shared" ca="1" si="17"/>
        <v>0</v>
      </c>
      <c r="AO64" s="794">
        <f t="shared" ca="1" si="17"/>
        <v>0</v>
      </c>
      <c r="AP64" s="794">
        <f t="shared" ca="1" si="17"/>
        <v>0</v>
      </c>
      <c r="AQ64" s="794">
        <f t="shared" ca="1" si="17"/>
        <v>0</v>
      </c>
      <c r="AR64" s="794">
        <f t="shared" ca="1" si="17"/>
        <v>0</v>
      </c>
      <c r="AS64" s="794">
        <f t="shared" ca="1" si="17"/>
        <v>0</v>
      </c>
      <c r="AT64" s="794">
        <f t="shared" ca="1" si="17"/>
        <v>0</v>
      </c>
      <c r="AU64" s="794">
        <f t="shared" ca="1" si="17"/>
        <v>0</v>
      </c>
      <c r="AX64" s="66"/>
      <c r="AY64" s="68"/>
      <c r="AZ64" s="48"/>
      <c r="BA64" s="48"/>
    </row>
    <row r="65" spans="1:53" ht="18" customHeight="1" thickBot="1" x14ac:dyDescent="0.25">
      <c r="A65" s="368"/>
      <c r="B65" s="369"/>
      <c r="C65" s="370"/>
      <c r="D65" s="499"/>
      <c r="E65" s="371"/>
      <c r="F65" s="351"/>
      <c r="G65" s="372"/>
      <c r="H65" s="354"/>
      <c r="I65" s="527"/>
      <c r="J65" s="355" t="str">
        <f t="shared" si="6"/>
        <v/>
      </c>
      <c r="K65" s="356"/>
      <c r="L65" s="373" t="str">
        <f t="shared" si="7"/>
        <v/>
      </c>
      <c r="N65" s="154"/>
      <c r="P65" s="429">
        <f t="shared" si="2"/>
        <v>0</v>
      </c>
      <c r="Q65" s="140" t="str">
        <f t="shared" si="5"/>
        <v/>
      </c>
      <c r="R65" s="99">
        <f t="shared" si="3"/>
        <v>0</v>
      </c>
      <c r="S65" s="142">
        <f t="shared" si="4"/>
        <v>0</v>
      </c>
      <c r="AC65" s="99">
        <v>74839</v>
      </c>
      <c r="AD65" s="99">
        <f t="shared" si="0"/>
        <v>0</v>
      </c>
      <c r="AG65" s="66">
        <f t="shared" ca="1" si="14"/>
        <v>0</v>
      </c>
      <c r="AH65" s="68" t="str">
        <f t="shared" si="14"/>
        <v>Engine #4</v>
      </c>
      <c r="AI65" s="48"/>
      <c r="AJ65" s="48"/>
      <c r="AK65" s="796">
        <f t="shared" ref="AK65:AU65" ca="1" si="18">AK52</f>
        <v>0</v>
      </c>
      <c r="AL65" s="796">
        <f t="shared" ca="1" si="18"/>
        <v>0</v>
      </c>
      <c r="AM65" s="796">
        <f t="shared" ca="1" si="18"/>
        <v>0</v>
      </c>
      <c r="AN65" s="796">
        <f t="shared" ca="1" si="18"/>
        <v>0</v>
      </c>
      <c r="AO65" s="796">
        <f t="shared" ca="1" si="18"/>
        <v>0</v>
      </c>
      <c r="AP65" s="796">
        <f t="shared" ca="1" si="18"/>
        <v>0</v>
      </c>
      <c r="AQ65" s="796">
        <f t="shared" ca="1" si="18"/>
        <v>0</v>
      </c>
      <c r="AR65" s="796">
        <f t="shared" ca="1" si="18"/>
        <v>0</v>
      </c>
      <c r="AS65" s="796">
        <f t="shared" ca="1" si="18"/>
        <v>0</v>
      </c>
      <c r="AT65" s="796">
        <f t="shared" ca="1" si="18"/>
        <v>0</v>
      </c>
      <c r="AU65" s="796">
        <f t="shared" ca="1" si="18"/>
        <v>0</v>
      </c>
      <c r="AX65" s="66"/>
      <c r="AY65" s="68"/>
      <c r="AZ65" s="48"/>
      <c r="BA65" s="48"/>
    </row>
    <row r="66" spans="1:53" ht="18" customHeight="1" thickBot="1" x14ac:dyDescent="0.25">
      <c r="A66" s="368"/>
      <c r="B66" s="369"/>
      <c r="C66" s="370"/>
      <c r="D66" s="499"/>
      <c r="E66" s="371"/>
      <c r="F66" s="351"/>
      <c r="G66" s="372"/>
      <c r="H66" s="354"/>
      <c r="I66" s="527"/>
      <c r="J66" s="355" t="str">
        <f t="shared" si="6"/>
        <v/>
      </c>
      <c r="K66" s="356"/>
      <c r="L66" s="373" t="str">
        <f t="shared" si="7"/>
        <v/>
      </c>
      <c r="N66" s="154"/>
      <c r="P66" s="429">
        <f t="shared" si="2"/>
        <v>0</v>
      </c>
      <c r="Q66" s="140" t="str">
        <f t="shared" si="5"/>
        <v/>
      </c>
      <c r="R66" s="99">
        <f t="shared" si="3"/>
        <v>0</v>
      </c>
      <c r="S66" s="142">
        <f t="shared" si="4"/>
        <v>0</v>
      </c>
      <c r="AC66" s="99">
        <v>74873</v>
      </c>
      <c r="AD66" s="99">
        <f t="shared" si="0"/>
        <v>0</v>
      </c>
      <c r="AG66" s="66"/>
      <c r="AH66" s="68"/>
      <c r="AI66" s="48"/>
      <c r="AJ66" s="50" t="s">
        <v>2490</v>
      </c>
      <c r="AK66" s="797">
        <f ca="1">SUM(AK56:AK65)</f>
        <v>0</v>
      </c>
      <c r="AL66" s="798">
        <f t="shared" ref="AL66:AU66" ca="1" si="19">SUM(AL56:AL65)</f>
        <v>0</v>
      </c>
      <c r="AM66" s="798">
        <f t="shared" ca="1" si="19"/>
        <v>0</v>
      </c>
      <c r="AN66" s="798">
        <f t="shared" ca="1" si="19"/>
        <v>0</v>
      </c>
      <c r="AO66" s="798">
        <f t="shared" ca="1" si="19"/>
        <v>0</v>
      </c>
      <c r="AP66" s="798">
        <f t="shared" ca="1" si="19"/>
        <v>0</v>
      </c>
      <c r="AQ66" s="798">
        <f t="shared" ca="1" si="19"/>
        <v>0</v>
      </c>
      <c r="AR66" s="798">
        <f t="shared" ca="1" si="19"/>
        <v>0</v>
      </c>
      <c r="AS66" s="798">
        <f t="shared" ca="1" si="19"/>
        <v>0</v>
      </c>
      <c r="AT66" s="798">
        <f t="shared" ca="1" si="19"/>
        <v>0</v>
      </c>
      <c r="AU66" s="799">
        <f t="shared" ca="1" si="19"/>
        <v>0</v>
      </c>
      <c r="AX66" s="66"/>
      <c r="AY66" s="68"/>
      <c r="AZ66" s="48"/>
      <c r="BA66" s="48"/>
    </row>
    <row r="67" spans="1:53" ht="18" customHeight="1" x14ac:dyDescent="0.2">
      <c r="A67" s="368"/>
      <c r="B67" s="369"/>
      <c r="C67" s="370"/>
      <c r="D67" s="499"/>
      <c r="E67" s="371"/>
      <c r="F67" s="351"/>
      <c r="G67" s="372"/>
      <c r="H67" s="354"/>
      <c r="I67" s="527"/>
      <c r="J67" s="355" t="str">
        <f t="shared" si="6"/>
        <v/>
      </c>
      <c r="K67" s="356"/>
      <c r="L67" s="373" t="str">
        <f t="shared" si="7"/>
        <v/>
      </c>
      <c r="N67" s="154"/>
      <c r="P67" s="429">
        <f t="shared" si="2"/>
        <v>0</v>
      </c>
      <c r="Q67" s="140" t="str">
        <f t="shared" si="5"/>
        <v/>
      </c>
      <c r="R67" s="99">
        <f t="shared" si="3"/>
        <v>0</v>
      </c>
      <c r="S67" s="142">
        <f t="shared" si="4"/>
        <v>0</v>
      </c>
      <c r="AC67" s="99">
        <v>74884</v>
      </c>
      <c r="AD67" s="99">
        <f t="shared" si="0"/>
        <v>0</v>
      </c>
      <c r="AG67" s="66"/>
      <c r="AH67" s="68"/>
      <c r="AI67" s="48"/>
      <c r="AJ67" s="48"/>
      <c r="AX67" s="66"/>
      <c r="AY67" s="68"/>
      <c r="AZ67" s="48"/>
      <c r="BA67" s="48"/>
    </row>
    <row r="68" spans="1:53" ht="18" customHeight="1" x14ac:dyDescent="0.2">
      <c r="A68" s="368"/>
      <c r="B68" s="369"/>
      <c r="C68" s="370"/>
      <c r="D68" s="499"/>
      <c r="E68" s="371"/>
      <c r="F68" s="351"/>
      <c r="G68" s="372"/>
      <c r="H68" s="354"/>
      <c r="I68" s="527"/>
      <c r="J68" s="355" t="str">
        <f t="shared" si="6"/>
        <v/>
      </c>
      <c r="K68" s="356"/>
      <c r="L68" s="373" t="str">
        <f t="shared" si="7"/>
        <v/>
      </c>
      <c r="N68" s="154"/>
      <c r="P68" s="429">
        <f t="shared" si="2"/>
        <v>0</v>
      </c>
      <c r="Q68" s="140" t="str">
        <f t="shared" si="5"/>
        <v/>
      </c>
      <c r="R68" s="99">
        <f t="shared" si="3"/>
        <v>0</v>
      </c>
      <c r="S68" s="142">
        <f t="shared" si="4"/>
        <v>0</v>
      </c>
      <c r="AC68" s="99">
        <v>75003</v>
      </c>
      <c r="AD68" s="99">
        <f t="shared" si="0"/>
        <v>0</v>
      </c>
      <c r="AG68" s="66"/>
      <c r="AH68" s="68"/>
      <c r="AI68" s="48"/>
      <c r="AJ68" s="48"/>
      <c r="AX68" s="66"/>
      <c r="AY68" s="68"/>
      <c r="AZ68" s="48"/>
      <c r="BA68" s="48"/>
    </row>
    <row r="69" spans="1:53" ht="18" customHeight="1" thickBot="1" x14ac:dyDescent="0.25">
      <c r="A69" s="374"/>
      <c r="B69" s="375"/>
      <c r="C69" s="376"/>
      <c r="D69" s="500"/>
      <c r="E69" s="377"/>
      <c r="F69" s="360"/>
      <c r="G69" s="378"/>
      <c r="H69" s="363"/>
      <c r="I69" s="528"/>
      <c r="J69" s="364" t="str">
        <f t="shared" si="6"/>
        <v/>
      </c>
      <c r="K69" s="365"/>
      <c r="L69" s="379" t="str">
        <f t="shared" si="7"/>
        <v/>
      </c>
      <c r="N69" s="154"/>
      <c r="P69" s="429">
        <f t="shared" si="2"/>
        <v>0</v>
      </c>
      <c r="Q69" s="140" t="str">
        <f t="shared" si="5"/>
        <v/>
      </c>
      <c r="R69" s="99">
        <f t="shared" si="3"/>
        <v>0</v>
      </c>
      <c r="S69" s="142">
        <f t="shared" si="4"/>
        <v>0</v>
      </c>
      <c r="AC69" s="99">
        <v>75014</v>
      </c>
      <c r="AD69" s="99">
        <f t="shared" ref="AD69:AD100" si="20">SUMIF($C$38:$C$69,AC69,$L$38:$L$69)</f>
        <v>0</v>
      </c>
      <c r="AG69" s="66"/>
      <c r="AH69" s="68"/>
      <c r="AI69" s="48"/>
      <c r="AJ69" s="48"/>
      <c r="AX69" s="66"/>
      <c r="AY69" s="68"/>
      <c r="AZ69" s="48"/>
      <c r="BA69" s="48"/>
    </row>
    <row r="70" spans="1:53" ht="18" customHeight="1" x14ac:dyDescent="0.2">
      <c r="AC70" s="99">
        <v>75058</v>
      </c>
      <c r="AD70" s="99">
        <f t="shared" si="20"/>
        <v>0</v>
      </c>
      <c r="AG70" s="66"/>
      <c r="AH70" s="68"/>
      <c r="AI70" s="48"/>
      <c r="AJ70" s="48"/>
      <c r="AX70" s="66"/>
      <c r="AY70" s="68"/>
      <c r="AZ70" s="48"/>
      <c r="BA70" s="48"/>
    </row>
    <row r="71" spans="1:53" ht="18" customHeight="1" x14ac:dyDescent="0.2">
      <c r="AC71" s="99">
        <v>75070</v>
      </c>
      <c r="AD71" s="99">
        <f t="shared" ca="1" si="20"/>
        <v>0</v>
      </c>
      <c r="AG71" s="66"/>
      <c r="AH71" s="68"/>
      <c r="AI71" s="48"/>
      <c r="AJ71" s="48"/>
      <c r="AX71" s="66"/>
      <c r="AY71" s="68"/>
      <c r="AZ71" s="48"/>
      <c r="BA71" s="48"/>
    </row>
    <row r="72" spans="1:53" ht="18" customHeight="1" x14ac:dyDescent="0.2">
      <c r="AC72" s="99">
        <v>75092</v>
      </c>
      <c r="AD72" s="99">
        <f t="shared" si="20"/>
        <v>0</v>
      </c>
      <c r="AG72" s="66"/>
      <c r="AH72" s="68"/>
      <c r="AI72" s="48"/>
      <c r="AJ72" s="48"/>
      <c r="AX72" s="66"/>
      <c r="AY72" s="68"/>
      <c r="AZ72" s="48"/>
      <c r="BA72" s="48"/>
    </row>
    <row r="73" spans="1:53" ht="18" customHeight="1" x14ac:dyDescent="0.2">
      <c r="AC73" s="99">
        <v>75150</v>
      </c>
      <c r="AD73" s="99">
        <f t="shared" si="20"/>
        <v>0</v>
      </c>
      <c r="AG73" s="66"/>
      <c r="AH73" s="68"/>
      <c r="AI73" s="48"/>
      <c r="AJ73" s="48"/>
      <c r="AX73" s="66"/>
      <c r="AY73" s="68"/>
      <c r="AZ73" s="48"/>
      <c r="BA73" s="48"/>
    </row>
    <row r="74" spans="1:53" ht="18" customHeight="1" x14ac:dyDescent="0.2">
      <c r="AC74" s="99">
        <v>75218</v>
      </c>
      <c r="AD74" s="99">
        <f t="shared" si="20"/>
        <v>0</v>
      </c>
      <c r="AG74" s="66"/>
      <c r="AH74" s="68"/>
      <c r="AI74" s="48"/>
      <c r="AJ74" s="48"/>
      <c r="AX74" s="66"/>
      <c r="AY74" s="68"/>
      <c r="AZ74" s="48"/>
      <c r="BA74" s="48"/>
    </row>
    <row r="75" spans="1:53" ht="18" customHeight="1" x14ac:dyDescent="0.2">
      <c r="AC75" s="99">
        <v>75252</v>
      </c>
      <c r="AD75" s="99">
        <f t="shared" si="20"/>
        <v>0</v>
      </c>
    </row>
    <row r="76" spans="1:53" ht="18" customHeight="1" x14ac:dyDescent="0.2">
      <c r="AC76" s="99">
        <v>75343</v>
      </c>
      <c r="AD76" s="99">
        <f t="shared" si="20"/>
        <v>0</v>
      </c>
    </row>
    <row r="77" spans="1:53" ht="18" customHeight="1" x14ac:dyDescent="0.2">
      <c r="AC77" s="99">
        <v>75354</v>
      </c>
      <c r="AD77" s="99">
        <f t="shared" si="20"/>
        <v>0</v>
      </c>
    </row>
    <row r="78" spans="1:53" ht="18" customHeight="1" x14ac:dyDescent="0.2">
      <c r="AC78" s="99">
        <v>75445</v>
      </c>
      <c r="AD78" s="99">
        <f t="shared" si="20"/>
        <v>0</v>
      </c>
    </row>
    <row r="79" spans="1:53" ht="18" customHeight="1" x14ac:dyDescent="0.2">
      <c r="AC79" s="99">
        <v>75558</v>
      </c>
      <c r="AD79" s="99">
        <f t="shared" si="20"/>
        <v>0</v>
      </c>
    </row>
    <row r="80" spans="1:53" ht="18" customHeight="1" x14ac:dyDescent="0.2">
      <c r="AC80" s="99">
        <v>75569</v>
      </c>
      <c r="AD80" s="99">
        <f t="shared" si="20"/>
        <v>0</v>
      </c>
    </row>
    <row r="81" spans="29:30" ht="18" customHeight="1" x14ac:dyDescent="0.2">
      <c r="AC81" s="99">
        <v>76448</v>
      </c>
      <c r="AD81" s="99">
        <f t="shared" si="20"/>
        <v>0</v>
      </c>
    </row>
    <row r="82" spans="29:30" ht="18" customHeight="1" x14ac:dyDescent="0.2">
      <c r="AC82" s="99">
        <v>77474</v>
      </c>
      <c r="AD82" s="99">
        <f t="shared" si="20"/>
        <v>0</v>
      </c>
    </row>
    <row r="83" spans="29:30" ht="18" customHeight="1" x14ac:dyDescent="0.2">
      <c r="AC83" s="99">
        <v>77781</v>
      </c>
      <c r="AD83" s="99">
        <f t="shared" si="20"/>
        <v>0</v>
      </c>
    </row>
    <row r="84" spans="29:30" ht="18" customHeight="1" x14ac:dyDescent="0.2">
      <c r="AC84" s="99">
        <v>78591</v>
      </c>
      <c r="AD84" s="99">
        <f t="shared" si="20"/>
        <v>0</v>
      </c>
    </row>
    <row r="85" spans="29:30" ht="18" customHeight="1" x14ac:dyDescent="0.2">
      <c r="AC85" s="99">
        <v>78875</v>
      </c>
      <c r="AD85" s="99">
        <f t="shared" si="20"/>
        <v>0</v>
      </c>
    </row>
    <row r="86" spans="29:30" ht="18" customHeight="1" x14ac:dyDescent="0.2">
      <c r="AC86" s="99">
        <v>79005</v>
      </c>
      <c r="AD86" s="99">
        <f t="shared" si="20"/>
        <v>0</v>
      </c>
    </row>
    <row r="87" spans="29:30" ht="18" customHeight="1" x14ac:dyDescent="0.2">
      <c r="AC87" s="99">
        <v>79016</v>
      </c>
      <c r="AD87" s="99">
        <f t="shared" si="20"/>
        <v>0</v>
      </c>
    </row>
    <row r="88" spans="29:30" ht="18" customHeight="1" x14ac:dyDescent="0.2">
      <c r="AC88" s="99">
        <v>79061</v>
      </c>
      <c r="AD88" s="99">
        <f t="shared" si="20"/>
        <v>0</v>
      </c>
    </row>
    <row r="89" spans="29:30" ht="18" customHeight="1" x14ac:dyDescent="0.2">
      <c r="AC89" s="99">
        <v>79107</v>
      </c>
      <c r="AD89" s="99">
        <f t="shared" si="20"/>
        <v>0</v>
      </c>
    </row>
    <row r="90" spans="29:30" ht="18" customHeight="1" x14ac:dyDescent="0.2">
      <c r="AC90" s="99">
        <v>79118</v>
      </c>
      <c r="AD90" s="99">
        <f t="shared" si="20"/>
        <v>0</v>
      </c>
    </row>
    <row r="91" spans="29:30" ht="18" customHeight="1" x14ac:dyDescent="0.2">
      <c r="AC91" s="99">
        <v>79345</v>
      </c>
      <c r="AD91" s="99">
        <f t="shared" si="20"/>
        <v>0</v>
      </c>
    </row>
    <row r="92" spans="29:30" ht="18" customHeight="1" x14ac:dyDescent="0.2">
      <c r="AC92" s="99">
        <v>79447</v>
      </c>
      <c r="AD92" s="99">
        <f t="shared" si="20"/>
        <v>0</v>
      </c>
    </row>
    <row r="93" spans="29:30" ht="18" customHeight="1" x14ac:dyDescent="0.2">
      <c r="AC93" s="99">
        <v>79469</v>
      </c>
      <c r="AD93" s="99">
        <f t="shared" si="20"/>
        <v>0</v>
      </c>
    </row>
    <row r="94" spans="29:30" ht="18" customHeight="1" x14ac:dyDescent="0.2">
      <c r="AC94" s="99">
        <v>80626</v>
      </c>
      <c r="AD94" s="99">
        <f t="shared" si="20"/>
        <v>0</v>
      </c>
    </row>
    <row r="95" spans="29:30" ht="18" customHeight="1" x14ac:dyDescent="0.2">
      <c r="AC95" s="99">
        <v>82688</v>
      </c>
      <c r="AD95" s="99">
        <f t="shared" si="20"/>
        <v>0</v>
      </c>
    </row>
    <row r="96" spans="29:30" ht="18" customHeight="1" x14ac:dyDescent="0.2">
      <c r="AC96" s="99">
        <v>84742</v>
      </c>
      <c r="AD96" s="99">
        <f t="shared" si="20"/>
        <v>0</v>
      </c>
    </row>
    <row r="97" spans="29:30" ht="18" customHeight="1" x14ac:dyDescent="0.2">
      <c r="AC97" s="99">
        <v>85449</v>
      </c>
      <c r="AD97" s="99">
        <f t="shared" si="20"/>
        <v>0</v>
      </c>
    </row>
    <row r="98" spans="29:30" ht="18" customHeight="1" x14ac:dyDescent="0.2">
      <c r="AC98" s="99">
        <v>87683</v>
      </c>
      <c r="AD98" s="99">
        <f t="shared" si="20"/>
        <v>0</v>
      </c>
    </row>
    <row r="99" spans="29:30" ht="18" customHeight="1" x14ac:dyDescent="0.2">
      <c r="AC99" s="99">
        <v>87865</v>
      </c>
      <c r="AD99" s="99">
        <f t="shared" si="20"/>
        <v>0</v>
      </c>
    </row>
    <row r="100" spans="29:30" ht="18" customHeight="1" x14ac:dyDescent="0.2">
      <c r="AC100" s="99">
        <v>88062</v>
      </c>
      <c r="AD100" s="99">
        <f t="shared" si="20"/>
        <v>0</v>
      </c>
    </row>
    <row r="101" spans="29:30" ht="18" customHeight="1" x14ac:dyDescent="0.2">
      <c r="AC101" s="99">
        <v>90040</v>
      </c>
      <c r="AD101" s="99">
        <f t="shared" ref="AD101:AD132" si="21">SUMIF($C$38:$C$69,AC101,$L$38:$L$69)</f>
        <v>0</v>
      </c>
    </row>
    <row r="102" spans="29:30" ht="18" customHeight="1" x14ac:dyDescent="0.2">
      <c r="AC102" s="99">
        <v>91203</v>
      </c>
      <c r="AD102" s="99">
        <f t="shared" ca="1" si="21"/>
        <v>0</v>
      </c>
    </row>
    <row r="103" spans="29:30" ht="18" customHeight="1" x14ac:dyDescent="0.2">
      <c r="AC103" s="99">
        <v>91225</v>
      </c>
      <c r="AD103" s="99">
        <f t="shared" si="21"/>
        <v>0</v>
      </c>
    </row>
    <row r="104" spans="29:30" ht="18" customHeight="1" x14ac:dyDescent="0.2">
      <c r="AC104" s="99">
        <v>91941</v>
      </c>
      <c r="AD104" s="99">
        <f t="shared" si="21"/>
        <v>0</v>
      </c>
    </row>
    <row r="105" spans="29:30" ht="18" customHeight="1" x14ac:dyDescent="0.2">
      <c r="AC105" s="99">
        <v>92524</v>
      </c>
      <c r="AD105" s="99">
        <f t="shared" si="21"/>
        <v>0</v>
      </c>
    </row>
    <row r="106" spans="29:30" ht="18" customHeight="1" x14ac:dyDescent="0.2">
      <c r="AC106" s="99">
        <v>92671</v>
      </c>
      <c r="AD106" s="99">
        <f t="shared" si="21"/>
        <v>0</v>
      </c>
    </row>
    <row r="107" spans="29:30" ht="18" customHeight="1" x14ac:dyDescent="0.2">
      <c r="AC107" s="99">
        <v>92875</v>
      </c>
      <c r="AD107" s="99">
        <f t="shared" si="21"/>
        <v>0</v>
      </c>
    </row>
    <row r="108" spans="29:30" ht="18" customHeight="1" x14ac:dyDescent="0.2">
      <c r="AC108" s="99">
        <v>92933</v>
      </c>
      <c r="AD108" s="99">
        <f t="shared" si="21"/>
        <v>0</v>
      </c>
    </row>
    <row r="109" spans="29:30" ht="18" customHeight="1" x14ac:dyDescent="0.2">
      <c r="AC109" s="99">
        <v>94757</v>
      </c>
      <c r="AD109" s="99">
        <f t="shared" si="21"/>
        <v>0</v>
      </c>
    </row>
    <row r="110" spans="29:30" ht="18" customHeight="1" x14ac:dyDescent="0.2">
      <c r="AC110" s="99">
        <v>95476</v>
      </c>
      <c r="AD110" s="99">
        <f t="shared" si="21"/>
        <v>0</v>
      </c>
    </row>
    <row r="111" spans="29:30" ht="18" customHeight="1" x14ac:dyDescent="0.2">
      <c r="AC111" s="99">
        <v>95487</v>
      </c>
      <c r="AD111" s="99">
        <f t="shared" si="21"/>
        <v>0</v>
      </c>
    </row>
    <row r="112" spans="29:30" ht="18" customHeight="1" x14ac:dyDescent="0.2">
      <c r="AC112" s="99">
        <v>95534</v>
      </c>
      <c r="AD112" s="99">
        <f t="shared" si="21"/>
        <v>0</v>
      </c>
    </row>
    <row r="113" spans="29:30" ht="18" customHeight="1" x14ac:dyDescent="0.2">
      <c r="AC113" s="99">
        <v>95807</v>
      </c>
      <c r="AD113" s="99">
        <f t="shared" si="21"/>
        <v>0</v>
      </c>
    </row>
    <row r="114" spans="29:30" ht="18" customHeight="1" x14ac:dyDescent="0.2">
      <c r="AC114" s="99">
        <v>95954</v>
      </c>
      <c r="AD114" s="99">
        <f t="shared" si="21"/>
        <v>0</v>
      </c>
    </row>
    <row r="115" spans="29:30" ht="18" customHeight="1" x14ac:dyDescent="0.2">
      <c r="AC115" s="99">
        <v>96093</v>
      </c>
      <c r="AD115" s="99">
        <f t="shared" si="21"/>
        <v>0</v>
      </c>
    </row>
    <row r="116" spans="29:30" ht="18" customHeight="1" x14ac:dyDescent="0.2">
      <c r="AC116" s="99">
        <v>96128</v>
      </c>
      <c r="AD116" s="99">
        <f t="shared" si="21"/>
        <v>0</v>
      </c>
    </row>
    <row r="117" spans="29:30" ht="18" customHeight="1" x14ac:dyDescent="0.2">
      <c r="AC117" s="99">
        <v>96457</v>
      </c>
      <c r="AD117" s="99">
        <f t="shared" si="21"/>
        <v>0</v>
      </c>
    </row>
    <row r="118" spans="29:30" ht="18" customHeight="1" x14ac:dyDescent="0.2">
      <c r="AC118" s="99">
        <v>98077</v>
      </c>
      <c r="AD118" s="99">
        <f t="shared" si="21"/>
        <v>0</v>
      </c>
    </row>
    <row r="119" spans="29:30" ht="18" customHeight="1" x14ac:dyDescent="0.2">
      <c r="AC119" s="99">
        <v>98828</v>
      </c>
      <c r="AD119" s="99">
        <f t="shared" si="21"/>
        <v>0</v>
      </c>
    </row>
    <row r="120" spans="29:30" ht="18" customHeight="1" x14ac:dyDescent="0.2">
      <c r="AC120" s="99">
        <v>98862</v>
      </c>
      <c r="AD120" s="99">
        <f t="shared" si="21"/>
        <v>0</v>
      </c>
    </row>
    <row r="121" spans="29:30" ht="18" customHeight="1" x14ac:dyDescent="0.2">
      <c r="AC121" s="99">
        <v>98953</v>
      </c>
      <c r="AD121" s="99">
        <f t="shared" si="21"/>
        <v>0</v>
      </c>
    </row>
    <row r="122" spans="29:30" ht="18" customHeight="1" x14ac:dyDescent="0.2">
      <c r="AC122" s="99">
        <v>100027</v>
      </c>
      <c r="AD122" s="99">
        <f t="shared" si="21"/>
        <v>0</v>
      </c>
    </row>
    <row r="123" spans="29:30" ht="18" customHeight="1" x14ac:dyDescent="0.2">
      <c r="AC123" s="99">
        <v>100414</v>
      </c>
      <c r="AD123" s="99">
        <f t="shared" ca="1" si="21"/>
        <v>0</v>
      </c>
    </row>
    <row r="124" spans="29:30" ht="18" customHeight="1" x14ac:dyDescent="0.2">
      <c r="AC124" s="99">
        <v>100425</v>
      </c>
      <c r="AD124" s="99">
        <f t="shared" si="21"/>
        <v>0</v>
      </c>
    </row>
    <row r="125" spans="29:30" ht="18" customHeight="1" x14ac:dyDescent="0.2">
      <c r="AC125" s="99">
        <v>100447</v>
      </c>
      <c r="AD125" s="99">
        <f t="shared" si="21"/>
        <v>0</v>
      </c>
    </row>
    <row r="126" spans="29:30" ht="18" customHeight="1" x14ac:dyDescent="0.2">
      <c r="AC126" s="99">
        <v>101144</v>
      </c>
      <c r="AD126" s="99">
        <f t="shared" si="21"/>
        <v>0</v>
      </c>
    </row>
    <row r="127" spans="29:30" ht="18" customHeight="1" x14ac:dyDescent="0.2">
      <c r="AC127" s="99">
        <v>101688</v>
      </c>
      <c r="AD127" s="99">
        <f t="shared" si="21"/>
        <v>0</v>
      </c>
    </row>
    <row r="128" spans="29:30" ht="18" customHeight="1" x14ac:dyDescent="0.2">
      <c r="AC128" s="99">
        <v>101779</v>
      </c>
      <c r="AD128" s="99">
        <f t="shared" si="21"/>
        <v>0</v>
      </c>
    </row>
    <row r="129" spans="29:30" ht="18" customHeight="1" x14ac:dyDescent="0.2">
      <c r="AC129" s="99">
        <v>106423</v>
      </c>
      <c r="AD129" s="99">
        <f t="shared" si="21"/>
        <v>0</v>
      </c>
    </row>
    <row r="130" spans="29:30" ht="18" customHeight="1" x14ac:dyDescent="0.2">
      <c r="AC130" s="99">
        <v>106445</v>
      </c>
      <c r="AD130" s="99">
        <f t="shared" si="21"/>
        <v>0</v>
      </c>
    </row>
    <row r="131" spans="29:30" ht="18" customHeight="1" x14ac:dyDescent="0.2">
      <c r="AC131" s="99">
        <v>106467</v>
      </c>
      <c r="AD131" s="99">
        <f t="shared" si="21"/>
        <v>0</v>
      </c>
    </row>
    <row r="132" spans="29:30" ht="18" customHeight="1" x14ac:dyDescent="0.2">
      <c r="AC132" s="99">
        <v>106503</v>
      </c>
      <c r="AD132" s="99">
        <f t="shared" si="21"/>
        <v>0</v>
      </c>
    </row>
    <row r="133" spans="29:30" ht="18" customHeight="1" x14ac:dyDescent="0.2">
      <c r="AC133" s="99">
        <v>106514</v>
      </c>
      <c r="AD133" s="99">
        <f t="shared" ref="AD133:AD164" si="22">SUMIF($C$38:$C$69,AC133,$L$38:$L$69)</f>
        <v>0</v>
      </c>
    </row>
    <row r="134" spans="29:30" ht="18" customHeight="1" x14ac:dyDescent="0.2">
      <c r="AC134" s="99">
        <v>106887</v>
      </c>
      <c r="AD134" s="99">
        <f t="shared" si="22"/>
        <v>0</v>
      </c>
    </row>
    <row r="135" spans="29:30" ht="18" customHeight="1" x14ac:dyDescent="0.2">
      <c r="AC135" s="99">
        <v>106898</v>
      </c>
      <c r="AD135" s="99">
        <f t="shared" si="22"/>
        <v>0</v>
      </c>
    </row>
    <row r="136" spans="29:30" ht="18" customHeight="1" x14ac:dyDescent="0.2">
      <c r="AC136" s="99">
        <v>106934</v>
      </c>
      <c r="AD136" s="99">
        <f t="shared" si="22"/>
        <v>0</v>
      </c>
    </row>
    <row r="137" spans="29:30" ht="18" customHeight="1" x14ac:dyDescent="0.2">
      <c r="AC137" s="99">
        <v>106990</v>
      </c>
      <c r="AD137" s="99">
        <f t="shared" si="22"/>
        <v>0</v>
      </c>
    </row>
    <row r="138" spans="29:30" ht="18" customHeight="1" x14ac:dyDescent="0.2">
      <c r="AC138" s="99">
        <v>107028</v>
      </c>
      <c r="AD138" s="99">
        <f t="shared" si="22"/>
        <v>0</v>
      </c>
    </row>
    <row r="139" spans="29:30" ht="18" customHeight="1" x14ac:dyDescent="0.2">
      <c r="AC139" s="99">
        <v>107051</v>
      </c>
      <c r="AD139" s="99">
        <f t="shared" si="22"/>
        <v>0</v>
      </c>
    </row>
    <row r="140" spans="29:30" ht="18" customHeight="1" x14ac:dyDescent="0.2">
      <c r="AC140" s="99">
        <v>107062</v>
      </c>
      <c r="AD140" s="99">
        <f t="shared" si="22"/>
        <v>0</v>
      </c>
    </row>
    <row r="141" spans="29:30" ht="18" customHeight="1" x14ac:dyDescent="0.2">
      <c r="AC141" s="99">
        <v>107131</v>
      </c>
      <c r="AD141" s="99">
        <f t="shared" si="22"/>
        <v>0</v>
      </c>
    </row>
    <row r="142" spans="29:30" ht="18" customHeight="1" x14ac:dyDescent="0.2">
      <c r="AC142" s="99">
        <v>107211</v>
      </c>
      <c r="AD142" s="99">
        <f t="shared" si="22"/>
        <v>0</v>
      </c>
    </row>
    <row r="143" spans="29:30" ht="18" customHeight="1" x14ac:dyDescent="0.2">
      <c r="AC143" s="99">
        <v>107302</v>
      </c>
      <c r="AD143" s="99">
        <f t="shared" si="22"/>
        <v>0</v>
      </c>
    </row>
    <row r="144" spans="29:30" ht="18" customHeight="1" x14ac:dyDescent="0.2">
      <c r="AC144" s="99">
        <v>108054</v>
      </c>
      <c r="AD144" s="99">
        <f t="shared" si="22"/>
        <v>0</v>
      </c>
    </row>
    <row r="145" spans="29:30" ht="18" customHeight="1" x14ac:dyDescent="0.2">
      <c r="AC145" s="99">
        <v>108101</v>
      </c>
      <c r="AD145" s="99">
        <f t="shared" si="22"/>
        <v>0</v>
      </c>
    </row>
    <row r="146" spans="29:30" ht="18" customHeight="1" x14ac:dyDescent="0.2">
      <c r="AC146" s="99">
        <v>108316</v>
      </c>
      <c r="AD146" s="99">
        <f t="shared" si="22"/>
        <v>0</v>
      </c>
    </row>
    <row r="147" spans="29:30" ht="18" customHeight="1" x14ac:dyDescent="0.2">
      <c r="AC147" s="99">
        <v>108383</v>
      </c>
      <c r="AD147" s="99">
        <f t="shared" si="22"/>
        <v>0</v>
      </c>
    </row>
    <row r="148" spans="29:30" ht="18" customHeight="1" x14ac:dyDescent="0.2">
      <c r="AC148" s="99">
        <v>108394</v>
      </c>
      <c r="AD148" s="99">
        <f t="shared" si="22"/>
        <v>0</v>
      </c>
    </row>
    <row r="149" spans="29:30" ht="18" customHeight="1" x14ac:dyDescent="0.2">
      <c r="AC149" s="99">
        <v>108883</v>
      </c>
      <c r="AD149" s="99">
        <f t="shared" ca="1" si="22"/>
        <v>0</v>
      </c>
    </row>
    <row r="150" spans="29:30" ht="18" customHeight="1" x14ac:dyDescent="0.2">
      <c r="AC150" s="99">
        <v>108907</v>
      </c>
      <c r="AD150" s="99">
        <f t="shared" si="22"/>
        <v>0</v>
      </c>
    </row>
    <row r="151" spans="29:30" ht="18" customHeight="1" x14ac:dyDescent="0.2">
      <c r="AC151" s="99">
        <v>108952</v>
      </c>
      <c r="AD151" s="99">
        <f t="shared" si="22"/>
        <v>0</v>
      </c>
    </row>
    <row r="152" spans="29:30" ht="18" customHeight="1" x14ac:dyDescent="0.2">
      <c r="AC152" s="99">
        <v>110543</v>
      </c>
      <c r="AD152" s="99">
        <f t="shared" ca="1" si="22"/>
        <v>0</v>
      </c>
    </row>
    <row r="153" spans="29:30" ht="18" customHeight="1" x14ac:dyDescent="0.2">
      <c r="AC153" s="99">
        <v>111422</v>
      </c>
      <c r="AD153" s="99">
        <f t="shared" si="22"/>
        <v>0</v>
      </c>
    </row>
    <row r="154" spans="29:30" ht="18" customHeight="1" x14ac:dyDescent="0.2">
      <c r="AC154" s="99">
        <v>111444</v>
      </c>
      <c r="AD154" s="99">
        <f t="shared" si="22"/>
        <v>0</v>
      </c>
    </row>
    <row r="155" spans="29:30" ht="18" customHeight="1" x14ac:dyDescent="0.2">
      <c r="AC155" s="99">
        <v>114261</v>
      </c>
      <c r="AD155" s="99">
        <f t="shared" si="22"/>
        <v>0</v>
      </c>
    </row>
    <row r="156" spans="29:30" ht="18" customHeight="1" x14ac:dyDescent="0.2">
      <c r="AC156" s="99">
        <v>117817</v>
      </c>
      <c r="AD156" s="99">
        <f t="shared" si="22"/>
        <v>0</v>
      </c>
    </row>
    <row r="157" spans="29:30" ht="18" customHeight="1" x14ac:dyDescent="0.2">
      <c r="AC157" s="99">
        <v>118741</v>
      </c>
      <c r="AD157" s="99">
        <f t="shared" si="22"/>
        <v>0</v>
      </c>
    </row>
    <row r="158" spans="29:30" ht="18" customHeight="1" x14ac:dyDescent="0.2">
      <c r="AC158" s="99">
        <v>119904</v>
      </c>
      <c r="AD158" s="99">
        <f t="shared" si="22"/>
        <v>0</v>
      </c>
    </row>
    <row r="159" spans="29:30" ht="18" customHeight="1" x14ac:dyDescent="0.2">
      <c r="AC159" s="99">
        <v>119937</v>
      </c>
      <c r="AD159" s="99">
        <f t="shared" si="22"/>
        <v>0</v>
      </c>
    </row>
    <row r="160" spans="29:30" ht="18" customHeight="1" x14ac:dyDescent="0.2">
      <c r="AC160" s="99">
        <v>120809</v>
      </c>
      <c r="AD160" s="99">
        <f t="shared" si="22"/>
        <v>0</v>
      </c>
    </row>
    <row r="161" spans="29:30" ht="18" customHeight="1" x14ac:dyDescent="0.2">
      <c r="AC161" s="99">
        <v>120821</v>
      </c>
      <c r="AD161" s="99">
        <f t="shared" si="22"/>
        <v>0</v>
      </c>
    </row>
    <row r="162" spans="29:30" ht="18" customHeight="1" x14ac:dyDescent="0.2">
      <c r="AC162" s="99">
        <v>121142</v>
      </c>
      <c r="AD162" s="99">
        <f t="shared" si="22"/>
        <v>0</v>
      </c>
    </row>
    <row r="163" spans="29:30" ht="18" customHeight="1" x14ac:dyDescent="0.2">
      <c r="AC163" s="99">
        <v>121448</v>
      </c>
      <c r="AD163" s="99">
        <f t="shared" si="22"/>
        <v>0</v>
      </c>
    </row>
    <row r="164" spans="29:30" ht="18" customHeight="1" x14ac:dyDescent="0.2">
      <c r="AC164" s="99">
        <v>121697</v>
      </c>
      <c r="AD164" s="99">
        <f t="shared" si="22"/>
        <v>0</v>
      </c>
    </row>
    <row r="165" spans="29:30" ht="18" customHeight="1" x14ac:dyDescent="0.2">
      <c r="AC165" s="99">
        <v>122667</v>
      </c>
      <c r="AD165" s="99">
        <f t="shared" ref="AD165:AD196" si="23">SUMIF($C$38:$C$69,AC165,$L$38:$L$69)</f>
        <v>0</v>
      </c>
    </row>
    <row r="166" spans="29:30" ht="18" customHeight="1" x14ac:dyDescent="0.2">
      <c r="AC166" s="99">
        <v>123319</v>
      </c>
      <c r="AD166" s="99">
        <f t="shared" si="23"/>
        <v>0</v>
      </c>
    </row>
    <row r="167" spans="29:30" ht="18" customHeight="1" x14ac:dyDescent="0.2">
      <c r="AC167" s="99">
        <v>123386</v>
      </c>
      <c r="AD167" s="99">
        <f t="shared" si="23"/>
        <v>0</v>
      </c>
    </row>
    <row r="168" spans="29:30" ht="18" customHeight="1" x14ac:dyDescent="0.2">
      <c r="AC168" s="99">
        <v>123911</v>
      </c>
      <c r="AD168" s="99">
        <f t="shared" si="23"/>
        <v>0</v>
      </c>
    </row>
    <row r="169" spans="29:30" ht="18" customHeight="1" x14ac:dyDescent="0.2">
      <c r="AC169" s="99">
        <v>126998</v>
      </c>
      <c r="AD169" s="99">
        <f t="shared" si="23"/>
        <v>0</v>
      </c>
    </row>
    <row r="170" spans="29:30" ht="18" customHeight="1" x14ac:dyDescent="0.2">
      <c r="AC170" s="99">
        <v>127184</v>
      </c>
      <c r="AD170" s="99">
        <f t="shared" si="23"/>
        <v>0</v>
      </c>
    </row>
    <row r="171" spans="29:30" ht="18" customHeight="1" x14ac:dyDescent="0.2">
      <c r="AC171" s="99">
        <v>131113</v>
      </c>
      <c r="AD171" s="99">
        <f t="shared" si="23"/>
        <v>0</v>
      </c>
    </row>
    <row r="172" spans="29:30" ht="18" customHeight="1" x14ac:dyDescent="0.2">
      <c r="AC172" s="99">
        <v>132649</v>
      </c>
      <c r="AD172" s="99">
        <f t="shared" si="23"/>
        <v>0</v>
      </c>
    </row>
    <row r="173" spans="29:30" ht="18" customHeight="1" x14ac:dyDescent="0.2">
      <c r="AC173" s="99">
        <v>133062</v>
      </c>
      <c r="AD173" s="99">
        <f t="shared" si="23"/>
        <v>0</v>
      </c>
    </row>
    <row r="174" spans="29:30" ht="18" customHeight="1" x14ac:dyDescent="0.2">
      <c r="AC174" s="99">
        <v>133904</v>
      </c>
      <c r="AD174" s="99">
        <f t="shared" si="23"/>
        <v>0</v>
      </c>
    </row>
    <row r="175" spans="29:30" ht="18" customHeight="1" x14ac:dyDescent="0.2">
      <c r="AC175" s="99">
        <v>140885</v>
      </c>
      <c r="AD175" s="99">
        <f t="shared" si="23"/>
        <v>0</v>
      </c>
    </row>
    <row r="176" spans="29:30" ht="18" customHeight="1" x14ac:dyDescent="0.2">
      <c r="AC176" s="99">
        <v>151564</v>
      </c>
      <c r="AD176" s="99">
        <f t="shared" si="23"/>
        <v>0</v>
      </c>
    </row>
    <row r="177" spans="29:30" ht="18" customHeight="1" x14ac:dyDescent="0.2">
      <c r="AC177" s="99">
        <v>156627</v>
      </c>
      <c r="AD177" s="99">
        <f t="shared" si="23"/>
        <v>0</v>
      </c>
    </row>
    <row r="178" spans="29:30" ht="18" customHeight="1" x14ac:dyDescent="0.2">
      <c r="AC178" s="99">
        <v>302012</v>
      </c>
      <c r="AD178" s="99">
        <f t="shared" si="23"/>
        <v>0</v>
      </c>
    </row>
    <row r="179" spans="29:30" ht="18" customHeight="1" x14ac:dyDescent="0.2">
      <c r="AC179" s="99">
        <v>334883</v>
      </c>
      <c r="AD179" s="99">
        <f t="shared" si="23"/>
        <v>0</v>
      </c>
    </row>
    <row r="180" spans="29:30" ht="18" customHeight="1" x14ac:dyDescent="0.2">
      <c r="AC180" s="99">
        <v>463581</v>
      </c>
      <c r="AD180" s="99">
        <f t="shared" si="23"/>
        <v>0</v>
      </c>
    </row>
    <row r="181" spans="29:30" ht="18" customHeight="1" x14ac:dyDescent="0.2">
      <c r="AC181" s="99">
        <v>510156</v>
      </c>
      <c r="AD181" s="99">
        <f t="shared" si="23"/>
        <v>0</v>
      </c>
    </row>
    <row r="182" spans="29:30" ht="18" customHeight="1" x14ac:dyDescent="0.2">
      <c r="AC182" s="99">
        <v>532274</v>
      </c>
      <c r="AD182" s="99">
        <f t="shared" si="23"/>
        <v>0</v>
      </c>
    </row>
    <row r="183" spans="29:30" ht="18" customHeight="1" x14ac:dyDescent="0.2">
      <c r="AC183" s="99">
        <v>534521</v>
      </c>
      <c r="AD183" s="99">
        <f t="shared" si="23"/>
        <v>0</v>
      </c>
    </row>
    <row r="184" spans="29:30" ht="18" customHeight="1" x14ac:dyDescent="0.2">
      <c r="AC184" s="99">
        <v>540841</v>
      </c>
      <c r="AD184" s="99">
        <f t="shared" si="23"/>
        <v>0</v>
      </c>
    </row>
    <row r="185" spans="29:30" ht="18" customHeight="1" x14ac:dyDescent="0.2">
      <c r="AC185" s="99">
        <v>542756</v>
      </c>
      <c r="AD185" s="99">
        <f t="shared" si="23"/>
        <v>0</v>
      </c>
    </row>
    <row r="186" spans="29:30" ht="18" customHeight="1" x14ac:dyDescent="0.2">
      <c r="AC186" s="99">
        <v>542881</v>
      </c>
      <c r="AD186" s="99">
        <f t="shared" si="23"/>
        <v>0</v>
      </c>
    </row>
    <row r="187" spans="29:30" ht="18" customHeight="1" x14ac:dyDescent="0.2">
      <c r="AC187" s="99">
        <v>584849</v>
      </c>
      <c r="AD187" s="99">
        <f t="shared" si="23"/>
        <v>0</v>
      </c>
    </row>
    <row r="188" spans="29:30" ht="18" customHeight="1" x14ac:dyDescent="0.2">
      <c r="AC188" s="99">
        <v>593602</v>
      </c>
      <c r="AD188" s="99">
        <f t="shared" si="23"/>
        <v>0</v>
      </c>
    </row>
    <row r="189" spans="29:30" ht="18" customHeight="1" x14ac:dyDescent="0.2">
      <c r="AC189" s="99">
        <v>624839</v>
      </c>
      <c r="AD189" s="99">
        <f t="shared" si="23"/>
        <v>0</v>
      </c>
    </row>
    <row r="190" spans="29:30" ht="18" customHeight="1" x14ac:dyDescent="0.2">
      <c r="AC190" s="99">
        <v>680319</v>
      </c>
      <c r="AD190" s="99">
        <f t="shared" si="23"/>
        <v>0</v>
      </c>
    </row>
    <row r="191" spans="29:30" ht="18" customHeight="1" x14ac:dyDescent="0.2">
      <c r="AC191" s="99">
        <v>684935</v>
      </c>
      <c r="AD191" s="99">
        <f t="shared" si="23"/>
        <v>0</v>
      </c>
    </row>
    <row r="192" spans="29:30" ht="18" customHeight="1" x14ac:dyDescent="0.2">
      <c r="AC192" s="99">
        <v>822060</v>
      </c>
      <c r="AD192" s="99">
        <f t="shared" si="23"/>
        <v>0</v>
      </c>
    </row>
    <row r="193" spans="29:30" ht="18" customHeight="1" x14ac:dyDescent="0.2">
      <c r="AC193" s="99">
        <v>1120714</v>
      </c>
      <c r="AD193" s="99">
        <f t="shared" si="23"/>
        <v>0</v>
      </c>
    </row>
    <row r="194" spans="29:30" ht="18" customHeight="1" x14ac:dyDescent="0.2">
      <c r="AC194" s="99">
        <v>1319773</v>
      </c>
      <c r="AD194" s="99">
        <f t="shared" si="23"/>
        <v>0</v>
      </c>
    </row>
    <row r="195" spans="29:30" ht="18" customHeight="1" x14ac:dyDescent="0.2">
      <c r="AC195" s="99">
        <v>1330207</v>
      </c>
      <c r="AD195" s="99">
        <f t="shared" ca="1" si="23"/>
        <v>0</v>
      </c>
    </row>
    <row r="196" spans="29:30" ht="18" customHeight="1" x14ac:dyDescent="0.2">
      <c r="AC196" s="99">
        <v>1332214</v>
      </c>
      <c r="AD196" s="99">
        <f t="shared" si="23"/>
        <v>0</v>
      </c>
    </row>
    <row r="197" spans="29:30" ht="18" customHeight="1" x14ac:dyDescent="0.2">
      <c r="AC197" s="99">
        <v>1336363</v>
      </c>
      <c r="AD197" s="99">
        <f t="shared" ref="AD197:AD219" si="24">SUMIF($C$38:$C$69,AC197,$L$38:$L$69)</f>
        <v>0</v>
      </c>
    </row>
    <row r="198" spans="29:30" ht="18" customHeight="1" x14ac:dyDescent="0.2">
      <c r="AC198" s="99">
        <v>1582098</v>
      </c>
      <c r="AD198" s="99">
        <f t="shared" si="24"/>
        <v>0</v>
      </c>
    </row>
    <row r="199" spans="29:30" ht="18" customHeight="1" x14ac:dyDescent="0.2">
      <c r="AC199" s="99">
        <v>1634044</v>
      </c>
      <c r="AD199" s="99">
        <f t="shared" si="24"/>
        <v>0</v>
      </c>
    </row>
    <row r="200" spans="29:30" ht="18" customHeight="1" x14ac:dyDescent="0.2">
      <c r="AC200" s="99">
        <v>1746016</v>
      </c>
      <c r="AD200" s="99">
        <f t="shared" si="24"/>
        <v>0</v>
      </c>
    </row>
    <row r="201" spans="29:30" ht="18" customHeight="1" x14ac:dyDescent="0.2">
      <c r="AC201" s="99">
        <v>3547044</v>
      </c>
      <c r="AD201" s="99">
        <f t="shared" si="24"/>
        <v>0</v>
      </c>
    </row>
    <row r="202" spans="29:30" ht="18" customHeight="1" x14ac:dyDescent="0.2">
      <c r="AC202" s="99">
        <v>7439921</v>
      </c>
      <c r="AD202" s="99">
        <f t="shared" si="24"/>
        <v>0</v>
      </c>
    </row>
    <row r="203" spans="29:30" ht="18" customHeight="1" x14ac:dyDescent="0.2">
      <c r="AC203" s="99">
        <v>7439965</v>
      </c>
      <c r="AD203" s="99">
        <f t="shared" ca="1" si="24"/>
        <v>0</v>
      </c>
    </row>
    <row r="204" spans="29:30" ht="18" customHeight="1" x14ac:dyDescent="0.2">
      <c r="AC204" s="99">
        <v>7439976</v>
      </c>
      <c r="AD204" s="99">
        <f t="shared" si="24"/>
        <v>0</v>
      </c>
    </row>
    <row r="205" spans="29:30" ht="18" customHeight="1" x14ac:dyDescent="0.2">
      <c r="AC205" s="99">
        <v>7440020</v>
      </c>
      <c r="AD205" s="99">
        <f t="shared" ca="1" si="24"/>
        <v>0</v>
      </c>
    </row>
    <row r="206" spans="29:30" ht="18" customHeight="1" x14ac:dyDescent="0.2">
      <c r="AC206" s="99">
        <v>7440360</v>
      </c>
      <c r="AD206" s="99">
        <f t="shared" si="24"/>
        <v>0</v>
      </c>
    </row>
    <row r="207" spans="29:30" ht="18" customHeight="1" x14ac:dyDescent="0.2">
      <c r="AC207" s="99">
        <v>7440382</v>
      </c>
      <c r="AD207" s="99">
        <f t="shared" si="24"/>
        <v>0</v>
      </c>
    </row>
    <row r="208" spans="29:30" ht="18" customHeight="1" x14ac:dyDescent="0.2">
      <c r="AC208" s="99">
        <v>7440417</v>
      </c>
      <c r="AD208" s="99">
        <f t="shared" si="24"/>
        <v>0</v>
      </c>
    </row>
    <row r="209" spans="29:30" ht="18" customHeight="1" x14ac:dyDescent="0.2">
      <c r="AC209" s="99">
        <v>7440439</v>
      </c>
      <c r="AD209" s="99">
        <f t="shared" si="24"/>
        <v>0</v>
      </c>
    </row>
    <row r="210" spans="29:30" ht="18" customHeight="1" x14ac:dyDescent="0.2">
      <c r="AC210" s="99">
        <v>7440473</v>
      </c>
      <c r="AD210" s="99">
        <f t="shared" si="24"/>
        <v>0</v>
      </c>
    </row>
    <row r="211" spans="29:30" ht="18" customHeight="1" x14ac:dyDescent="0.2">
      <c r="AC211" s="99">
        <v>7440484</v>
      </c>
      <c r="AD211" s="99">
        <f t="shared" si="24"/>
        <v>0</v>
      </c>
    </row>
    <row r="212" spans="29:30" ht="18" customHeight="1" x14ac:dyDescent="0.2">
      <c r="AC212" s="99">
        <v>7550450</v>
      </c>
      <c r="AD212" s="99">
        <f t="shared" si="24"/>
        <v>0</v>
      </c>
    </row>
    <row r="213" spans="29:30" ht="18" customHeight="1" x14ac:dyDescent="0.2">
      <c r="AC213" s="99">
        <v>7647010</v>
      </c>
      <c r="AD213" s="99">
        <f t="shared" si="24"/>
        <v>0</v>
      </c>
    </row>
    <row r="214" spans="29:30" ht="18" customHeight="1" x14ac:dyDescent="0.2">
      <c r="AC214" s="99">
        <v>7664393</v>
      </c>
      <c r="AD214" s="99">
        <f t="shared" si="24"/>
        <v>0</v>
      </c>
    </row>
    <row r="215" spans="29:30" ht="18" customHeight="1" x14ac:dyDescent="0.2">
      <c r="AC215" s="99">
        <v>7723140</v>
      </c>
      <c r="AD215" s="99">
        <f t="shared" ca="1" si="24"/>
        <v>0</v>
      </c>
    </row>
    <row r="216" spans="29:30" ht="18" customHeight="1" x14ac:dyDescent="0.2">
      <c r="AC216" s="99">
        <v>7782492</v>
      </c>
      <c r="AD216" s="99">
        <f t="shared" si="24"/>
        <v>0</v>
      </c>
    </row>
    <row r="217" spans="29:30" ht="18" customHeight="1" x14ac:dyDescent="0.2">
      <c r="AC217" s="99">
        <v>7782505</v>
      </c>
      <c r="AD217" s="99">
        <f t="shared" si="24"/>
        <v>0</v>
      </c>
    </row>
    <row r="218" spans="29:30" ht="18" customHeight="1" x14ac:dyDescent="0.2">
      <c r="AC218" s="99">
        <v>7803512</v>
      </c>
      <c r="AD218" s="99">
        <f t="shared" si="24"/>
        <v>0</v>
      </c>
    </row>
    <row r="219" spans="29:30" ht="18" customHeight="1" x14ac:dyDescent="0.2">
      <c r="AC219" s="99">
        <v>8001352</v>
      </c>
      <c r="AD219" s="99">
        <f t="shared" si="24"/>
        <v>0</v>
      </c>
    </row>
    <row r="220" spans="29:30" ht="18" customHeight="1" x14ac:dyDescent="0.2"/>
    <row r="221" spans="29:30" ht="18" customHeight="1" x14ac:dyDescent="0.2"/>
    <row r="222" spans="29:30" ht="18" customHeight="1" x14ac:dyDescent="0.2"/>
    <row r="223" spans="29:30" ht="18" customHeight="1" x14ac:dyDescent="0.2"/>
    <row r="224" spans="29:30" ht="18" customHeight="1" x14ac:dyDescent="0.2"/>
    <row r="225" ht="18" customHeight="1" x14ac:dyDescent="0.2"/>
    <row r="226" ht="18" customHeight="1" x14ac:dyDescent="0.2"/>
    <row r="227" ht="18" customHeight="1" x14ac:dyDescent="0.2"/>
    <row r="228" ht="18" customHeight="1" x14ac:dyDescent="0.2"/>
    <row r="229" ht="18" customHeight="1" x14ac:dyDescent="0.2"/>
    <row r="230" ht="18" customHeight="1" x14ac:dyDescent="0.2"/>
    <row r="231" ht="18" customHeight="1" x14ac:dyDescent="0.2"/>
    <row r="232" ht="18" customHeight="1" x14ac:dyDescent="0.2"/>
    <row r="233" ht="18" customHeight="1" x14ac:dyDescent="0.2"/>
    <row r="234" ht="18" customHeight="1" x14ac:dyDescent="0.2"/>
    <row r="235" ht="18" customHeight="1" x14ac:dyDescent="0.2"/>
    <row r="236" ht="18" customHeight="1" x14ac:dyDescent="0.2"/>
    <row r="237" ht="18" customHeight="1" x14ac:dyDescent="0.2"/>
    <row r="238" ht="18" customHeight="1" x14ac:dyDescent="0.2"/>
    <row r="239" ht="18" customHeight="1" x14ac:dyDescent="0.2"/>
    <row r="240" ht="18" customHeight="1" x14ac:dyDescent="0.2"/>
    <row r="241" ht="18" customHeight="1" x14ac:dyDescent="0.2"/>
    <row r="242" ht="18" customHeight="1" x14ac:dyDescent="0.2"/>
    <row r="243" ht="18" customHeight="1" x14ac:dyDescent="0.2"/>
    <row r="244" ht="18" customHeight="1" x14ac:dyDescent="0.2"/>
    <row r="245" ht="18" customHeight="1" x14ac:dyDescent="0.2"/>
    <row r="246" ht="18" customHeight="1" x14ac:dyDescent="0.2"/>
    <row r="247" ht="18" customHeight="1" x14ac:dyDescent="0.2"/>
    <row r="248" ht="18" customHeight="1" x14ac:dyDescent="0.2"/>
    <row r="249" ht="18" customHeight="1" x14ac:dyDescent="0.2"/>
    <row r="250" ht="18" customHeight="1" x14ac:dyDescent="0.2"/>
    <row r="251" ht="18" customHeight="1" x14ac:dyDescent="0.2"/>
    <row r="252" ht="18" customHeight="1" x14ac:dyDescent="0.2"/>
    <row r="253" ht="18" customHeight="1" x14ac:dyDescent="0.2"/>
    <row r="254" ht="18" customHeight="1" x14ac:dyDescent="0.2"/>
    <row r="255" ht="18" customHeight="1" x14ac:dyDescent="0.2"/>
    <row r="256" ht="18" customHeight="1" x14ac:dyDescent="0.2"/>
    <row r="257" ht="18" customHeight="1" x14ac:dyDescent="0.2"/>
    <row r="258" ht="18" customHeight="1" x14ac:dyDescent="0.2"/>
    <row r="259" ht="18" customHeight="1" x14ac:dyDescent="0.2"/>
    <row r="260" ht="18" customHeight="1" x14ac:dyDescent="0.2"/>
    <row r="261" ht="18" customHeight="1" x14ac:dyDescent="0.2"/>
    <row r="262" ht="18" customHeight="1" x14ac:dyDescent="0.2"/>
    <row r="263" ht="18" customHeight="1" x14ac:dyDescent="0.2"/>
    <row r="264" ht="18" customHeight="1" x14ac:dyDescent="0.2"/>
    <row r="265" ht="18" customHeight="1" x14ac:dyDescent="0.2"/>
    <row r="266" ht="18" customHeight="1" x14ac:dyDescent="0.2"/>
    <row r="267" ht="18" customHeight="1" x14ac:dyDescent="0.2"/>
    <row r="268" ht="18" customHeight="1" x14ac:dyDescent="0.2"/>
    <row r="269" ht="18" customHeight="1" x14ac:dyDescent="0.2"/>
    <row r="270" ht="18" customHeight="1" x14ac:dyDescent="0.2"/>
    <row r="271" ht="18" customHeight="1" x14ac:dyDescent="0.2"/>
    <row r="272" ht="18" customHeight="1" x14ac:dyDescent="0.2"/>
    <row r="273" ht="18" customHeight="1" x14ac:dyDescent="0.2"/>
    <row r="274" ht="18" customHeight="1" x14ac:dyDescent="0.2"/>
    <row r="275" ht="18" customHeight="1" x14ac:dyDescent="0.2"/>
    <row r="276" ht="18" customHeight="1" x14ac:dyDescent="0.2"/>
    <row r="277" ht="18" customHeight="1" x14ac:dyDescent="0.2"/>
    <row r="278" ht="18" customHeight="1" x14ac:dyDescent="0.2"/>
    <row r="279" ht="18" customHeight="1" x14ac:dyDescent="0.2"/>
    <row r="280" ht="18" customHeight="1" x14ac:dyDescent="0.2"/>
    <row r="281" ht="18" customHeight="1" x14ac:dyDescent="0.2"/>
    <row r="282" ht="18" customHeight="1" x14ac:dyDescent="0.2"/>
    <row r="283" ht="18" customHeight="1" x14ac:dyDescent="0.2"/>
    <row r="284" ht="18" customHeight="1" x14ac:dyDescent="0.2"/>
    <row r="285" ht="18" customHeight="1" x14ac:dyDescent="0.2"/>
    <row r="286" ht="18" customHeight="1" x14ac:dyDescent="0.2"/>
    <row r="287" ht="18" customHeight="1" x14ac:dyDescent="0.2"/>
  </sheetData>
  <sheetProtection algorithmName="SHA-512" hashValue="6Wu3BolgdR6nlIMxfwcMin8/StbctI7R0uhQBZLS8nym5ilItZUn63T0SxAmfjk6rLHRJV+sknvueDCtpqwIGA==" saltValue="/e7mLUtX7+617zZf8Me2oA==" spinCount="100000" sheet="1" objects="1" scenarios="1"/>
  <dataConsolidate/>
  <mergeCells count="46">
    <mergeCell ref="AG54:AU54"/>
    <mergeCell ref="AH55:AJ55"/>
    <mergeCell ref="AH36:AJ36"/>
    <mergeCell ref="AG35:AU35"/>
    <mergeCell ref="AX35:BL35"/>
    <mergeCell ref="AY36:BA36"/>
    <mergeCell ref="D38:D48"/>
    <mergeCell ref="E38:E48"/>
    <mergeCell ref="F38:F48"/>
    <mergeCell ref="A30:L30"/>
    <mergeCell ref="A36:A37"/>
    <mergeCell ref="B36:B37"/>
    <mergeCell ref="C36:C37"/>
    <mergeCell ref="H36:H37"/>
    <mergeCell ref="G36:G37"/>
    <mergeCell ref="F36:F37"/>
    <mergeCell ref="E36:E37"/>
    <mergeCell ref="D36:D37"/>
    <mergeCell ref="A35:L35"/>
    <mergeCell ref="A34:L34"/>
    <mergeCell ref="A33:H33"/>
    <mergeCell ref="A31:L31"/>
    <mergeCell ref="I33:L33"/>
    <mergeCell ref="A1:L1"/>
    <mergeCell ref="C16:C17"/>
    <mergeCell ref="D16:D17"/>
    <mergeCell ref="E16:E17"/>
    <mergeCell ref="F16:F17"/>
    <mergeCell ref="G16:G17"/>
    <mergeCell ref="A16:A17"/>
    <mergeCell ref="B16:B17"/>
    <mergeCell ref="B9:L9"/>
    <mergeCell ref="B5:L5"/>
    <mergeCell ref="B4:L4"/>
    <mergeCell ref="B3:L3"/>
    <mergeCell ref="A2:L2"/>
    <mergeCell ref="B6:L6"/>
    <mergeCell ref="B8:L8"/>
    <mergeCell ref="A26:L26"/>
    <mergeCell ref="B13:L13"/>
    <mergeCell ref="B12:L12"/>
    <mergeCell ref="B7:L7"/>
    <mergeCell ref="B11:L11"/>
    <mergeCell ref="B10:L10"/>
    <mergeCell ref="A14:L14"/>
    <mergeCell ref="H16:H17"/>
  </mergeCells>
  <conditionalFormatting sqref="B49:B69">
    <cfRule type="expression" dxfId="161" priority="46">
      <formula>J49="Enter HAP Name"</formula>
    </cfRule>
  </conditionalFormatting>
  <conditionalFormatting sqref="C49:C69">
    <cfRule type="expression" dxfId="160" priority="43">
      <formula>AND(NOT(ISBLANK(C49)),NOT(ISNUMBER(MATCH(C49,$AC$37:$AC$219,0))))</formula>
    </cfRule>
  </conditionalFormatting>
  <conditionalFormatting sqref="C49:L69">
    <cfRule type="expression" dxfId="159" priority="45">
      <formula>AND(ISTEXT($B49),ISBLANK(C49))</formula>
    </cfRule>
  </conditionalFormatting>
  <conditionalFormatting sqref="D49:F69 I49:I69 K49:K69">
    <cfRule type="expression" dxfId="158" priority="26">
      <formula>AND(ISBLANK($A49),NOT(ISBLANK($B49)))</formula>
    </cfRule>
  </conditionalFormatting>
  <conditionalFormatting sqref="I49:I69 E49:E69 K49:K69 G49:G69">
    <cfRule type="expression" dxfId="157" priority="40">
      <formula>ISTEXT(E49)</formula>
    </cfRule>
  </conditionalFormatting>
  <conditionalFormatting sqref="I49:I69">
    <cfRule type="expression" dxfId="156" priority="27">
      <formula>OR(AND(F49="POUNDS",H49="WEIGHT %"),AND(F49="GALLONS",H49="LBS/GALLON"))</formula>
    </cfRule>
  </conditionalFormatting>
  <conditionalFormatting sqref="AK37:AU52">
    <cfRule type="cellIs" dxfId="155" priority="21" operator="equal">
      <formula>0</formula>
    </cfRule>
    <cfRule type="cellIs" dxfId="154" priority="22" operator="greaterThanOrEqual">
      <formula>1000</formula>
    </cfRule>
    <cfRule type="cellIs" dxfId="153" priority="23" operator="between">
      <formula>100</formula>
      <formula>1000</formula>
    </cfRule>
    <cfRule type="cellIs" dxfId="152" priority="24" operator="between">
      <formula>0.01</formula>
      <formula>100</formula>
    </cfRule>
    <cfRule type="cellIs" dxfId="151" priority="25" operator="lessThan">
      <formula>0.01</formula>
    </cfRule>
  </conditionalFormatting>
  <conditionalFormatting sqref="AK56:AU66">
    <cfRule type="cellIs" dxfId="150" priority="1" operator="equal">
      <formula>0</formula>
    </cfRule>
    <cfRule type="cellIs" dxfId="149" priority="2" operator="greaterThanOrEqual">
      <formula>1000</formula>
    </cfRule>
    <cfRule type="cellIs" dxfId="148" priority="3" operator="between">
      <formula>100</formula>
      <formula>1000</formula>
    </cfRule>
    <cfRule type="cellIs" dxfId="147" priority="4" operator="between">
      <formula>0.01</formula>
      <formula>100</formula>
    </cfRule>
    <cfRule type="cellIs" dxfId="146" priority="5" operator="lessThan">
      <formula>0.01</formula>
    </cfRule>
  </conditionalFormatting>
  <conditionalFormatting sqref="BB37:BL57">
    <cfRule type="cellIs" dxfId="145" priority="16" operator="equal">
      <formula>0</formula>
    </cfRule>
    <cfRule type="cellIs" dxfId="144" priority="17" operator="greaterThanOrEqual">
      <formula>1000</formula>
    </cfRule>
    <cfRule type="cellIs" dxfId="143" priority="18" operator="between">
      <formula>100</formula>
      <formula>1000</formula>
    </cfRule>
    <cfRule type="cellIs" dxfId="142" priority="19" operator="between">
      <formula>0.01</formula>
      <formula>100</formula>
    </cfRule>
    <cfRule type="cellIs" dxfId="141" priority="20" operator="lessThan">
      <formula>0.01</formula>
    </cfRule>
  </conditionalFormatting>
  <dataValidations disablePrompts="1" count="2">
    <dataValidation type="list" errorStyle="warning" showInputMessage="1" showErrorMessage="1" errorTitle="Error." error="Must select either 'pounds' or 'gallons'!" promptTitle="Throughput Units" prompt="Indicate what units your material throughput is provided in." sqref="F49:F69" xr:uid="{00000000-0002-0000-0C00-000000000000}">
      <formula1>$W$38:$W$39</formula1>
    </dataValidation>
    <dataValidation type="list" errorStyle="warning" showInputMessage="1" showErrorMessage="1" errorTitle="Error!" error="Must provide HAP Content in either 'weight %' or 'lbs/gallon'." promptTitle="HAP Content" prompt="Indicate whether your HAP content is provided in 'weight %' or 'lbs/gallon'." sqref="H49:H69" xr:uid="{00000000-0002-0000-0C00-000001000000}">
      <formula1>$Z$38:$Z$39</formula1>
    </dataValidation>
  </dataValidations>
  <hyperlinks>
    <hyperlink ref="I33:L33" location="'HAP CAS &amp; Names'!A1" display="For a complete list of EPA regulated Hazardous Air Pollutants, including CAS Numbers, click here." xr:uid="{00000000-0004-0000-0C00-000000000000}"/>
    <hyperlink ref="A14:L14" location="'HAP CAS &amp; Names'!A1" display="CLICK HERE FOR EPA'S LIST OF HAZARDOUS AIR POLLUTANTS (HAP)." xr:uid="{00000000-0004-0000-0C00-000001000000}"/>
  </hyperlinks>
  <printOptions horizontalCentered="1"/>
  <pageMargins left="0.5" right="0.4" top="0.5" bottom="0.5" header="0.3" footer="0.3"/>
  <pageSetup scale="73" fitToHeight="0" orientation="landscape" r:id="rId1"/>
  <headerFooter>
    <oddFooter>&amp;LRev. 7/2016&amp;C&amp;A&amp;RPage &amp;P</oddFooter>
  </headerFooter>
  <drawing r:id="rId2"/>
  <extLst>
    <ext xmlns:x14="http://schemas.microsoft.com/office/spreadsheetml/2009/9/main" uri="{CCE6A557-97BC-4b89-ADB6-D9C93CAAB3DF}">
      <x14:dataValidations xmlns:xm="http://schemas.microsoft.com/office/excel/2006/main" disablePrompts="1" count="1">
        <x14:dataValidation type="list" errorStyle="warning" showDropDown="1" showInputMessage="1" showErrorMessage="1" errorTitle="Invalid CAS #" error="The CAS # you have entered is invalid.  Check the CAS # for the pollutant you entered and try again." prompt="Enter the CAS Number for the HAP listed.  The number entered must be a valid CAS Number." xr:uid="{00000000-0002-0000-0C00-000002000000}">
          <x14:formula1>
            <xm:f>'HAP CAS &amp; Names'!$F$4:$F$186</xm:f>
          </x14:formula1>
          <xm:sqref>C38:C69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rgb="FF002060"/>
    <pageSetUpPr fitToPage="1"/>
  </sheetPr>
  <dimension ref="A1:O26"/>
  <sheetViews>
    <sheetView zoomScaleNormal="100" zoomScalePageLayoutView="85" workbookViewId="0">
      <selection sqref="A1:J1"/>
    </sheetView>
  </sheetViews>
  <sheetFormatPr defaultRowHeight="15" x14ac:dyDescent="0.25"/>
  <cols>
    <col min="1" max="1" width="29.7109375" style="64" customWidth="1"/>
    <col min="2" max="6" width="22.7109375" style="64" customWidth="1"/>
    <col min="7" max="7" width="4.5703125" style="64" customWidth="1"/>
    <col min="8" max="16384" width="9.140625" style="64"/>
  </cols>
  <sheetData>
    <row r="1" spans="1:15" s="69" customFormat="1" ht="26.25" customHeight="1" thickBot="1" x14ac:dyDescent="0.3">
      <c r="A1" s="1315" t="s">
        <v>2354</v>
      </c>
      <c r="B1" s="1315"/>
      <c r="C1" s="1315"/>
      <c r="D1" s="1315"/>
      <c r="E1" s="1315"/>
      <c r="F1" s="1315"/>
      <c r="G1" s="1315"/>
      <c r="H1" s="1315"/>
      <c r="I1" s="1315"/>
      <c r="J1" s="1315"/>
      <c r="K1" s="79"/>
      <c r="L1" s="79"/>
    </row>
    <row r="2" spans="1:15" s="68" customFormat="1" ht="20.100000000000001" customHeight="1" x14ac:dyDescent="0.25">
      <c r="A2" s="1316" t="s">
        <v>2503</v>
      </c>
      <c r="B2" s="1316"/>
      <c r="C2" s="1316"/>
      <c r="D2" s="1316"/>
      <c r="E2" s="1316"/>
      <c r="F2" s="1316"/>
      <c r="G2" s="1316"/>
      <c r="H2" s="1316"/>
      <c r="I2" s="1316"/>
      <c r="J2" s="1316"/>
      <c r="K2" s="121"/>
      <c r="L2" s="121"/>
    </row>
    <row r="3" spans="1:15" ht="54.95" customHeight="1" x14ac:dyDescent="0.25">
      <c r="A3" s="1341" t="s">
        <v>1837</v>
      </c>
      <c r="B3" s="1341"/>
      <c r="C3" s="1341"/>
      <c r="D3" s="1341"/>
      <c r="E3" s="1341"/>
      <c r="F3" s="1341"/>
      <c r="G3" s="1341"/>
      <c r="H3" s="1341"/>
      <c r="I3" s="1341"/>
      <c r="J3" s="1341"/>
      <c r="K3" s="122"/>
      <c r="L3" s="122"/>
    </row>
    <row r="4" spans="1:15" ht="39.950000000000003" customHeight="1" x14ac:dyDescent="0.25">
      <c r="A4" s="1341" t="s">
        <v>1817</v>
      </c>
      <c r="B4" s="1341"/>
      <c r="C4" s="1341"/>
      <c r="D4" s="1341"/>
      <c r="E4" s="1341"/>
      <c r="F4" s="1341"/>
      <c r="G4" s="1341"/>
      <c r="H4" s="1341"/>
      <c r="I4" s="1341"/>
      <c r="J4" s="1341"/>
      <c r="K4" s="122"/>
      <c r="L4" s="122"/>
    </row>
    <row r="5" spans="1:15" ht="20.100000000000001" customHeight="1" thickBot="1" x14ac:dyDescent="0.3">
      <c r="A5" s="1207" t="s">
        <v>1818</v>
      </c>
      <c r="B5" s="1207"/>
      <c r="C5" s="1207"/>
      <c r="D5" s="1207"/>
      <c r="E5" s="1207"/>
      <c r="F5" s="1207"/>
      <c r="G5" s="1207"/>
      <c r="H5" s="1207"/>
      <c r="I5" s="1207"/>
      <c r="J5" s="1207"/>
      <c r="K5" s="122"/>
      <c r="L5" s="122"/>
    </row>
    <row r="6" spans="1:15" s="77" customFormat="1" ht="19.5" thickBot="1" x14ac:dyDescent="0.3">
      <c r="A6" s="1208" t="s">
        <v>1564</v>
      </c>
      <c r="B6" s="1208"/>
      <c r="C6" s="1208"/>
      <c r="D6" s="1208"/>
      <c r="E6" s="1208"/>
      <c r="F6" s="1208"/>
      <c r="G6" s="1208"/>
      <c r="H6" s="1208"/>
      <c r="I6" s="1208"/>
      <c r="J6" s="1208"/>
      <c r="K6" s="90"/>
      <c r="L6" s="90"/>
    </row>
    <row r="7" spans="1:15" ht="60" customHeight="1" x14ac:dyDescent="0.25">
      <c r="A7" s="1507"/>
      <c r="B7" s="1507"/>
      <c r="C7" s="1507"/>
      <c r="D7" s="1507"/>
      <c r="E7" s="1507"/>
      <c r="F7" s="1507"/>
    </row>
    <row r="8" spans="1:15" s="99" customFormat="1" ht="24.95" customHeight="1" x14ac:dyDescent="0.25">
      <c r="A8" s="1509" t="s">
        <v>1431</v>
      </c>
      <c r="B8" s="1509"/>
      <c r="C8" s="1509"/>
      <c r="D8" s="1509"/>
      <c r="E8" s="1509"/>
      <c r="F8" s="1509"/>
      <c r="G8" s="181"/>
      <c r="H8" s="181"/>
      <c r="I8" s="181"/>
      <c r="J8" s="181"/>
      <c r="K8" s="182"/>
      <c r="L8" s="64"/>
      <c r="M8" s="64"/>
      <c r="N8" s="64"/>
      <c r="O8" s="64"/>
    </row>
    <row r="9" spans="1:15" s="99" customFormat="1" ht="24.95" customHeight="1" thickBot="1" x14ac:dyDescent="0.3">
      <c r="A9" s="1508" t="s">
        <v>2355</v>
      </c>
      <c r="B9" s="1508"/>
      <c r="C9" s="1508"/>
      <c r="D9" s="1508"/>
      <c r="E9" s="1508"/>
      <c r="F9" s="1508"/>
      <c r="G9" s="183"/>
      <c r="H9" s="183"/>
      <c r="I9" s="183"/>
      <c r="J9" s="183"/>
      <c r="K9" s="182"/>
      <c r="L9" s="64"/>
      <c r="M9" s="64"/>
      <c r="N9" s="64"/>
      <c r="O9" s="64"/>
    </row>
    <row r="10" spans="1:15" ht="73.5" customHeight="1" x14ac:dyDescent="0.25">
      <c r="A10" s="1501" t="s">
        <v>1815</v>
      </c>
      <c r="B10" s="604" t="s">
        <v>256</v>
      </c>
      <c r="C10" s="604" t="s">
        <v>2076</v>
      </c>
      <c r="D10" s="1499" t="s">
        <v>257</v>
      </c>
      <c r="E10" s="604" t="s">
        <v>2077</v>
      </c>
      <c r="F10" s="1497" t="s">
        <v>257</v>
      </c>
    </row>
    <row r="11" spans="1:15" ht="20.100000000000001" customHeight="1" thickBot="1" x14ac:dyDescent="0.3">
      <c r="A11" s="1510"/>
      <c r="B11" s="27" t="s">
        <v>261</v>
      </c>
      <c r="C11" s="27" t="s">
        <v>261</v>
      </c>
      <c r="D11" s="1500"/>
      <c r="E11" s="27" t="s">
        <v>261</v>
      </c>
      <c r="F11" s="1506"/>
    </row>
    <row r="12" spans="1:15" ht="13.5" customHeight="1" thickBot="1" x14ac:dyDescent="0.3">
      <c r="A12" s="1503"/>
      <c r="B12" s="1504"/>
      <c r="C12" s="1504"/>
      <c r="D12" s="1504"/>
      <c r="E12" s="1504"/>
      <c r="F12" s="1505"/>
    </row>
    <row r="13" spans="1:15" ht="20.100000000000001" customHeight="1" x14ac:dyDescent="0.25">
      <c r="A13" s="22" t="s">
        <v>258</v>
      </c>
      <c r="B13" s="28">
        <f>'Table 5-A| Primary MPTE'!G160</f>
        <v>0</v>
      </c>
      <c r="C13" s="24">
        <v>15</v>
      </c>
      <c r="D13" s="23" t="str">
        <f t="shared" ref="D13:D18" si="0">IF(OR(B13&gt;C13,B13=C13),"Yes","No")</f>
        <v>No</v>
      </c>
      <c r="E13" s="24">
        <v>100</v>
      </c>
      <c r="F13" s="616" t="str">
        <f>IF(OR(B13&gt;E13,B13=E13),"Yes","No")</f>
        <v>No</v>
      </c>
      <c r="H13" s="597"/>
      <c r="I13" s="596"/>
      <c r="J13" s="596"/>
      <c r="K13" s="596"/>
    </row>
    <row r="14" spans="1:15" ht="20.100000000000001" customHeight="1" x14ac:dyDescent="0.25">
      <c r="A14" s="21" t="s">
        <v>259</v>
      </c>
      <c r="B14" s="29">
        <f>'Table 5-A| Primary MPTE'!G161</f>
        <v>0</v>
      </c>
      <c r="C14" s="20">
        <v>10</v>
      </c>
      <c r="D14" s="19" t="str">
        <f t="shared" si="0"/>
        <v>No</v>
      </c>
      <c r="E14" s="607"/>
      <c r="F14" s="621" t="s">
        <v>73</v>
      </c>
      <c r="H14" s="596"/>
      <c r="I14" s="596"/>
      <c r="J14" s="596"/>
      <c r="K14" s="596"/>
    </row>
    <row r="15" spans="1:15" ht="20.100000000000001" customHeight="1" x14ac:dyDescent="0.25">
      <c r="A15" s="21" t="s">
        <v>3</v>
      </c>
      <c r="B15" s="29">
        <f>'Table 5-A| Primary MPTE'!G162</f>
        <v>0</v>
      </c>
      <c r="C15" s="20">
        <v>40</v>
      </c>
      <c r="D15" s="19" t="str">
        <f t="shared" si="0"/>
        <v>No</v>
      </c>
      <c r="E15" s="20">
        <v>100</v>
      </c>
      <c r="F15" s="617" t="str">
        <f>IF(OR(B15&gt;E15,B15=E15),"Yes","No")</f>
        <v>No</v>
      </c>
      <c r="H15" s="596"/>
      <c r="I15" s="596"/>
      <c r="J15" s="596"/>
      <c r="K15" s="596"/>
    </row>
    <row r="16" spans="1:15" ht="20.100000000000001" customHeight="1" x14ac:dyDescent="0.25">
      <c r="A16" s="21" t="s">
        <v>4</v>
      </c>
      <c r="B16" s="29">
        <f>'Table 5-A| Primary MPTE'!G163</f>
        <v>0</v>
      </c>
      <c r="C16" s="20">
        <v>40</v>
      </c>
      <c r="D16" s="19" t="str">
        <f t="shared" si="0"/>
        <v>No</v>
      </c>
      <c r="E16" s="20">
        <v>100</v>
      </c>
      <c r="F16" s="617" t="str">
        <f>IF(OR(B16&gt;E16,B16=E16),"Yes","No")</f>
        <v>No</v>
      </c>
      <c r="H16" s="596"/>
      <c r="I16" s="596"/>
      <c r="J16" s="596"/>
      <c r="K16" s="596"/>
    </row>
    <row r="17" spans="1:11" ht="20.100000000000001" customHeight="1" x14ac:dyDescent="0.25">
      <c r="A17" s="21" t="s">
        <v>0</v>
      </c>
      <c r="B17" s="29">
        <f>'Table 5-A| Primary MPTE'!G164</f>
        <v>0</v>
      </c>
      <c r="C17" s="20">
        <v>40</v>
      </c>
      <c r="D17" s="19" t="str">
        <f t="shared" si="0"/>
        <v>No</v>
      </c>
      <c r="E17" s="20">
        <v>100</v>
      </c>
      <c r="F17" s="617" t="str">
        <f>IF(OR(B17&gt;E17,B17=E17),"Yes","No")</f>
        <v>No</v>
      </c>
      <c r="H17" s="596"/>
      <c r="I17" s="596"/>
      <c r="J17" s="596"/>
      <c r="K17" s="596"/>
    </row>
    <row r="18" spans="1:11" ht="20.100000000000001" customHeight="1" x14ac:dyDescent="0.25">
      <c r="A18" s="21" t="s">
        <v>5</v>
      </c>
      <c r="B18" s="29">
        <f>'Table 5-A| Primary MPTE'!G165</f>
        <v>0</v>
      </c>
      <c r="C18" s="20">
        <v>50</v>
      </c>
      <c r="D18" s="19" t="str">
        <f t="shared" si="0"/>
        <v>No</v>
      </c>
      <c r="E18" s="20">
        <v>100</v>
      </c>
      <c r="F18" s="617" t="str">
        <f>IF(OR(B18&gt;E18,B18=E18),"Yes","No")</f>
        <v>No</v>
      </c>
      <c r="H18" s="596"/>
      <c r="I18" s="596"/>
      <c r="J18" s="596"/>
      <c r="K18" s="596"/>
    </row>
    <row r="19" spans="1:11" ht="20.100000000000001" customHeight="1" x14ac:dyDescent="0.25">
      <c r="A19" s="21" t="s">
        <v>236</v>
      </c>
      <c r="B19" s="29">
        <f>'Table 5-A| Primary MPTE'!G166</f>
        <v>0</v>
      </c>
      <c r="C19" s="20">
        <v>0.6</v>
      </c>
      <c r="D19" s="19" t="str">
        <f>IF(OR(B19&gt;C19,B19=C19),"Yes","No")</f>
        <v>No</v>
      </c>
      <c r="E19" s="20">
        <v>5</v>
      </c>
      <c r="F19" s="617" t="str">
        <f>IF(OR(B19&gt;E19,B19=E19),"Yes","No")</f>
        <v>No</v>
      </c>
      <c r="H19" s="596"/>
      <c r="I19" s="596"/>
      <c r="J19" s="596"/>
      <c r="K19" s="596"/>
    </row>
    <row r="20" spans="1:11" ht="20.100000000000001" customHeight="1" thickBot="1" x14ac:dyDescent="0.3">
      <c r="A20" s="21" t="s">
        <v>2078</v>
      </c>
      <c r="B20" s="29">
        <f>'Table 5-A| Primary MPTE'!G167</f>
        <v>0</v>
      </c>
      <c r="C20" s="607"/>
      <c r="D20" s="608" t="s">
        <v>73</v>
      </c>
      <c r="E20" s="607"/>
      <c r="F20" s="621" t="s">
        <v>73</v>
      </c>
      <c r="H20" s="596"/>
      <c r="I20" s="596"/>
      <c r="J20" s="596"/>
      <c r="K20" s="596"/>
    </row>
    <row r="21" spans="1:11" ht="13.5" customHeight="1" thickBot="1" x14ac:dyDescent="0.3">
      <c r="A21" s="1503"/>
      <c r="B21" s="1504"/>
      <c r="C21" s="1504"/>
      <c r="D21" s="1504"/>
      <c r="E21" s="1504"/>
      <c r="F21" s="1505"/>
    </row>
    <row r="22" spans="1:11" ht="72.75" customHeight="1" x14ac:dyDescent="0.25">
      <c r="A22" s="1501" t="s">
        <v>1816</v>
      </c>
      <c r="B22" s="604" t="s">
        <v>256</v>
      </c>
      <c r="C22" s="604" t="s">
        <v>2074</v>
      </c>
      <c r="D22" s="1499" t="s">
        <v>257</v>
      </c>
      <c r="E22" s="604" t="s">
        <v>2075</v>
      </c>
      <c r="F22" s="1497" t="s">
        <v>257</v>
      </c>
    </row>
    <row r="23" spans="1:11" ht="20.100000000000001" customHeight="1" thickBot="1" x14ac:dyDescent="0.3">
      <c r="A23" s="1502"/>
      <c r="B23" s="26" t="s">
        <v>261</v>
      </c>
      <c r="C23" s="27" t="s">
        <v>261</v>
      </c>
      <c r="D23" s="1500"/>
      <c r="E23" s="27" t="s">
        <v>261</v>
      </c>
      <c r="F23" s="1498"/>
    </row>
    <row r="24" spans="1:11" ht="13.5" customHeight="1" thickBot="1" x14ac:dyDescent="0.3">
      <c r="A24" s="605"/>
      <c r="B24" s="606"/>
      <c r="C24" s="606"/>
      <c r="D24" s="606"/>
      <c r="E24" s="606"/>
      <c r="F24" s="618"/>
    </row>
    <row r="25" spans="1:11" ht="20.100000000000001" customHeight="1" x14ac:dyDescent="0.25">
      <c r="A25" s="21" t="s">
        <v>262</v>
      </c>
      <c r="B25" s="451">
        <f ca="1">IFERROR(LARGE('Table 5-D| MPTE HAP'!$AD$37:$AD$219,1)/2000,0)</f>
        <v>0</v>
      </c>
      <c r="C25" s="20">
        <v>2.5</v>
      </c>
      <c r="D25" s="19" t="str">
        <f ca="1">IF(OR(B25&gt;C25,B25=C25),"Yes","No")</f>
        <v>No</v>
      </c>
      <c r="E25" s="20">
        <v>10</v>
      </c>
      <c r="F25" s="617" t="str">
        <f ca="1">IF(OR(B25&gt;E25,B25=E25),"Yes","No")</f>
        <v>No</v>
      </c>
      <c r="H25" s="449"/>
    </row>
    <row r="26" spans="1:11" ht="20.100000000000001" customHeight="1" thickBot="1" x14ac:dyDescent="0.3">
      <c r="A26" s="443" t="s">
        <v>263</v>
      </c>
      <c r="B26" s="444">
        <f ca="1">'Table 5-A| Primary MPTE'!G170</f>
        <v>0</v>
      </c>
      <c r="C26" s="445">
        <v>10</v>
      </c>
      <c r="D26" s="446" t="str">
        <f ca="1">IF(OR(B26&gt;C26,B26=C26),"Yes","No")</f>
        <v>No</v>
      </c>
      <c r="E26" s="445">
        <v>25</v>
      </c>
      <c r="F26" s="619" t="str">
        <f ca="1">IF(OR(B26&gt;E26,B26=E26),"Yes","No")</f>
        <v>No</v>
      </c>
    </row>
  </sheetData>
  <sheetProtection algorithmName="SHA-512" hashValue="ZvYoi6fns4kBPuekRFk8G8qhG6r81EHSmL2pL5hGinN3+kDSrhh4gTqidCTWHbJEDSbvxSQv1dKToskV766M3Q==" saltValue="MnxH5+MtxvLkX+y0GUNjpA==" spinCount="100000" sheet="1" objects="1" scenarios="1"/>
  <mergeCells count="17">
    <mergeCell ref="A7:F7"/>
    <mergeCell ref="A9:F9"/>
    <mergeCell ref="A8:F8"/>
    <mergeCell ref="A10:A11"/>
    <mergeCell ref="A1:J1"/>
    <mergeCell ref="A5:J5"/>
    <mergeCell ref="A4:J4"/>
    <mergeCell ref="A3:J3"/>
    <mergeCell ref="A2:J2"/>
    <mergeCell ref="A6:J6"/>
    <mergeCell ref="F22:F23"/>
    <mergeCell ref="D22:D23"/>
    <mergeCell ref="A22:A23"/>
    <mergeCell ref="A12:F12"/>
    <mergeCell ref="F10:F11"/>
    <mergeCell ref="D10:D11"/>
    <mergeCell ref="A21:F21"/>
  </mergeCells>
  <conditionalFormatting sqref="D13:D20">
    <cfRule type="expression" dxfId="140" priority="2">
      <formula>D13="Yes"</formula>
    </cfRule>
  </conditionalFormatting>
  <conditionalFormatting sqref="D24:D26">
    <cfRule type="expression" dxfId="139" priority="32">
      <formula>D24="Yes"</formula>
    </cfRule>
  </conditionalFormatting>
  <conditionalFormatting sqref="F13:F20">
    <cfRule type="expression" dxfId="138" priority="1">
      <formula>F13="Yes"</formula>
    </cfRule>
  </conditionalFormatting>
  <conditionalFormatting sqref="F22:F26">
    <cfRule type="expression" dxfId="137" priority="31">
      <formula>F22="Yes"</formula>
    </cfRule>
  </conditionalFormatting>
  <printOptions horizontalCentered="1"/>
  <pageMargins left="0.5" right="0.5" top="0.5" bottom="0.5" header="0.3" footer="0.3"/>
  <pageSetup scale="88" fitToHeight="0" orientation="landscape" r:id="rId1"/>
  <headerFooter>
    <oddFooter>&amp;LRev. 7/2016&amp;C&amp;A&amp;RPage &amp;P</oddFooter>
  </headerFooter>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002060"/>
    <pageSetUpPr fitToPage="1"/>
  </sheetPr>
  <dimension ref="A1:AC90"/>
  <sheetViews>
    <sheetView showGridLines="0" zoomScaleNormal="100" workbookViewId="0">
      <selection sqref="A1:F1"/>
    </sheetView>
  </sheetViews>
  <sheetFormatPr defaultRowHeight="20.100000000000001" customHeight="1" x14ac:dyDescent="0.25"/>
  <cols>
    <col min="1" max="1" width="28" style="48" customWidth="1"/>
    <col min="2" max="6" width="16.28515625" style="48" customWidth="1"/>
    <col min="7" max="7" width="36" style="48" customWidth="1"/>
    <col min="8" max="12" width="5.7109375" style="48" customWidth="1"/>
    <col min="13" max="16" width="12.7109375" style="48" customWidth="1"/>
    <col min="17" max="17" width="9.42578125" style="48" bestFit="1" customWidth="1"/>
    <col min="18" max="18" width="33.140625" style="48" bestFit="1" customWidth="1"/>
    <col min="19" max="19" width="12.7109375" style="48" customWidth="1"/>
    <col min="20" max="20" width="122.5703125" style="48" bestFit="1" customWidth="1"/>
    <col min="21" max="21" width="93.7109375" style="48" customWidth="1"/>
    <col min="22" max="22" width="90" style="48" customWidth="1"/>
    <col min="23" max="34" width="12.7109375" style="48" customWidth="1"/>
    <col min="35" max="16384" width="9.140625" style="48"/>
  </cols>
  <sheetData>
    <row r="1" spans="1:29" ht="60" customHeight="1" x14ac:dyDescent="0.25">
      <c r="A1" s="1092"/>
      <c r="B1" s="1092"/>
      <c r="C1" s="1092"/>
      <c r="D1" s="1092"/>
      <c r="E1" s="1092"/>
      <c r="F1" s="1092"/>
    </row>
    <row r="2" spans="1:29" ht="24.95" customHeight="1" thickBot="1" x14ac:dyDescent="0.3">
      <c r="A2" s="989" t="s">
        <v>2109</v>
      </c>
      <c r="B2" s="989"/>
      <c r="C2" s="989"/>
      <c r="D2" s="989"/>
      <c r="E2" s="989"/>
      <c r="F2" s="989"/>
      <c r="R2" s="1006"/>
      <c r="S2" s="1006"/>
      <c r="T2" s="1006"/>
      <c r="U2" s="1006"/>
      <c r="V2" s="1006"/>
      <c r="W2" s="1006"/>
      <c r="Y2" s="448"/>
    </row>
    <row r="3" spans="1:29" ht="30" customHeight="1" thickBot="1" x14ac:dyDescent="0.3">
      <c r="A3" s="904" t="s">
        <v>2072</v>
      </c>
      <c r="B3" s="905"/>
      <c r="C3" s="905"/>
      <c r="D3" s="905"/>
      <c r="E3" s="905"/>
      <c r="F3" s="906"/>
      <c r="M3" s="67"/>
      <c r="N3" s="67"/>
      <c r="O3" s="67"/>
      <c r="P3" s="67"/>
      <c r="R3" s="1532" t="s">
        <v>2057</v>
      </c>
      <c r="S3" s="1532"/>
      <c r="T3" s="1532"/>
      <c r="U3" s="125"/>
      <c r="V3" s="125"/>
      <c r="W3" s="67"/>
    </row>
    <row r="4" spans="1:29" ht="65.099999999999994" customHeight="1" x14ac:dyDescent="0.25">
      <c r="A4" s="1128" t="str">
        <f ca="1">IF($S$4=TRUE,$T$4,IF($S$5=TRUE,$T$5,IF($S$6=TRUE,$T$6,IF($S$8=TRUE,$T$8,IF($S$9=TRUE,$T$9,IF($S$11=TRUE,$T$11,""))))))</f>
        <v/>
      </c>
      <c r="B4" s="1129"/>
      <c r="C4" s="1129"/>
      <c r="D4" s="1129"/>
      <c r="E4" s="1129"/>
      <c r="F4" s="1130"/>
      <c r="G4" s="129"/>
      <c r="O4" s="124"/>
      <c r="P4" s="124"/>
      <c r="R4" s="536" t="s">
        <v>2054</v>
      </c>
      <c r="S4" s="125" t="b">
        <f t="array" aca="1" ref="S4" ca="1">IF(AND(OR('Table 5-E| MPTE Thresholds'!$F$13:$F$26="Yes"),OR('Section 1| General Information'!$N$8:$O$8=TRUE,'Section 1| General Information'!$Q$8=TRUE)),TRUE,FALSE)</f>
        <v>0</v>
      </c>
      <c r="T4" s="599" t="s">
        <v>2105</v>
      </c>
      <c r="U4" s="599" t="s">
        <v>2087</v>
      </c>
      <c r="V4" s="599" t="s">
        <v>2088</v>
      </c>
    </row>
    <row r="5" spans="1:29" ht="50.1" customHeight="1" x14ac:dyDescent="0.25">
      <c r="A5" s="1136" t="str">
        <f ca="1">IF($S$4=TRUE,$U$4,IF($S$5=TRUE,$U$5,IF($S$8=TRUE,$U$8,IF($S$9=TRUE,$U$9,IF($S$10=TRUE,$U$10,"")))))</f>
        <v/>
      </c>
      <c r="B5" s="1514"/>
      <c r="C5" s="1514"/>
      <c r="D5" s="1137"/>
      <c r="E5" s="382" t="s">
        <v>1785</v>
      </c>
      <c r="F5" s="383" t="s">
        <v>1784</v>
      </c>
      <c r="G5" s="123" t="str">
        <f>IF(AND(M5=TRUE,N5=TRUE),"Too many boxes checked.","")</f>
        <v/>
      </c>
      <c r="M5" s="468" t="b">
        <v>0</v>
      </c>
      <c r="N5" s="468" t="b">
        <v>0</v>
      </c>
      <c r="O5" s="48" t="b">
        <f>IF(OR(AND(M5=TRUE,N5=TRUE),AND(M5=FALSE,N5=FALSE)),FALSE,TRUE)</f>
        <v>0</v>
      </c>
      <c r="R5" s="536" t="s">
        <v>2055</v>
      </c>
      <c r="S5" s="125" t="b">
        <f t="array" aca="1" ref="S5" ca="1">IF(AND(OR('Table 5-E| MPTE Thresholds'!$D$13:$D$26="Yes"),OR('Section 1| General Information'!$N$8:$O$8=TRUE,'Section 1| General Information'!$Q$8=TRUE),$S$4=FALSE),TRUE,FALSE)</f>
        <v>0</v>
      </c>
      <c r="T5" s="599" t="s">
        <v>2104</v>
      </c>
      <c r="U5" s="599" t="s">
        <v>2085</v>
      </c>
    </row>
    <row r="6" spans="1:29" ht="50.1" customHeight="1" x14ac:dyDescent="0.25">
      <c r="A6" s="1136" t="str">
        <f ca="1">IF(AND(S4=FALSE,S9=FALSE),"",IF(S4=TRUE,V4,IF(S9=TRUE,V9,"")))</f>
        <v/>
      </c>
      <c r="B6" s="1514"/>
      <c r="C6" s="1514"/>
      <c r="D6" s="1137"/>
      <c r="E6" s="602" t="s">
        <v>1785</v>
      </c>
      <c r="F6" s="603" t="s">
        <v>1784</v>
      </c>
      <c r="G6" s="123" t="str">
        <f>IF(AND(M6=TRUE,N6=TRUE),"Too many boxes checked.","")</f>
        <v/>
      </c>
      <c r="M6" s="468" t="b">
        <v>0</v>
      </c>
      <c r="N6" s="468" t="b">
        <v>0</v>
      </c>
      <c r="O6" s="48" t="b">
        <f>IF(OR(AND(M6=TRUE,N6=TRUE),AND(M6=FALSE,N6=FALSE)),FALSE,TRUE)</f>
        <v>0</v>
      </c>
      <c r="R6" s="536" t="s">
        <v>2056</v>
      </c>
      <c r="S6" s="600" t="b">
        <f t="array" aca="1" ref="S6" ca="1">IF(AND('Table 5-E| MPTE Thresholds'!$D$13:$D$20="No",'Table 5-E| MPTE Thresholds'!$D$25:$D$26="No",OR('Section 1| General Information'!$N$8:$O$8=TRUE,'Section 1| General Information'!$Q$8=TRUE)),TRUE,FALSE)</f>
        <v>0</v>
      </c>
      <c r="T6" s="599" t="s">
        <v>2086</v>
      </c>
      <c r="U6" s="601" t="s">
        <v>2073</v>
      </c>
      <c r="Y6" s="598"/>
      <c r="Z6" s="598"/>
      <c r="AA6" s="598"/>
      <c r="AB6" s="598"/>
      <c r="AC6" s="598"/>
    </row>
    <row r="7" spans="1:29" ht="66.75" customHeight="1" x14ac:dyDescent="0.25">
      <c r="A7" s="898" t="str">
        <f ca="1">IF($S$6=TRUE,$U$6,IF($S$11=TRUE,$U$11,IF($S$13=TRUE,$T$13,IF($S$14=TRUE,$T$14,IF($S$15=TRUE,$T$15,IF($S$16=TRUE,$T$16,IF($S$17=TRUE,$T$17,IF($S$18=TRUE,$T$18,IF($S$19=TRUE,$T$19,IF($S$20=TRUE,$T$20,IF($S$21=TRUE,$T$21,IF($S$22=TRUE,$T$22,""))))))))))))</f>
        <v/>
      </c>
      <c r="B7" s="1515"/>
      <c r="C7" s="1515"/>
      <c r="D7" s="1515"/>
      <c r="E7" s="1515"/>
      <c r="F7" s="1516"/>
      <c r="M7" s="447"/>
      <c r="N7" s="49"/>
      <c r="O7" s="67"/>
      <c r="R7" s="1532" t="s">
        <v>2058</v>
      </c>
      <c r="S7" s="1532"/>
      <c r="T7" s="1532"/>
      <c r="U7" s="599"/>
      <c r="Y7" s="598"/>
      <c r="Z7" s="598"/>
      <c r="AA7" s="598"/>
      <c r="AB7" s="598"/>
      <c r="AC7" s="598"/>
    </row>
    <row r="8" spans="1:29" ht="50.1" customHeight="1" thickBot="1" x14ac:dyDescent="0.3">
      <c r="A8" s="1517"/>
      <c r="B8" s="1518"/>
      <c r="C8" s="1518"/>
      <c r="D8" s="1518"/>
      <c r="E8" s="1518"/>
      <c r="F8" s="1162"/>
      <c r="M8" s="124"/>
      <c r="N8" s="124"/>
      <c r="R8" s="536" t="s">
        <v>2059</v>
      </c>
      <c r="S8" s="125" t="b">
        <f t="array" aca="1" ref="S8" ca="1">IF(AND(OR('Table 5-E| MPTE Thresholds'!$D$13:$D$26="Yes"),OR('Section 1| General Information'!$P$8:$Q$8=TRUE),S9=FALSE),TRUE,FALSE)</f>
        <v>0</v>
      </c>
      <c r="T8" s="599" t="s">
        <v>2102</v>
      </c>
      <c r="U8" s="599" t="s">
        <v>2084</v>
      </c>
      <c r="Y8" s="598"/>
      <c r="Z8" s="598"/>
      <c r="AA8" s="598"/>
      <c r="AB8" s="598"/>
      <c r="AC8" s="598"/>
    </row>
    <row r="9" spans="1:29" ht="30" customHeight="1" thickBot="1" x14ac:dyDescent="0.3">
      <c r="A9" s="904" t="s">
        <v>2107</v>
      </c>
      <c r="B9" s="905"/>
      <c r="C9" s="905"/>
      <c r="D9" s="905"/>
      <c r="E9" s="905"/>
      <c r="F9" s="906"/>
      <c r="R9" s="536" t="s">
        <v>2062</v>
      </c>
      <c r="S9" s="125" t="b">
        <f t="array" aca="1" ref="S9" ca="1">IF(AND(OR('Table 5-E| MPTE Thresholds'!$F$13:$F$26="Yes"),'Section 1| General Information'!$P$8=TRUE),TRUE,FALSE)</f>
        <v>0</v>
      </c>
      <c r="T9" s="599" t="s">
        <v>2103</v>
      </c>
      <c r="U9" s="599" t="s">
        <v>2085</v>
      </c>
      <c r="V9" s="599" t="s">
        <v>2090</v>
      </c>
      <c r="Y9" s="598"/>
      <c r="Z9" s="598"/>
      <c r="AA9" s="598"/>
      <c r="AB9" s="598"/>
      <c r="AC9" s="598"/>
    </row>
    <row r="10" spans="1:29" ht="45" customHeight="1" x14ac:dyDescent="0.25">
      <c r="A10" s="1511" t="str">
        <f ca="1">IF(S20=TRUE,U20,"Not applicable.")</f>
        <v>Not applicable.</v>
      </c>
      <c r="B10" s="1512"/>
      <c r="C10" s="1512"/>
      <c r="D10" s="1512"/>
      <c r="E10" s="1512"/>
      <c r="F10" s="1513"/>
      <c r="O10" s="124"/>
      <c r="Q10" s="124"/>
      <c r="R10" s="536" t="s">
        <v>2061</v>
      </c>
      <c r="S10" s="125" t="b">
        <f t="array" aca="1" ref="S10" ca="1">IF(AND(OR('Table 5-E| MPTE Thresholds'!$D$25:$D$26="Yes"),OR('Section 1| General Information'!$P$8:$Q$8=TRUE)),TRUE,FALSE)</f>
        <v>0</v>
      </c>
      <c r="T10" s="599" t="s">
        <v>2101</v>
      </c>
      <c r="U10" s="599" t="s">
        <v>2091</v>
      </c>
      <c r="Y10" s="598"/>
      <c r="Z10" s="598"/>
      <c r="AA10" s="598"/>
      <c r="AB10" s="598"/>
      <c r="AC10" s="598"/>
    </row>
    <row r="11" spans="1:29" ht="45" customHeight="1" x14ac:dyDescent="0.25">
      <c r="A11" s="609" t="str">
        <f ca="1">IF(S20=TRUE,"       Option A","")</f>
        <v/>
      </c>
      <c r="B11" s="1536" t="str">
        <f ca="1">IF(S20=TRUE,"I would like to obtain a Construction Permit that limits facility-wide potential to emit to less than Class I operating permit thresholds.  I understand that this source will still require a Class II Operating Permit.","")</f>
        <v/>
      </c>
      <c r="C11" s="1537"/>
      <c r="D11" s="1537"/>
      <c r="E11" s="1537"/>
      <c r="F11" s="1538"/>
      <c r="G11" s="123" t="str">
        <f>IF(AND(M11=TRUE,N11=TRUE),"Too many boxes checked.","")</f>
        <v/>
      </c>
      <c r="M11" s="450" t="b">
        <v>0</v>
      </c>
      <c r="N11" s="450" t="b">
        <v>0</v>
      </c>
      <c r="O11" s="48" t="b">
        <f>IF(OR(AND(M11=TRUE,N11=TRUE),AND(M11=FALSE,N11=FALSE)),FALSE,TRUE)</f>
        <v>0</v>
      </c>
      <c r="Q11" s="124"/>
      <c r="R11" s="536" t="s">
        <v>2056</v>
      </c>
      <c r="S11" s="600" t="b">
        <f t="array" aca="1" ref="S11" ca="1">IF(AND('Table 5-E| MPTE Thresholds'!$D$13:$D$20="No",'Table 5-E| MPTE Thresholds'!$D$25:$D$26="No",OR('Section 1| General Information'!$P$8:$Q$8=TRUE)),TRUE,FALSE)</f>
        <v>0</v>
      </c>
      <c r="T11" s="599" t="s">
        <v>2089</v>
      </c>
      <c r="U11" s="599" t="s">
        <v>2073</v>
      </c>
    </row>
    <row r="12" spans="1:29" ht="45" customHeight="1" x14ac:dyDescent="0.25">
      <c r="A12" s="610" t="str">
        <f ca="1">IF(S20=TRUE,"       Option B","")</f>
        <v/>
      </c>
      <c r="B12" s="1533" t="str">
        <f ca="1">IF(S20=TRUE,"I would like to obtain a Construction Permit that limits facility-wide potential to emit to less than Class II operating permit thresholds.  I understand that doing so will mean that this source no longer requries a Class I or Class II Operating Permit.","")</f>
        <v/>
      </c>
      <c r="C12" s="1534"/>
      <c r="D12" s="1534"/>
      <c r="E12" s="1534"/>
      <c r="F12" s="1535"/>
      <c r="M12" s="447"/>
      <c r="N12" s="49"/>
      <c r="O12" s="124"/>
      <c r="R12" s="1532" t="s">
        <v>2060</v>
      </c>
      <c r="S12" s="1532"/>
      <c r="T12" s="1532"/>
      <c r="U12" s="182"/>
      <c r="V12" s="182"/>
      <c r="W12" s="182"/>
      <c r="X12" s="182"/>
      <c r="Y12" s="182"/>
    </row>
    <row r="13" spans="1:29" ht="60" customHeight="1" thickBot="1" x14ac:dyDescent="0.3">
      <c r="A13" s="1517" t="str">
        <f ca="1">IF(AND(S20=TRUE,M11=TRUE,O11=TRUE),"This application will be used to write both your Class II Operating Permit, and your Construction Permit.  Continue with the remainder of the application.",IF(AND(S20=TRUE,N11=TRUE,O11=TRUE),"This application will be used to write your Construction Permit.  Continue with the remainder of the application.",""))</f>
        <v/>
      </c>
      <c r="B13" s="1518"/>
      <c r="C13" s="1518"/>
      <c r="D13" s="1518"/>
      <c r="E13" s="1518"/>
      <c r="F13" s="1162"/>
      <c r="N13" s="124"/>
      <c r="O13" s="124"/>
      <c r="Q13" s="124"/>
      <c r="R13" s="535" t="s">
        <v>2063</v>
      </c>
      <c r="S13" s="125" t="b">
        <f ca="1">IF(AND($S$4=TRUE,$N$5=TRUE,$O$5=TRUE,$N$6=TRUE,$O$6=TRUE),TRUE,FALSE)</f>
        <v>0</v>
      </c>
      <c r="T13" s="535" t="s">
        <v>2093</v>
      </c>
      <c r="U13" s="129"/>
      <c r="V13" s="129"/>
      <c r="W13" s="129"/>
      <c r="X13" s="129"/>
      <c r="Y13" s="129"/>
    </row>
    <row r="14" spans="1:29" ht="35.1" customHeight="1" thickBot="1" x14ac:dyDescent="0.3">
      <c r="A14" s="904" t="s">
        <v>1819</v>
      </c>
      <c r="B14" s="905"/>
      <c r="C14" s="905"/>
      <c r="D14" s="905"/>
      <c r="E14" s="905"/>
      <c r="F14" s="906"/>
      <c r="Q14" s="124"/>
      <c r="R14" s="535" t="s">
        <v>2064</v>
      </c>
      <c r="S14" s="125" t="b">
        <f ca="1">IF(AND($S$9=TRUE,$N$5=TRUE,$O$5=TRUE,$N$6=TRUE,$O$6=TRUE),TRUE,FALSE)</f>
        <v>0</v>
      </c>
      <c r="T14" s="535" t="s">
        <v>2094</v>
      </c>
      <c r="U14" s="129"/>
      <c r="V14" s="129"/>
      <c r="W14" s="129"/>
      <c r="X14" s="129"/>
      <c r="Y14" s="129"/>
    </row>
    <row r="15" spans="1:29" ht="50.1" customHeight="1" x14ac:dyDescent="0.25">
      <c r="A15" s="1511" t="str">
        <f ca="1">IF(AND($S$10=TRUE,$S$16=FALSE),$T$10,"Not applicable.")</f>
        <v>Not applicable.</v>
      </c>
      <c r="B15" s="1512"/>
      <c r="C15" s="1512"/>
      <c r="D15" s="1512"/>
      <c r="E15" s="1512"/>
      <c r="F15" s="1513"/>
      <c r="G15" s="123"/>
      <c r="M15" s="81"/>
      <c r="N15" s="81"/>
      <c r="O15" s="80"/>
      <c r="Q15" s="80"/>
      <c r="R15" s="535" t="s">
        <v>2069</v>
      </c>
      <c r="S15" s="125" t="b">
        <f ca="1">IF(AND($S$9=TRUE,$N$5=TRUE,$O$5=TRUE,$M$6=TRUE,$O$6=TRUE),TRUE,FALSE)</f>
        <v>0</v>
      </c>
      <c r="T15" s="535" t="s">
        <v>2095</v>
      </c>
      <c r="U15" s="129"/>
      <c r="V15" s="129"/>
      <c r="W15" s="129"/>
      <c r="X15" s="129"/>
      <c r="Y15" s="129"/>
    </row>
    <row r="16" spans="1:29" ht="50.1" customHeight="1" x14ac:dyDescent="0.25">
      <c r="A16" s="1136" t="str">
        <f ca="1">IF($S$10=TRUE,$U$10,"")</f>
        <v/>
      </c>
      <c r="B16" s="1514"/>
      <c r="C16" s="1514"/>
      <c r="D16" s="1137"/>
      <c r="E16" s="380" t="s">
        <v>1785</v>
      </c>
      <c r="F16" s="381" t="s">
        <v>1784</v>
      </c>
      <c r="G16" s="123" t="str">
        <f>IF(AND(M16=TRUE,N16=TRUE),"Too many boxes checked.","")</f>
        <v/>
      </c>
      <c r="M16" s="468" t="b">
        <v>0</v>
      </c>
      <c r="N16" s="468" t="b">
        <v>0</v>
      </c>
      <c r="O16" s="48" t="b">
        <f>IF(OR(AND(M16=TRUE,N16=TRUE),AND(M16=FALSE,N16=FALSE)),FALSE,TRUE)</f>
        <v>0</v>
      </c>
      <c r="Q16" s="80"/>
      <c r="R16" s="535" t="s">
        <v>2070</v>
      </c>
      <c r="S16" s="125" t="b">
        <f ca="1">IF(AND($S$9=TRUE,$M$5=TRUE,$O$5=TRUE),TRUE,FALSE)</f>
        <v>0</v>
      </c>
      <c r="T16" s="535" t="s">
        <v>2081</v>
      </c>
      <c r="U16" s="129"/>
      <c r="V16" s="129"/>
      <c r="W16" s="129"/>
      <c r="X16" s="129"/>
      <c r="Y16" s="129"/>
    </row>
    <row r="17" spans="1:25" ht="45" customHeight="1" x14ac:dyDescent="0.25">
      <c r="A17" s="898" t="str">
        <f ca="1">IF($S$23=TRUE,$T$23,IF($S$24=TRUE,$T$24,""))</f>
        <v/>
      </c>
      <c r="B17" s="1515"/>
      <c r="C17" s="1515"/>
      <c r="D17" s="1515"/>
      <c r="E17" s="1515"/>
      <c r="F17" s="1516"/>
      <c r="G17" s="1520" t="str">
        <f ca="1">IF(S10=FALSE,"",IF(AND(S17=TRUE,N16=TRUE,O16=TRUE),"In Part A, you agreed to keep emissions below Class II thresholds, which are the same as the T-BACT thresholds.  Reevaluate your answers.",""))</f>
        <v/>
      </c>
      <c r="M17" s="447"/>
      <c r="N17" s="49"/>
      <c r="O17" s="124"/>
      <c r="R17" s="535" t="s">
        <v>2079</v>
      </c>
      <c r="S17" s="125" t="b">
        <f ca="1">IF(AND($S$8=TRUE,$M$5=TRUE,$O$5=TRUE),TRUE,FALSE)</f>
        <v>0</v>
      </c>
      <c r="T17" s="535" t="s">
        <v>2082</v>
      </c>
      <c r="U17" s="129"/>
      <c r="V17" s="129"/>
      <c r="W17" s="129"/>
      <c r="X17" s="129"/>
      <c r="Y17" s="129"/>
    </row>
    <row r="18" spans="1:25" ht="45" customHeight="1" thickBot="1" x14ac:dyDescent="0.3">
      <c r="A18" s="1521"/>
      <c r="B18" s="1522"/>
      <c r="C18" s="1522"/>
      <c r="D18" s="1522"/>
      <c r="E18" s="1522"/>
      <c r="F18" s="1523"/>
      <c r="G18" s="1520"/>
      <c r="M18" s="124"/>
      <c r="N18" s="124"/>
      <c r="O18" s="124"/>
      <c r="Q18" s="124"/>
      <c r="R18" s="535" t="s">
        <v>2080</v>
      </c>
      <c r="S18" s="125" t="b">
        <f ca="1">IF(AND($S$8=TRUE,$N$5=TRUE,$O$5=TRUE),TRUE,FALSE)</f>
        <v>0</v>
      </c>
      <c r="T18" s="535" t="s">
        <v>2092</v>
      </c>
      <c r="U18" s="129"/>
      <c r="V18" s="129"/>
      <c r="W18" s="129"/>
      <c r="X18" s="129"/>
      <c r="Y18" s="129"/>
    </row>
    <row r="19" spans="1:25" ht="30" customHeight="1" thickBot="1" x14ac:dyDescent="0.3">
      <c r="A19" s="904" t="s">
        <v>1822</v>
      </c>
      <c r="B19" s="905"/>
      <c r="C19" s="905"/>
      <c r="D19" s="905"/>
      <c r="E19" s="905"/>
      <c r="F19" s="906"/>
      <c r="M19" s="1519" t="s">
        <v>2071</v>
      </c>
      <c r="N19" s="1519"/>
      <c r="O19" s="48" t="b">
        <f t="array" aca="1" ref="O19" ca="1">IF(AND('Table 5-E| MPTE Thresholds'!F25="No",'Table 5-E| MPTE Thresholds'!F26="No"),FALSE,IF(OR(S24=TRUE,OR(S15:S22=TRUE)),FALSE,TRUE))</f>
        <v>0</v>
      </c>
      <c r="Q19" s="124"/>
      <c r="R19" s="535" t="s">
        <v>2065</v>
      </c>
      <c r="S19" s="125" t="b">
        <f ca="1">IF(AND($S$4=TRUE,$M$5=TRUE,$O$5=TRUE, $N$6=TRUE,$O$6=TRUE),TRUE,FALSE)</f>
        <v>0</v>
      </c>
      <c r="T19" s="535" t="s">
        <v>2099</v>
      </c>
      <c r="U19" s="129"/>
      <c r="V19" s="129"/>
      <c r="W19" s="129"/>
      <c r="X19" s="129"/>
      <c r="Y19" s="129"/>
    </row>
    <row r="20" spans="1:25" ht="45" customHeight="1" x14ac:dyDescent="0.25">
      <c r="A20" s="1511" t="str">
        <f ca="1">IF($O$19=TRUE,"The potential emissions of HAPs from your source exceed the 'major source' thresholds, meaning your source could be subject to MACT requirements.  Please answer the following question.","Not applicable.")</f>
        <v>Not applicable.</v>
      </c>
      <c r="B20" s="1512"/>
      <c r="C20" s="1512"/>
      <c r="D20" s="1512"/>
      <c r="E20" s="1512"/>
      <c r="F20" s="1513"/>
      <c r="G20" s="123"/>
      <c r="M20" s="81"/>
      <c r="N20" s="81"/>
      <c r="Q20" s="80"/>
      <c r="R20" s="535" t="s">
        <v>2066</v>
      </c>
      <c r="S20" s="125" t="b">
        <f ca="1">IF(AND($S$4=TRUE,$O$5=TRUE,$O$6=TRUE,$M$6=TRUE),TRUE,FALSE)</f>
        <v>0</v>
      </c>
      <c r="T20" s="535" t="s">
        <v>2083</v>
      </c>
      <c r="U20" s="535" t="s">
        <v>2106</v>
      </c>
      <c r="V20" s="129"/>
      <c r="W20" s="129"/>
      <c r="X20" s="129"/>
      <c r="Y20" s="129"/>
    </row>
    <row r="21" spans="1:25" ht="45" customHeight="1" x14ac:dyDescent="0.25">
      <c r="A21" s="1136" t="str">
        <f>IF($M$17=FALSE,"",IF(M16=TRUE,"",IF($P$4=TRUE,"Do you wish to take enforceable permit requirements to limit emissions to levels that are lower than HAP major source thresholds?","")))</f>
        <v/>
      </c>
      <c r="B21" s="1514"/>
      <c r="C21" s="1514"/>
      <c r="D21" s="1137"/>
      <c r="E21" s="380" t="s">
        <v>1785</v>
      </c>
      <c r="F21" s="381" t="s">
        <v>1784</v>
      </c>
      <c r="G21" s="123" t="str">
        <f>IF(AND(M21=TRUE,N21=TRUE),"Too many boxes checked.","")</f>
        <v/>
      </c>
      <c r="M21" s="468" t="b">
        <v>0</v>
      </c>
      <c r="N21" s="468" t="b">
        <v>0</v>
      </c>
      <c r="O21" s="48" t="b">
        <f>IF(OR(AND(M21=TRUE,N21=TRUE),AND(M21=FALSE,N21=FALSE)),FALSE,TRUE)</f>
        <v>0</v>
      </c>
      <c r="Q21" s="80"/>
      <c r="R21" s="535" t="s">
        <v>2067</v>
      </c>
      <c r="S21" s="125" t="b">
        <f ca="1">IF(AND($S$5=TRUE,$N$5=TRUE,$O$5=TRUE),TRUE,FALSE)</f>
        <v>0</v>
      </c>
      <c r="T21" s="535" t="s">
        <v>2100</v>
      </c>
    </row>
    <row r="22" spans="1:25" ht="30" customHeight="1" x14ac:dyDescent="0.25">
      <c r="A22" s="898"/>
      <c r="B22" s="1515"/>
      <c r="C22" s="1515"/>
      <c r="D22" s="1515"/>
      <c r="E22" s="1515"/>
      <c r="F22" s="1516"/>
      <c r="M22" s="447"/>
      <c r="N22" s="49"/>
      <c r="O22" s="124"/>
      <c r="R22" s="535" t="s">
        <v>2068</v>
      </c>
      <c r="S22" s="125" t="b">
        <f ca="1">IF(AND($S$5=TRUE,$M$5=TRUE,$O$5=TRUE),TRUE,FALSE)</f>
        <v>0</v>
      </c>
      <c r="T22" s="535" t="s">
        <v>2098</v>
      </c>
    </row>
    <row r="23" spans="1:25" ht="35.1" customHeight="1" thickBot="1" x14ac:dyDescent="0.3">
      <c r="A23" s="1517"/>
      <c r="B23" s="1518"/>
      <c r="C23" s="1518"/>
      <c r="D23" s="1518"/>
      <c r="E23" s="1518"/>
      <c r="F23" s="1162"/>
      <c r="M23" s="124"/>
      <c r="N23" s="124"/>
      <c r="O23" s="124"/>
      <c r="Q23" s="124"/>
      <c r="R23" s="535" t="s">
        <v>1821</v>
      </c>
      <c r="S23" s="125" t="b">
        <f ca="1">IF(AND($S$10=TRUE,$N$16=TRUE,$O$16=TRUE),TRUE,FALSE)</f>
        <v>0</v>
      </c>
      <c r="T23" s="535" t="s">
        <v>2097</v>
      </c>
    </row>
    <row r="24" spans="1:25" ht="30" customHeight="1" thickBot="1" x14ac:dyDescent="0.3">
      <c r="A24" s="904" t="s">
        <v>1823</v>
      </c>
      <c r="B24" s="905"/>
      <c r="C24" s="905"/>
      <c r="D24" s="905"/>
      <c r="E24" s="905"/>
      <c r="F24" s="906"/>
      <c r="M24" s="124"/>
      <c r="N24" s="124"/>
      <c r="O24" s="124"/>
      <c r="Q24" s="124"/>
      <c r="R24" s="535" t="s">
        <v>1820</v>
      </c>
      <c r="S24" s="125" t="b">
        <f ca="1">IF(AND($S$10=TRUE,$M$16=TRUE,$O$16=TRUE),TRUE,FALSE)</f>
        <v>0</v>
      </c>
      <c r="T24" s="535" t="s">
        <v>2096</v>
      </c>
    </row>
    <row r="25" spans="1:25" ht="39.950000000000003" customHeight="1" x14ac:dyDescent="0.25">
      <c r="A25" s="1529" t="str">
        <f ca="1">IF(OR(S6=TRUE,S11=TRUE),"","All sources that are required to hold a Construction Permit and/or an Operating Permit are required to pay an annual emission fee based on actual pollutant emissions.")</f>
        <v>All sources that are required to hold a Construction Permit and/or an Operating Permit are required to pay an annual emission fee based on actual pollutant emissions.</v>
      </c>
      <c r="B25" s="1530"/>
      <c r="C25" s="1530"/>
      <c r="D25" s="1530"/>
      <c r="E25" s="1530"/>
      <c r="F25" s="1531"/>
      <c r="G25" s="123"/>
      <c r="Q25" s="80"/>
    </row>
    <row r="26" spans="1:25" ht="45" customHeight="1" x14ac:dyDescent="0.25">
      <c r="A26" s="899" t="str">
        <f ca="1">IF(OR(S6=TRUE,S11=TRUE),"","You may agree to control requirements in order to reduce actual emissions of pollutants to the atmosphere, thereby reducing your source's annual emission fees.  Check the following, as applicable.")</f>
        <v>You may agree to control requirements in order to reduce actual emissions of pollutants to the atmosphere, thereby reducing your source's annual emission fees.  Check the following, as applicable.</v>
      </c>
      <c r="B26" s="1527"/>
      <c r="C26" s="1527"/>
      <c r="D26" s="1527"/>
      <c r="E26" s="1527"/>
      <c r="F26" s="1528"/>
      <c r="M26" s="126"/>
      <c r="N26" s="49"/>
      <c r="O26" s="124"/>
      <c r="Q26" s="124"/>
    </row>
    <row r="27" spans="1:25" ht="45" customHeight="1" x14ac:dyDescent="0.25">
      <c r="A27" s="1136" t="str">
        <f ca="1">IF(OR(S6=TRUE,S11=TRUE),"","Do you agree to accept control requirements to reduce actual pollutant emissions?")</f>
        <v>Do you agree to accept control requirements to reduce actual pollutant emissions?</v>
      </c>
      <c r="B27" s="1514"/>
      <c r="C27" s="1514"/>
      <c r="D27" s="1137"/>
      <c r="E27" s="382" t="s">
        <v>1785</v>
      </c>
      <c r="F27" s="383" t="s">
        <v>1784</v>
      </c>
      <c r="G27" s="123" t="str">
        <f>IF(AND(M27=TRUE,N27=TRUE),"Too many boxes checked.","")</f>
        <v/>
      </c>
      <c r="M27" s="450" t="b">
        <v>0</v>
      </c>
      <c r="N27" s="450" t="b">
        <v>0</v>
      </c>
      <c r="O27" s="48" t="b">
        <f>IF(OR(AND(M27=TRUE,N27=FALSE),AND(M27=FALSE,N27=TRUE)),TRUE,FALSE)</f>
        <v>0</v>
      </c>
      <c r="Q27" s="124"/>
    </row>
    <row r="28" spans="1:25" ht="35.1" customHeight="1" x14ac:dyDescent="0.25">
      <c r="A28" s="899" t="str">
        <f ca="1">IF(OR(AND(S6=TRUE,S11=TRUE),O27=FALSE),"",IF(M27=TRUE,"Complete Table 6-A by indicating which emission units will AND will not be equipped with emission controls.","If you did not accept ANY emission controls, then complete Table 6-A by indicating that no emission controls will be utilized."))</f>
        <v/>
      </c>
      <c r="B28" s="1527"/>
      <c r="C28" s="1527"/>
      <c r="D28" s="1527"/>
      <c r="E28" s="1527"/>
      <c r="F28" s="1528"/>
    </row>
    <row r="29" spans="1:25" ht="35.1" customHeight="1" thickBot="1" x14ac:dyDescent="0.3">
      <c r="A29" s="1524" t="str">
        <f ca="1">IF(OR(AND(S6=TRUE,S11=TRUE),O27=FALSE),"",IF(M27=TRUE,"Also complete Table 6-B by indicating which emission units will AND will not be subject to emission limits, as indicated in Parts B, C, and D above (as applicable).","If you did not agree to accept ANY throughput or emission limits in Parts B, C, and D above, complete Tables 6-A and 6-B by indicating that no throughput limits or emission limits will be accepted."))</f>
        <v/>
      </c>
      <c r="B29" s="1525"/>
      <c r="C29" s="1525"/>
      <c r="D29" s="1525"/>
      <c r="E29" s="1525"/>
      <c r="F29" s="1526"/>
    </row>
    <row r="30" spans="1:25" ht="20.100000000000001" customHeight="1" x14ac:dyDescent="0.25">
      <c r="A30" s="50"/>
    </row>
    <row r="31" spans="1:25" ht="20.100000000000001" customHeight="1" x14ac:dyDescent="0.25">
      <c r="A31" s="50"/>
    </row>
    <row r="32" spans="1:25" ht="20.100000000000001" customHeight="1" x14ac:dyDescent="0.25">
      <c r="A32" s="50"/>
    </row>
    <row r="33" spans="1:1" ht="20.100000000000001" customHeight="1" x14ac:dyDescent="0.25">
      <c r="A33" s="50"/>
    </row>
    <row r="34" spans="1:1" ht="20.100000000000001" customHeight="1" x14ac:dyDescent="0.25">
      <c r="A34" s="50"/>
    </row>
    <row r="35" spans="1:1" ht="20.100000000000001" customHeight="1" x14ac:dyDescent="0.25">
      <c r="A35" s="50"/>
    </row>
    <row r="36" spans="1:1" ht="20.100000000000001" customHeight="1" x14ac:dyDescent="0.25">
      <c r="A36" s="50"/>
    </row>
    <row r="37" spans="1:1" ht="20.100000000000001" customHeight="1" x14ac:dyDescent="0.25">
      <c r="A37" s="50"/>
    </row>
    <row r="38" spans="1:1" ht="20.100000000000001" customHeight="1" x14ac:dyDescent="0.25">
      <c r="A38" s="50"/>
    </row>
    <row r="39" spans="1:1" ht="20.100000000000001" customHeight="1" x14ac:dyDescent="0.25">
      <c r="A39" s="50"/>
    </row>
    <row r="40" spans="1:1" ht="20.100000000000001" customHeight="1" x14ac:dyDescent="0.25">
      <c r="A40" s="50"/>
    </row>
    <row r="41" spans="1:1" ht="20.100000000000001" customHeight="1" x14ac:dyDescent="0.25">
      <c r="A41" s="50"/>
    </row>
    <row r="42" spans="1:1" ht="20.100000000000001" customHeight="1" x14ac:dyDescent="0.25">
      <c r="A42" s="50"/>
    </row>
    <row r="43" spans="1:1" ht="20.100000000000001" customHeight="1" x14ac:dyDescent="0.25">
      <c r="A43" s="50"/>
    </row>
    <row r="44" spans="1:1" ht="20.100000000000001" customHeight="1" x14ac:dyDescent="0.25">
      <c r="A44" s="50"/>
    </row>
    <row r="45" spans="1:1" ht="20.100000000000001" customHeight="1" x14ac:dyDescent="0.25">
      <c r="A45" s="50"/>
    </row>
    <row r="46" spans="1:1" ht="20.100000000000001" customHeight="1" x14ac:dyDescent="0.25">
      <c r="A46" s="50"/>
    </row>
    <row r="47" spans="1:1" ht="20.100000000000001" customHeight="1" x14ac:dyDescent="0.25">
      <c r="A47" s="50"/>
    </row>
    <row r="48" spans="1:1"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sheetData>
  <sheetProtection algorithmName="SHA-512" hashValue="nMTPL2i+K/HHgBadai///Ug07d1gG53NPNUEvFWo9A24luAgZuAbnuR79AVA7L648EnNYI2BBhWAx8+JD+SHog==" saltValue="nSVFgYFcYnumKvDOFxSvFA==" spinCount="100000" sheet="1" objects="1" scenarios="1"/>
  <mergeCells count="34">
    <mergeCell ref="R12:T12"/>
    <mergeCell ref="R2:W2"/>
    <mergeCell ref="A19:F19"/>
    <mergeCell ref="A20:F20"/>
    <mergeCell ref="R3:T3"/>
    <mergeCell ref="R7:T7"/>
    <mergeCell ref="B12:F12"/>
    <mergeCell ref="B11:F11"/>
    <mergeCell ref="A17:F17"/>
    <mergeCell ref="A29:F29"/>
    <mergeCell ref="A28:F28"/>
    <mergeCell ref="A24:F24"/>
    <mergeCell ref="A25:F25"/>
    <mergeCell ref="A26:F26"/>
    <mergeCell ref="A27:D27"/>
    <mergeCell ref="A23:F23"/>
    <mergeCell ref="A14:F14"/>
    <mergeCell ref="A13:F13"/>
    <mergeCell ref="A15:F15"/>
    <mergeCell ref="M19:N19"/>
    <mergeCell ref="G17:G18"/>
    <mergeCell ref="A16:D16"/>
    <mergeCell ref="A18:F18"/>
    <mergeCell ref="A21:D21"/>
    <mergeCell ref="A22:F22"/>
    <mergeCell ref="A1:F1"/>
    <mergeCell ref="A2:F2"/>
    <mergeCell ref="A9:F9"/>
    <mergeCell ref="A10:F10"/>
    <mergeCell ref="A3:F3"/>
    <mergeCell ref="A5:D5"/>
    <mergeCell ref="A6:D6"/>
    <mergeCell ref="A4:F4"/>
    <mergeCell ref="A7:F8"/>
  </mergeCells>
  <conditionalFormatting sqref="A11:A12">
    <cfRule type="expression" dxfId="136" priority="1">
      <formula>AND(NOT($A$10="Not applicable."),$O$11=FALSE)</formula>
    </cfRule>
  </conditionalFormatting>
  <conditionalFormatting sqref="A11:B12 A5:F6 A10:F10 A13:F13 A15:F18 A20:F23 A25:F29">
    <cfRule type="expression" dxfId="135" priority="2" stopIfTrue="1">
      <formula>OR($S$6=TRUE,$S$11=TRUE)</formula>
    </cfRule>
  </conditionalFormatting>
  <conditionalFormatting sqref="A16:F18">
    <cfRule type="expression" dxfId="134" priority="3">
      <formula>$S$10=FALSE</formula>
    </cfRule>
  </conditionalFormatting>
  <conditionalFormatting sqref="A21:F23">
    <cfRule type="expression" dxfId="133" priority="6">
      <formula>$O$19=FALSE</formula>
    </cfRule>
  </conditionalFormatting>
  <conditionalFormatting sqref="E5:F5">
    <cfRule type="expression" dxfId="132" priority="10">
      <formula>$O$5=FALSE</formula>
    </cfRule>
  </conditionalFormatting>
  <conditionalFormatting sqref="E6:F6">
    <cfRule type="expression" dxfId="131" priority="7">
      <formula>AND(NOT($A$6=""),$O$6=FALSE)</formula>
    </cfRule>
  </conditionalFormatting>
  <conditionalFormatting sqref="E16:F16">
    <cfRule type="expression" dxfId="130" priority="8">
      <formula>AND($S$10=TRUE,$O$16=FALSE)</formula>
    </cfRule>
  </conditionalFormatting>
  <conditionalFormatting sqref="E27:F27">
    <cfRule type="expression" dxfId="129" priority="11">
      <formula>$O$27=FALSE</formula>
    </cfRule>
  </conditionalFormatting>
  <conditionalFormatting sqref="G5:G6">
    <cfRule type="expression" dxfId="128" priority="12">
      <formula>AND(M5=TRUE,N5=TRUE)</formula>
    </cfRule>
  </conditionalFormatting>
  <conditionalFormatting sqref="G11">
    <cfRule type="expression" dxfId="127" priority="14">
      <formula>AND(M11=TRUE,N11=TRUE)</formula>
    </cfRule>
  </conditionalFormatting>
  <conditionalFormatting sqref="G16">
    <cfRule type="expression" dxfId="126" priority="15">
      <formula>AND(M16=TRUE,N16=TRUE)</formula>
    </cfRule>
  </conditionalFormatting>
  <conditionalFormatting sqref="G17:G18">
    <cfRule type="expression" dxfId="125" priority="712">
      <formula>NOT($G$17="")</formula>
    </cfRule>
  </conditionalFormatting>
  <conditionalFormatting sqref="G21">
    <cfRule type="expression" dxfId="124" priority="715">
      <formula>AND(M21=TRUE,N21=TRUE)</formula>
    </cfRule>
  </conditionalFormatting>
  <conditionalFormatting sqref="G27">
    <cfRule type="expression" dxfId="123" priority="716">
      <formula>AND(M27=TRUE,N27=TRUE)</formula>
    </cfRule>
  </conditionalFormatting>
  <printOptions horizontalCentered="1"/>
  <pageMargins left="0.5" right="0.5" top="0.5" bottom="0.5" header="0.3" footer="0.3"/>
  <pageSetup scale="87" fitToHeight="0" orientation="portrait" r:id="rId1"/>
  <headerFooter>
    <oddFooter>&amp;LRev. 7/2016&amp;C&amp;A&amp;RPage &amp;P</oddFooter>
  </headerFooter>
  <rowBreaks count="1" manualBreakCount="1">
    <brk id="18"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0</xdr:col>
                    <xdr:colOff>981075</xdr:colOff>
                    <xdr:row>10</xdr:row>
                    <xdr:rowOff>57150</xdr:rowOff>
                  </from>
                  <to>
                    <xdr:col>5</xdr:col>
                    <xdr:colOff>895350</xdr:colOff>
                    <xdr:row>10</xdr:row>
                    <xdr:rowOff>514350</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0</xdr:col>
                    <xdr:colOff>981075</xdr:colOff>
                    <xdr:row>11</xdr:row>
                    <xdr:rowOff>66675</xdr:rowOff>
                  </from>
                  <to>
                    <xdr:col>5</xdr:col>
                    <xdr:colOff>895350</xdr:colOff>
                    <xdr:row>11</xdr:row>
                    <xdr:rowOff>523875</xdr:rowOff>
                  </to>
                </anchor>
              </controlPr>
            </control>
          </mc:Choice>
        </mc:AlternateContent>
        <mc:AlternateContent xmlns:mc="http://schemas.openxmlformats.org/markup-compatibility/2006">
          <mc:Choice Requires="x14">
            <control shapeId="52269" r:id="rId6" name="Check Box 45">
              <controlPr defaultSize="0" autoFill="0" autoLine="0" autoPict="0">
                <anchor moveWithCells="1">
                  <from>
                    <xdr:col>4</xdr:col>
                    <xdr:colOff>9525</xdr:colOff>
                    <xdr:row>26</xdr:row>
                    <xdr:rowOff>142875</xdr:rowOff>
                  </from>
                  <to>
                    <xdr:col>4</xdr:col>
                    <xdr:colOff>609600</xdr:colOff>
                    <xdr:row>26</xdr:row>
                    <xdr:rowOff>466725</xdr:rowOff>
                  </to>
                </anchor>
              </controlPr>
            </control>
          </mc:Choice>
        </mc:AlternateContent>
        <mc:AlternateContent xmlns:mc="http://schemas.openxmlformats.org/markup-compatibility/2006">
          <mc:Choice Requires="x14">
            <control shapeId="52270" r:id="rId7" name="Check Box 46">
              <controlPr defaultSize="0" autoFill="0" autoLine="0" autoPict="0">
                <anchor moveWithCells="1">
                  <from>
                    <xdr:col>5</xdr:col>
                    <xdr:colOff>9525</xdr:colOff>
                    <xdr:row>26</xdr:row>
                    <xdr:rowOff>142875</xdr:rowOff>
                  </from>
                  <to>
                    <xdr:col>5</xdr:col>
                    <xdr:colOff>609600</xdr:colOff>
                    <xdr:row>26</xdr:row>
                    <xdr:rowOff>466725</xdr:rowOff>
                  </to>
                </anchor>
              </controlPr>
            </control>
          </mc:Choice>
        </mc:AlternateContent>
        <mc:AlternateContent xmlns:mc="http://schemas.openxmlformats.org/markup-compatibility/2006">
          <mc:Choice Requires="x14">
            <control shapeId="52273" r:id="rId8" name="Check Box 49">
              <controlPr defaultSize="0" autoFill="0" autoLine="0" autoPict="0">
                <anchor moveWithCells="1">
                  <from>
                    <xdr:col>4</xdr:col>
                    <xdr:colOff>9525</xdr:colOff>
                    <xdr:row>4</xdr:row>
                    <xdr:rowOff>161925</xdr:rowOff>
                  </from>
                  <to>
                    <xdr:col>4</xdr:col>
                    <xdr:colOff>609600</xdr:colOff>
                    <xdr:row>4</xdr:row>
                    <xdr:rowOff>485775</xdr:rowOff>
                  </to>
                </anchor>
              </controlPr>
            </control>
          </mc:Choice>
        </mc:AlternateContent>
        <mc:AlternateContent xmlns:mc="http://schemas.openxmlformats.org/markup-compatibility/2006">
          <mc:Choice Requires="x14">
            <control shapeId="52274" r:id="rId9" name="Check Box 50">
              <controlPr defaultSize="0" autoFill="0" autoLine="0" autoPict="0">
                <anchor moveWithCells="1">
                  <from>
                    <xdr:col>5</xdr:col>
                    <xdr:colOff>9525</xdr:colOff>
                    <xdr:row>4</xdr:row>
                    <xdr:rowOff>161925</xdr:rowOff>
                  </from>
                  <to>
                    <xdr:col>5</xdr:col>
                    <xdr:colOff>609600</xdr:colOff>
                    <xdr:row>4</xdr:row>
                    <xdr:rowOff>485775</xdr:rowOff>
                  </to>
                </anchor>
              </controlPr>
            </control>
          </mc:Choice>
        </mc:AlternateContent>
        <mc:AlternateContent xmlns:mc="http://schemas.openxmlformats.org/markup-compatibility/2006">
          <mc:Choice Requires="x14">
            <control shapeId="52276" r:id="rId10" name="Check Box 52">
              <controlPr defaultSize="0" autoFill="0" autoLine="0" autoPict="0">
                <anchor moveWithCells="1">
                  <from>
                    <xdr:col>4</xdr:col>
                    <xdr:colOff>9525</xdr:colOff>
                    <xdr:row>5</xdr:row>
                    <xdr:rowOff>171450</xdr:rowOff>
                  </from>
                  <to>
                    <xdr:col>4</xdr:col>
                    <xdr:colOff>609600</xdr:colOff>
                    <xdr:row>5</xdr:row>
                    <xdr:rowOff>495300</xdr:rowOff>
                  </to>
                </anchor>
              </controlPr>
            </control>
          </mc:Choice>
        </mc:AlternateContent>
        <mc:AlternateContent xmlns:mc="http://schemas.openxmlformats.org/markup-compatibility/2006">
          <mc:Choice Requires="x14">
            <control shapeId="52277" r:id="rId11" name="Check Box 53">
              <controlPr defaultSize="0" autoFill="0" autoLine="0" autoPict="0">
                <anchor moveWithCells="1">
                  <from>
                    <xdr:col>5</xdr:col>
                    <xdr:colOff>9525</xdr:colOff>
                    <xdr:row>5</xdr:row>
                    <xdr:rowOff>171450</xdr:rowOff>
                  </from>
                  <to>
                    <xdr:col>5</xdr:col>
                    <xdr:colOff>609600</xdr:colOff>
                    <xdr:row>5</xdr:row>
                    <xdr:rowOff>495300</xdr:rowOff>
                  </to>
                </anchor>
              </controlPr>
            </control>
          </mc:Choice>
        </mc:AlternateContent>
        <mc:AlternateContent xmlns:mc="http://schemas.openxmlformats.org/markup-compatibility/2006">
          <mc:Choice Requires="x14">
            <control shapeId="52280" r:id="rId12" name="Check Box 56">
              <controlPr defaultSize="0" autoFill="0" autoLine="0" autoPict="0">
                <anchor moveWithCells="1">
                  <from>
                    <xdr:col>4</xdr:col>
                    <xdr:colOff>9525</xdr:colOff>
                    <xdr:row>15</xdr:row>
                    <xdr:rowOff>171450</xdr:rowOff>
                  </from>
                  <to>
                    <xdr:col>4</xdr:col>
                    <xdr:colOff>609600</xdr:colOff>
                    <xdr:row>15</xdr:row>
                    <xdr:rowOff>495300</xdr:rowOff>
                  </to>
                </anchor>
              </controlPr>
            </control>
          </mc:Choice>
        </mc:AlternateContent>
        <mc:AlternateContent xmlns:mc="http://schemas.openxmlformats.org/markup-compatibility/2006">
          <mc:Choice Requires="x14">
            <control shapeId="52281" r:id="rId13" name="Check Box 57">
              <controlPr defaultSize="0" autoFill="0" autoLine="0" autoPict="0">
                <anchor moveWithCells="1">
                  <from>
                    <xdr:col>5</xdr:col>
                    <xdr:colOff>9525</xdr:colOff>
                    <xdr:row>15</xdr:row>
                    <xdr:rowOff>171450</xdr:rowOff>
                  </from>
                  <to>
                    <xdr:col>5</xdr:col>
                    <xdr:colOff>609600</xdr:colOff>
                    <xdr:row>15</xdr:row>
                    <xdr:rowOff>495300</xdr:rowOff>
                  </to>
                </anchor>
              </controlPr>
            </control>
          </mc:Choice>
        </mc:AlternateContent>
        <mc:AlternateContent xmlns:mc="http://schemas.openxmlformats.org/markup-compatibility/2006">
          <mc:Choice Requires="x14">
            <control shapeId="52282" r:id="rId14" name="Check Box 58">
              <controlPr defaultSize="0" autoFill="0" autoLine="0" autoPict="0">
                <anchor moveWithCells="1">
                  <from>
                    <xdr:col>4</xdr:col>
                    <xdr:colOff>9525</xdr:colOff>
                    <xdr:row>20</xdr:row>
                    <xdr:rowOff>133350</xdr:rowOff>
                  </from>
                  <to>
                    <xdr:col>4</xdr:col>
                    <xdr:colOff>609600</xdr:colOff>
                    <xdr:row>20</xdr:row>
                    <xdr:rowOff>457200</xdr:rowOff>
                  </to>
                </anchor>
              </controlPr>
            </control>
          </mc:Choice>
        </mc:AlternateContent>
        <mc:AlternateContent xmlns:mc="http://schemas.openxmlformats.org/markup-compatibility/2006">
          <mc:Choice Requires="x14">
            <control shapeId="52283" r:id="rId15" name="Check Box 59">
              <controlPr defaultSize="0" autoFill="0" autoLine="0" autoPict="0">
                <anchor moveWithCells="1">
                  <from>
                    <xdr:col>5</xdr:col>
                    <xdr:colOff>9525</xdr:colOff>
                    <xdr:row>20</xdr:row>
                    <xdr:rowOff>133350</xdr:rowOff>
                  </from>
                  <to>
                    <xdr:col>5</xdr:col>
                    <xdr:colOff>609600</xdr:colOff>
                    <xdr:row>20</xdr:row>
                    <xdr:rowOff>457200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002060"/>
    <pageSetUpPr fitToPage="1"/>
  </sheetPr>
  <dimension ref="A1:W113"/>
  <sheetViews>
    <sheetView showGridLines="0" zoomScaleNormal="100" workbookViewId="0">
      <selection sqref="A1:J1"/>
    </sheetView>
  </sheetViews>
  <sheetFormatPr defaultRowHeight="14.25" x14ac:dyDescent="0.25"/>
  <cols>
    <col min="1" max="1" width="10.28515625" style="130" customWidth="1"/>
    <col min="2" max="2" width="17.28515625" style="48" customWidth="1"/>
    <col min="3" max="3" width="12.7109375" style="48" customWidth="1"/>
    <col min="4" max="6" width="13.7109375" style="48" customWidth="1"/>
    <col min="7" max="7" width="12.7109375" style="48" customWidth="1"/>
    <col min="8" max="8" width="25.7109375" style="48" customWidth="1"/>
    <col min="9" max="9" width="27.7109375" style="48" customWidth="1"/>
    <col min="10" max="10" width="25.7109375" style="48" customWidth="1"/>
    <col min="11" max="11" width="6.28515625" style="674" customWidth="1"/>
    <col min="12" max="20" width="9.140625" style="48"/>
    <col min="21" max="21" width="10.140625" style="48" customWidth="1"/>
    <col min="22" max="22" width="31.42578125" style="48" customWidth="1"/>
    <col min="23" max="23" width="15.7109375" style="48" customWidth="1"/>
    <col min="24" max="16384" width="9.140625" style="48"/>
  </cols>
  <sheetData>
    <row r="1" spans="1:14" s="69" customFormat="1" ht="26.25" customHeight="1" thickBot="1" x14ac:dyDescent="0.3">
      <c r="A1" s="1315" t="s">
        <v>1701</v>
      </c>
      <c r="B1" s="1315"/>
      <c r="C1" s="1315"/>
      <c r="D1" s="1315"/>
      <c r="E1" s="1315"/>
      <c r="F1" s="1315"/>
      <c r="G1" s="1315"/>
      <c r="H1" s="1315"/>
      <c r="I1" s="1315"/>
      <c r="J1" s="1315"/>
      <c r="K1" s="669"/>
    </row>
    <row r="2" spans="1:14" s="160" customFormat="1" ht="35.1" customHeight="1" x14ac:dyDescent="0.25">
      <c r="A2" s="1448" t="s">
        <v>2343</v>
      </c>
      <c r="B2" s="1448"/>
      <c r="C2" s="1448"/>
      <c r="D2" s="1448"/>
      <c r="E2" s="1448"/>
      <c r="F2" s="1448"/>
      <c r="G2" s="1448"/>
      <c r="H2" s="1448"/>
      <c r="I2" s="1448"/>
      <c r="J2" s="1448"/>
      <c r="K2" s="670"/>
      <c r="L2" s="163"/>
      <c r="M2" s="163"/>
      <c r="N2" s="163"/>
    </row>
    <row r="3" spans="1:14" s="160" customFormat="1" ht="35.1" customHeight="1" x14ac:dyDescent="0.25">
      <c r="A3" s="161">
        <v>1</v>
      </c>
      <c r="B3" s="1426" t="s">
        <v>1610</v>
      </c>
      <c r="C3" s="1426"/>
      <c r="D3" s="1426"/>
      <c r="E3" s="1426"/>
      <c r="F3" s="1426"/>
      <c r="G3" s="1426"/>
      <c r="H3" s="1426"/>
      <c r="I3" s="1426"/>
      <c r="J3" s="1426"/>
      <c r="K3" s="164"/>
      <c r="L3" s="164"/>
      <c r="M3" s="164"/>
      <c r="N3" s="164"/>
    </row>
    <row r="4" spans="1:14" s="160" customFormat="1" ht="35.1" customHeight="1" x14ac:dyDescent="0.25">
      <c r="A4" s="161">
        <v>2</v>
      </c>
      <c r="B4" s="1426" t="s">
        <v>2344</v>
      </c>
      <c r="C4" s="1426"/>
      <c r="D4" s="1426"/>
      <c r="E4" s="1426"/>
      <c r="F4" s="1426"/>
      <c r="G4" s="1426"/>
      <c r="H4" s="1426"/>
      <c r="I4" s="1426"/>
      <c r="J4" s="1426"/>
      <c r="K4" s="671"/>
    </row>
    <row r="5" spans="1:14" s="160" customFormat="1" ht="35.1" customHeight="1" x14ac:dyDescent="0.25">
      <c r="A5" s="161">
        <v>3</v>
      </c>
      <c r="B5" s="1426" t="s">
        <v>1608</v>
      </c>
      <c r="C5" s="1426"/>
      <c r="D5" s="1426"/>
      <c r="E5" s="1426"/>
      <c r="F5" s="1426"/>
      <c r="G5" s="1426"/>
      <c r="H5" s="1426"/>
      <c r="I5" s="1426"/>
      <c r="J5" s="1426"/>
      <c r="K5" s="671"/>
    </row>
    <row r="6" spans="1:14" s="160" customFormat="1" ht="50.1" customHeight="1" x14ac:dyDescent="0.25">
      <c r="A6" s="161">
        <v>4</v>
      </c>
      <c r="B6" s="1426" t="s">
        <v>1609</v>
      </c>
      <c r="C6" s="1426"/>
      <c r="D6" s="1426"/>
      <c r="E6" s="1426"/>
      <c r="F6" s="1426"/>
      <c r="G6" s="1426"/>
      <c r="H6" s="1426"/>
      <c r="I6" s="1426"/>
      <c r="J6" s="1426"/>
      <c r="K6" s="671"/>
    </row>
    <row r="7" spans="1:14" s="160" customFormat="1" ht="35.1" customHeight="1" x14ac:dyDescent="0.25">
      <c r="A7" s="161">
        <v>5</v>
      </c>
      <c r="B7" s="1426" t="s">
        <v>1797</v>
      </c>
      <c r="C7" s="1426"/>
      <c r="D7" s="1426"/>
      <c r="E7" s="1426"/>
      <c r="F7" s="1426"/>
      <c r="G7" s="1426"/>
      <c r="H7" s="1426"/>
      <c r="I7" s="1426"/>
      <c r="J7" s="1426"/>
      <c r="K7" s="671"/>
    </row>
    <row r="8" spans="1:14" s="160" customFormat="1" ht="50.1" customHeight="1" x14ac:dyDescent="0.25">
      <c r="A8" s="161">
        <v>6</v>
      </c>
      <c r="B8" s="1426" t="s">
        <v>1611</v>
      </c>
      <c r="C8" s="1426"/>
      <c r="D8" s="1426"/>
      <c r="E8" s="1426"/>
      <c r="F8" s="1426"/>
      <c r="G8" s="1426"/>
      <c r="H8" s="1426"/>
      <c r="I8" s="1426"/>
      <c r="J8" s="1426"/>
      <c r="K8" s="671"/>
    </row>
    <row r="9" spans="1:14" s="160" customFormat="1" ht="35.1" customHeight="1" x14ac:dyDescent="0.25">
      <c r="A9" s="161">
        <v>7</v>
      </c>
      <c r="B9" s="1426" t="s">
        <v>1612</v>
      </c>
      <c r="C9" s="1426"/>
      <c r="D9" s="1426"/>
      <c r="E9" s="1426"/>
      <c r="F9" s="1426"/>
      <c r="G9" s="1426"/>
      <c r="H9" s="1426"/>
      <c r="I9" s="1426"/>
      <c r="J9" s="1426"/>
      <c r="K9" s="671"/>
    </row>
    <row r="10" spans="1:14" s="160" customFormat="1" ht="35.1" customHeight="1" x14ac:dyDescent="0.25">
      <c r="A10" s="161">
        <v>8</v>
      </c>
      <c r="B10" s="1426" t="s">
        <v>1613</v>
      </c>
      <c r="C10" s="1426"/>
      <c r="D10" s="1426"/>
      <c r="E10" s="1426"/>
      <c r="F10" s="1426"/>
      <c r="G10" s="1426"/>
      <c r="H10" s="1426"/>
      <c r="I10" s="1426"/>
      <c r="J10" s="1426"/>
      <c r="K10" s="671"/>
    </row>
    <row r="11" spans="1:14" s="160" customFormat="1" ht="35.1" customHeight="1" x14ac:dyDescent="0.25">
      <c r="A11" s="161"/>
      <c r="B11" s="1542" t="s">
        <v>2328</v>
      </c>
      <c r="C11" s="1542"/>
      <c r="D11" s="1542"/>
      <c r="E11" s="1542"/>
      <c r="F11" s="1542"/>
      <c r="G11" s="1542"/>
      <c r="H11" s="1542"/>
      <c r="I11" s="1542"/>
      <c r="J11" s="1542"/>
      <c r="K11" s="671"/>
    </row>
    <row r="12" spans="1:14" s="68" customFormat="1" ht="12.95" customHeight="1" x14ac:dyDescent="0.25">
      <c r="A12" s="120"/>
      <c r="B12" s="128"/>
      <c r="C12" s="128"/>
      <c r="D12" s="128"/>
      <c r="E12" s="128"/>
      <c r="F12" s="128"/>
      <c r="G12" s="128"/>
      <c r="H12" s="128"/>
      <c r="I12" s="128"/>
      <c r="J12" s="128"/>
      <c r="K12" s="672"/>
    </row>
    <row r="13" spans="1:14" s="68" customFormat="1" ht="12.95" customHeight="1" thickBot="1" x14ac:dyDescent="0.3">
      <c r="A13" s="1292"/>
      <c r="B13" s="1292"/>
      <c r="C13" s="1292"/>
      <c r="D13" s="1292"/>
      <c r="E13" s="1292"/>
      <c r="F13" s="1292"/>
      <c r="G13" s="1292"/>
      <c r="H13" s="1292"/>
      <c r="I13" s="1292"/>
      <c r="J13" s="1292"/>
      <c r="K13" s="672"/>
    </row>
    <row r="14" spans="1:14" s="77" customFormat="1" ht="19.5" thickBot="1" x14ac:dyDescent="0.3">
      <c r="A14" s="1208" t="s">
        <v>1449</v>
      </c>
      <c r="B14" s="1208"/>
      <c r="C14" s="1208"/>
      <c r="D14" s="1208"/>
      <c r="E14" s="1208"/>
      <c r="F14" s="1208"/>
      <c r="G14" s="1208"/>
      <c r="H14" s="1208"/>
      <c r="I14" s="1208"/>
      <c r="J14" s="1208"/>
      <c r="K14" s="673"/>
    </row>
    <row r="15" spans="1:14" ht="60" customHeight="1" x14ac:dyDescent="0.25">
      <c r="A15" s="1399"/>
      <c r="B15" s="1399"/>
      <c r="C15" s="1399"/>
      <c r="D15" s="1399"/>
      <c r="E15" s="1399"/>
      <c r="F15" s="1399"/>
      <c r="G15" s="1399"/>
      <c r="H15" s="1399"/>
      <c r="I15" s="1399"/>
      <c r="J15" s="1399"/>
    </row>
    <row r="16" spans="1:14" ht="24.95" customHeight="1" thickBot="1" x14ac:dyDescent="0.3">
      <c r="A16" s="1436" t="s">
        <v>2108</v>
      </c>
      <c r="B16" s="1436"/>
      <c r="C16" s="1436"/>
      <c r="D16" s="1436"/>
      <c r="E16" s="1436"/>
      <c r="F16" s="1436"/>
      <c r="G16" s="1436"/>
      <c r="H16" s="1436"/>
      <c r="I16" s="1436"/>
      <c r="J16" s="1436"/>
    </row>
    <row r="17" spans="1:23" ht="24.95" customHeight="1" thickBot="1" x14ac:dyDescent="0.3">
      <c r="A17" s="1543" t="s">
        <v>2117</v>
      </c>
      <c r="B17" s="1544"/>
      <c r="C17" s="1544"/>
      <c r="D17" s="1544"/>
      <c r="E17" s="1544"/>
      <c r="F17" s="1544"/>
      <c r="G17" s="1544"/>
      <c r="H17" s="1544"/>
      <c r="I17" s="1544"/>
      <c r="J17" s="1545"/>
    </row>
    <row r="18" spans="1:23" s="129" customFormat="1" ht="30" customHeight="1" thickBot="1" x14ac:dyDescent="0.3">
      <c r="A18" s="1431" t="s">
        <v>1565</v>
      </c>
      <c r="B18" s="1431"/>
      <c r="C18" s="1431"/>
      <c r="D18" s="1431"/>
      <c r="E18" s="1431"/>
      <c r="F18" s="1431"/>
      <c r="G18" s="1431"/>
      <c r="H18" s="1431"/>
      <c r="I18" s="1431"/>
      <c r="J18" s="1431"/>
      <c r="K18" s="675"/>
    </row>
    <row r="19" spans="1:23" ht="45.75" thickBot="1" x14ac:dyDescent="0.3">
      <c r="A19" s="826" t="s">
        <v>270</v>
      </c>
      <c r="B19" s="827" t="s">
        <v>271</v>
      </c>
      <c r="C19" s="827" t="s">
        <v>1578</v>
      </c>
      <c r="D19" s="827" t="s">
        <v>1580</v>
      </c>
      <c r="E19" s="827" t="s">
        <v>1579</v>
      </c>
      <c r="F19" s="827" t="s">
        <v>1582</v>
      </c>
      <c r="G19" s="827" t="s">
        <v>1583</v>
      </c>
      <c r="H19" s="827" t="s">
        <v>1598</v>
      </c>
      <c r="I19" s="827" t="s">
        <v>1596</v>
      </c>
      <c r="J19" s="827" t="s">
        <v>1597</v>
      </c>
      <c r="T19" s="48" t="s">
        <v>1581</v>
      </c>
      <c r="U19" s="48" t="s">
        <v>1584</v>
      </c>
      <c r="V19" s="134" t="s">
        <v>1587</v>
      </c>
    </row>
    <row r="20" spans="1:23" ht="18" customHeight="1" x14ac:dyDescent="0.25">
      <c r="A20" s="1539" t="str">
        <f>'Table 5-A| Primary MPTE'!A78</f>
        <v>Asphalt Batch Plant Emission Units</v>
      </c>
      <c r="B20" s="1540"/>
      <c r="C20" s="1540"/>
      <c r="D20" s="1540"/>
      <c r="E20" s="1540"/>
      <c r="F20" s="1540"/>
      <c r="G20" s="1540"/>
      <c r="H20" s="1540"/>
      <c r="I20" s="1540"/>
      <c r="J20" s="1541"/>
      <c r="K20" s="676"/>
      <c r="T20" s="48" t="s">
        <v>75</v>
      </c>
      <c r="U20" s="48" t="s">
        <v>75</v>
      </c>
      <c r="V20" s="136" t="s">
        <v>1591</v>
      </c>
      <c r="W20" s="133"/>
    </row>
    <row r="21" spans="1:23" ht="18" customHeight="1" x14ac:dyDescent="0.25">
      <c r="A21" s="386">
        <f>IF('Table 3-A| Emission Units'!$L30=0,0,'Table 3-A| Emission Units'!A30)</f>
        <v>0</v>
      </c>
      <c r="B21" s="303" t="s">
        <v>2200</v>
      </c>
      <c r="C21" s="304"/>
      <c r="D21" s="305">
        <f>IFERROR(IF(A21=0,0,'Table 5-A| Primary MPTE'!$J$5*8760),"")</f>
        <v>0</v>
      </c>
      <c r="E21" s="304"/>
      <c r="F21" s="305" t="s">
        <v>2259</v>
      </c>
      <c r="G21" s="304"/>
      <c r="H21" s="427"/>
      <c r="I21" s="304"/>
      <c r="J21" s="304"/>
      <c r="K21" s="677">
        <f>IFERROR(VLOOKUP(I21,'Emission Controls'!$A$3:$B$16,2,),0)</f>
        <v>0</v>
      </c>
      <c r="T21" s="48" t="s">
        <v>73</v>
      </c>
      <c r="U21" s="48" t="s">
        <v>73</v>
      </c>
      <c r="V21" s="136" t="s">
        <v>1593</v>
      </c>
      <c r="W21" s="133"/>
    </row>
    <row r="22" spans="1:23" ht="18" customHeight="1" x14ac:dyDescent="0.25">
      <c r="A22" s="386">
        <f>IF('Table 3-A| Emission Units'!$L43=0,0,'Table 3-A| Emission Units'!A43)</f>
        <v>0</v>
      </c>
      <c r="B22" s="303" t="s">
        <v>2200</v>
      </c>
      <c r="C22" s="304"/>
      <c r="D22" s="305">
        <f>IFERROR(IF(A22=0,0,'Table 5-A| Primary MPTE'!$K$5*8760),"")</f>
        <v>0</v>
      </c>
      <c r="E22" s="304"/>
      <c r="F22" s="305" t="s">
        <v>2259</v>
      </c>
      <c r="G22" s="304"/>
      <c r="H22" s="427"/>
      <c r="I22" s="304"/>
      <c r="J22" s="304"/>
      <c r="K22" s="677">
        <f>IFERROR(VLOOKUP(I22,'Emission Controls'!$A$3:$B$16,2,),0)</f>
        <v>0</v>
      </c>
      <c r="V22" s="131" t="s">
        <v>1601</v>
      </c>
      <c r="W22" s="133"/>
    </row>
    <row r="23" spans="1:23" ht="18" customHeight="1" thickBot="1" x14ac:dyDescent="0.3">
      <c r="A23" s="386">
        <f>IF('Table 3-A| Emission Units'!$L56=0,0,'Table 3-A| Emission Units'!A56)</f>
        <v>0</v>
      </c>
      <c r="B23" s="303" t="s">
        <v>2200</v>
      </c>
      <c r="C23" s="304"/>
      <c r="D23" s="305">
        <f>IFERROR(IF(A23=0,0,'Table 5-A| Primary MPTE'!$L$5*8760),"")</f>
        <v>0</v>
      </c>
      <c r="E23" s="304"/>
      <c r="F23" s="305" t="s">
        <v>2259</v>
      </c>
      <c r="G23" s="304"/>
      <c r="H23" s="427"/>
      <c r="I23" s="304"/>
      <c r="J23" s="304"/>
      <c r="K23" s="677">
        <f>IFERROR(VLOOKUP(I23,'Emission Controls'!$A$3:$B$16,2,),0)</f>
        <v>0</v>
      </c>
      <c r="V23" s="131" t="s">
        <v>1606</v>
      </c>
      <c r="W23" s="133"/>
    </row>
    <row r="24" spans="1:23" ht="18" customHeight="1" x14ac:dyDescent="0.25">
      <c r="A24" s="1539" t="str">
        <f>'Table 5-B| Reclaim MPTE'!A45:O45</f>
        <v>Crushing/Reclaim Equipment Emission Units</v>
      </c>
      <c r="B24" s="1540"/>
      <c r="C24" s="1540"/>
      <c r="D24" s="1540"/>
      <c r="E24" s="1540"/>
      <c r="F24" s="1540"/>
      <c r="G24" s="1540"/>
      <c r="H24" s="1540"/>
      <c r="I24" s="1540"/>
      <c r="J24" s="1541"/>
      <c r="K24" s="676"/>
      <c r="V24" s="131" t="s">
        <v>1605</v>
      </c>
      <c r="W24" s="133"/>
    </row>
    <row r="25" spans="1:23" ht="18" customHeight="1" x14ac:dyDescent="0.25">
      <c r="A25" s="386">
        <f>IF('Table 3-A| Emission Units'!$L70=0,0,'Table 3-A| Emission Units'!A70)</f>
        <v>0</v>
      </c>
      <c r="B25" s="303" t="s">
        <v>2200</v>
      </c>
      <c r="C25" s="304"/>
      <c r="D25" s="305">
        <f>IFERROR(IF(A25=0,0,'Table 5-B| Reclaim MPTE'!E46),"")</f>
        <v>0</v>
      </c>
      <c r="E25" s="304"/>
      <c r="F25" s="305" t="s">
        <v>2259</v>
      </c>
      <c r="G25" s="304"/>
      <c r="H25" s="427"/>
      <c r="I25" s="304"/>
      <c r="J25" s="304"/>
      <c r="K25" s="677">
        <f>IFERROR(VLOOKUP(I25,'Emission Controls'!$A$3:$B$16,2,),0)</f>
        <v>0</v>
      </c>
      <c r="V25" s="131" t="s">
        <v>1594</v>
      </c>
      <c r="W25" s="133"/>
    </row>
    <row r="26" spans="1:23" ht="18" customHeight="1" x14ac:dyDescent="0.25">
      <c r="A26" s="386">
        <f>IF('Table 3-A| Emission Units'!$L81=0,0,'Table 3-A| Emission Units'!A81)</f>
        <v>0</v>
      </c>
      <c r="B26" s="303" t="s">
        <v>2200</v>
      </c>
      <c r="C26" s="304"/>
      <c r="D26" s="305">
        <f>IFERROR(IF(A26=0,0,'Table 5-B| Reclaim MPTE'!E57),"")</f>
        <v>0</v>
      </c>
      <c r="E26" s="304"/>
      <c r="F26" s="305" t="s">
        <v>2259</v>
      </c>
      <c r="G26" s="304"/>
      <c r="H26" s="427"/>
      <c r="I26" s="304"/>
      <c r="J26" s="304"/>
      <c r="K26" s="677">
        <f>IFERROR(VLOOKUP(I26,'Emission Controls'!$A$3:$B$16,2,),0)</f>
        <v>0</v>
      </c>
      <c r="V26" s="131" t="s">
        <v>1607</v>
      </c>
      <c r="W26" s="133"/>
    </row>
    <row r="27" spans="1:23" ht="18" customHeight="1" thickBot="1" x14ac:dyDescent="0.3">
      <c r="A27" s="386">
        <f>IF('Table 3-A| Emission Units'!$L92=0,0,'Table 3-A| Emission Units'!A92)</f>
        <v>0</v>
      </c>
      <c r="B27" s="303" t="s">
        <v>2200</v>
      </c>
      <c r="C27" s="304"/>
      <c r="D27" s="305">
        <f>IFERROR(IF(A27=0,0,'Table 5-B| Reclaim MPTE'!E68),"")</f>
        <v>0</v>
      </c>
      <c r="E27" s="304"/>
      <c r="F27" s="305" t="s">
        <v>2259</v>
      </c>
      <c r="G27" s="304"/>
      <c r="H27" s="427"/>
      <c r="I27" s="304"/>
      <c r="J27" s="304"/>
      <c r="K27" s="677">
        <f>IFERROR(VLOOKUP(I27,'Emission Controls'!$A$3:$B$16,2,),0)</f>
        <v>0</v>
      </c>
      <c r="V27" s="131" t="s">
        <v>1604</v>
      </c>
      <c r="W27" s="133"/>
    </row>
    <row r="28" spans="1:23" ht="18" customHeight="1" x14ac:dyDescent="0.25">
      <c r="A28" s="1539" t="str">
        <f>'Table 5-B| Reclaim MPTE'!A79:O79</f>
        <v>Reclaimed Material Screening Emission Units</v>
      </c>
      <c r="B28" s="1540"/>
      <c r="C28" s="1540"/>
      <c r="D28" s="1540"/>
      <c r="E28" s="1540"/>
      <c r="F28" s="1540"/>
      <c r="G28" s="1540"/>
      <c r="H28" s="1540"/>
      <c r="I28" s="1540"/>
      <c r="J28" s="1541"/>
      <c r="K28" s="677"/>
      <c r="V28" s="131" t="s">
        <v>1603</v>
      </c>
      <c r="W28" s="133"/>
    </row>
    <row r="29" spans="1:23" ht="18" customHeight="1" x14ac:dyDescent="0.25">
      <c r="A29" s="302">
        <f>IF('Table 3-A| Emission Units'!$M104=0,0,'Table 3-A| Emission Units'!$A104&amp;"-"&amp;'Table 3-A| Emission Units'!$B104)</f>
        <v>0</v>
      </c>
      <c r="B29" s="303" t="str">
        <f>IF('Table 3-A| Emission Units'!$A104=0,"",'Table 3-A| Emission Units'!$C104)</f>
        <v/>
      </c>
      <c r="C29" s="304"/>
      <c r="D29" s="305">
        <f>IFERROR('Table 5-B| Reclaim MPTE'!E80,0)</f>
        <v>0</v>
      </c>
      <c r="E29" s="304"/>
      <c r="F29" s="305" t="s">
        <v>2259</v>
      </c>
      <c r="G29" s="304"/>
      <c r="H29" s="427"/>
      <c r="I29" s="304"/>
      <c r="J29" s="304"/>
      <c r="K29" s="677">
        <f>IFERROR(VLOOKUP(I29,'Emission Controls'!$A$3:$B$16,2,),0)</f>
        <v>0</v>
      </c>
      <c r="V29" s="131" t="s">
        <v>1602</v>
      </c>
      <c r="W29" s="133"/>
    </row>
    <row r="30" spans="1:23" ht="18" customHeight="1" x14ac:dyDescent="0.25">
      <c r="A30" s="302">
        <f>IF('Table 3-A| Emission Units'!$M105=0,0,'Table 3-A| Emission Units'!$A105&amp;"-"&amp;'Table 3-A| Emission Units'!$B105)</f>
        <v>0</v>
      </c>
      <c r="B30" s="303" t="str">
        <f>IF('Table 3-A| Emission Units'!$A105=0,"",'Table 3-A| Emission Units'!$C105)</f>
        <v/>
      </c>
      <c r="C30" s="304"/>
      <c r="D30" s="305">
        <f>IFERROR('Table 5-B| Reclaim MPTE'!E81,0)</f>
        <v>0</v>
      </c>
      <c r="E30" s="304"/>
      <c r="F30" s="305" t="s">
        <v>2259</v>
      </c>
      <c r="G30" s="304"/>
      <c r="H30" s="427"/>
      <c r="I30" s="304"/>
      <c r="J30" s="304"/>
      <c r="K30" s="677">
        <f>IFERROR(VLOOKUP(I30,'Emission Controls'!$A$3:$B$16,2,),0)</f>
        <v>0</v>
      </c>
      <c r="V30" s="131" t="s">
        <v>1592</v>
      </c>
      <c r="W30" s="133"/>
    </row>
    <row r="31" spans="1:23" ht="18" customHeight="1" thickBot="1" x14ac:dyDescent="0.3">
      <c r="A31" s="302">
        <f>IF('Table 3-A| Emission Units'!$M106=0,0,'Table 3-A| Emission Units'!$A106&amp;"-"&amp;'Table 3-A| Emission Units'!$B106)</f>
        <v>0</v>
      </c>
      <c r="B31" s="303" t="str">
        <f>IF('Table 3-A| Emission Units'!$A106=0,"",'Table 3-A| Emission Units'!$C106)</f>
        <v/>
      </c>
      <c r="C31" s="304"/>
      <c r="D31" s="305">
        <f>IFERROR('Table 5-B| Reclaim MPTE'!E82,0)</f>
        <v>0</v>
      </c>
      <c r="E31" s="304"/>
      <c r="F31" s="305" t="s">
        <v>2259</v>
      </c>
      <c r="G31" s="304"/>
      <c r="H31" s="427"/>
      <c r="I31" s="304"/>
      <c r="J31" s="304"/>
      <c r="K31" s="677">
        <f>IFERROR(VLOOKUP(I31,'Emission Controls'!$A$3:$B$16,2,),0)</f>
        <v>0</v>
      </c>
      <c r="L31" s="129"/>
      <c r="M31" s="129"/>
      <c r="N31" s="129"/>
      <c r="O31" s="129"/>
      <c r="P31" s="129"/>
      <c r="Q31" s="129"/>
      <c r="V31" s="131" t="s">
        <v>1600</v>
      </c>
      <c r="W31" s="133"/>
    </row>
    <row r="32" spans="1:23" ht="18" customHeight="1" x14ac:dyDescent="0.25">
      <c r="A32" s="1539" t="str">
        <f>'Table 5-A| Primary MPTE'!A118:O118</f>
        <v>Haul Road Emission Units</v>
      </c>
      <c r="B32" s="1540"/>
      <c r="C32" s="1540"/>
      <c r="D32" s="1540"/>
      <c r="E32" s="1540"/>
      <c r="F32" s="1540"/>
      <c r="G32" s="1540"/>
      <c r="H32" s="1540"/>
      <c r="I32" s="1540"/>
      <c r="J32" s="1541"/>
      <c r="K32" s="677">
        <f>IFERROR(VLOOKUP(I32,'Emission Controls'!$A$3:$B$16,2,),0)</f>
        <v>0</v>
      </c>
      <c r="L32" s="129"/>
      <c r="M32" s="129"/>
      <c r="N32" s="129"/>
      <c r="O32" s="129"/>
      <c r="P32" s="129"/>
      <c r="Q32" s="129"/>
      <c r="V32" s="131" t="s">
        <v>1586</v>
      </c>
    </row>
    <row r="33" spans="1:23" ht="18" customHeight="1" thickBot="1" x14ac:dyDescent="0.3">
      <c r="A33" s="302">
        <f>IF('Table 3-A| Emission Units'!$L$108=0,0,'Table 3-A| Emission Units'!$A108&amp;"-"&amp;'Table 3-A| Emission Units'!$B108)</f>
        <v>0</v>
      </c>
      <c r="B33" s="303" t="str">
        <f>IF('Table 3-A| Emission Units'!$A108=0,"",'Table 3-A| Emission Units'!$C108)</f>
        <v/>
      </c>
      <c r="C33" s="678"/>
      <c r="D33" s="305">
        <f>IFERROR('Table 5-A| Primary MPTE'!$E119,"")</f>
        <v>0</v>
      </c>
      <c r="E33" s="678"/>
      <c r="F33" s="305" t="s">
        <v>2341</v>
      </c>
      <c r="G33" s="304"/>
      <c r="H33" s="427"/>
      <c r="I33" s="304"/>
      <c r="J33" s="304"/>
      <c r="K33" s="677">
        <f>IFERROR(VLOOKUP(I33,'Emission Controls'!$A$3:$B$16,2,),0)</f>
        <v>0</v>
      </c>
      <c r="V33" s="132" t="s">
        <v>1595</v>
      </c>
      <c r="W33" s="133"/>
    </row>
    <row r="34" spans="1:23" ht="18" customHeight="1" x14ac:dyDescent="0.25">
      <c r="A34" s="302">
        <f>IF('Table 3-A| Emission Units'!$L$108=0,0,'Table 3-A| Emission Units'!$A109&amp;"-"&amp;'Table 3-A| Emission Units'!$B109)</f>
        <v>0</v>
      </c>
      <c r="B34" s="303" t="str">
        <f>IF('Table 3-A| Emission Units'!$A109=0,"",'Table 3-A| Emission Units'!$C109)</f>
        <v/>
      </c>
      <c r="C34" s="678"/>
      <c r="D34" s="305">
        <f>IFERROR('Table 5-A| Primary MPTE'!$E120,"")</f>
        <v>0</v>
      </c>
      <c r="E34" s="678"/>
      <c r="F34" s="305" t="s">
        <v>2341</v>
      </c>
      <c r="G34" s="304"/>
      <c r="H34" s="427"/>
      <c r="I34" s="304"/>
      <c r="J34" s="304"/>
      <c r="K34" s="677">
        <f>IFERROR(VLOOKUP(I34,'Emission Controls'!$A$3:$B$16,2,),0)</f>
        <v>0</v>
      </c>
      <c r="W34" s="133"/>
    </row>
    <row r="35" spans="1:23" ht="18" customHeight="1" x14ac:dyDescent="0.25">
      <c r="A35" s="302">
        <f>IF('Table 3-A| Emission Units'!$L$110=0,0,'Table 3-A| Emission Units'!$A110&amp;"-"&amp;'Table 3-A| Emission Units'!$B110)</f>
        <v>0</v>
      </c>
      <c r="B35" s="303" t="str">
        <f>IF('Table 3-A| Emission Units'!$A110=0,"",'Table 3-A| Emission Units'!$C110)</f>
        <v/>
      </c>
      <c r="C35" s="678"/>
      <c r="D35" s="305">
        <f>IFERROR('Table 5-A| Primary MPTE'!$E121,"")</f>
        <v>0</v>
      </c>
      <c r="E35" s="678"/>
      <c r="F35" s="305" t="s">
        <v>2341</v>
      </c>
      <c r="G35" s="304"/>
      <c r="H35" s="427"/>
      <c r="I35" s="304"/>
      <c r="J35" s="304"/>
      <c r="K35" s="677">
        <f>IFERROR(VLOOKUP(I35,'Emission Controls'!$A$3:$B$16,2,),0)</f>
        <v>0</v>
      </c>
      <c r="W35" s="133"/>
    </row>
    <row r="36" spans="1:23" ht="18" customHeight="1" thickBot="1" x14ac:dyDescent="0.3">
      <c r="A36" s="302">
        <f>IF('Table 3-A| Emission Units'!$L$110=0,0,'Table 3-A| Emission Units'!$A111&amp;"-"&amp;'Table 3-A| Emission Units'!$B111)</f>
        <v>0</v>
      </c>
      <c r="B36" s="303" t="str">
        <f>IF('Table 3-A| Emission Units'!$A111=0,"",'Table 3-A| Emission Units'!$C111)</f>
        <v/>
      </c>
      <c r="C36" s="678"/>
      <c r="D36" s="305">
        <f>IFERROR('Table 5-A| Primary MPTE'!$E122,"")</f>
        <v>0</v>
      </c>
      <c r="E36" s="678"/>
      <c r="F36" s="305" t="s">
        <v>2341</v>
      </c>
      <c r="G36" s="304"/>
      <c r="H36" s="427"/>
      <c r="I36" s="304"/>
      <c r="J36" s="304"/>
      <c r="K36" s="677">
        <f>IFERROR(VLOOKUP(I36,'Emission Controls'!$A$3:$B$16,2,),0)</f>
        <v>0</v>
      </c>
      <c r="L36" s="129"/>
      <c r="M36" s="129"/>
      <c r="N36" s="129"/>
      <c r="O36" s="129"/>
      <c r="P36" s="129"/>
      <c r="Q36" s="129"/>
      <c r="W36" s="133"/>
    </row>
    <row r="37" spans="1:23" ht="18" customHeight="1" x14ac:dyDescent="0.25">
      <c r="A37" s="1539" t="str">
        <f>'Table 5-A| Primary MPTE'!A125</f>
        <v>Stationary Engines - Screening and/or Crushing Power Units</v>
      </c>
      <c r="B37" s="1540"/>
      <c r="C37" s="1540"/>
      <c r="D37" s="1540"/>
      <c r="E37" s="1540"/>
      <c r="F37" s="1540"/>
      <c r="G37" s="1540"/>
      <c r="H37" s="1540"/>
      <c r="I37" s="1540"/>
      <c r="J37" s="1541"/>
      <c r="K37" s="677">
        <f>IFERROR(VLOOKUP(I37,'Emission Controls'!$A$3:$B$16,2,),0)</f>
        <v>0</v>
      </c>
      <c r="L37" s="129"/>
      <c r="M37" s="129"/>
      <c r="N37" s="129"/>
      <c r="O37" s="129"/>
      <c r="P37" s="129"/>
      <c r="Q37" s="129"/>
    </row>
    <row r="38" spans="1:23" ht="18" customHeight="1" x14ac:dyDescent="0.25">
      <c r="A38" s="302">
        <f>IF('Table 3-A| Emission Units'!$L115=0,0,'Table 3-A| Emission Units'!$A115&amp;"-"&amp;'Table 3-A| Emission Units'!$B115)</f>
        <v>0</v>
      </c>
      <c r="B38" s="303" t="str">
        <f>IF('Table 3-A| Emission Units'!$A115=0,"",'Table 3-A| Emission Units'!$C115)</f>
        <v/>
      </c>
      <c r="C38" s="304"/>
      <c r="D38" s="305">
        <f>IFERROR('Table 5-A| Primary MPTE'!$E126,"")</f>
        <v>0</v>
      </c>
      <c r="E38" s="304"/>
      <c r="F38" s="305" t="str">
        <f>IFERROR('Table 5-A| Primary MPTE'!$D126,"")</f>
        <v/>
      </c>
      <c r="G38" s="304"/>
      <c r="H38" s="427"/>
      <c r="I38" s="304"/>
      <c r="J38" s="304"/>
      <c r="K38" s="677">
        <f>IFERROR(VLOOKUP(I38,'Emission Controls'!$A$3:$B$16,2,),0)</f>
        <v>0</v>
      </c>
      <c r="L38" s="129"/>
      <c r="M38" s="129"/>
      <c r="N38" s="129"/>
      <c r="O38" s="129"/>
      <c r="P38" s="129"/>
      <c r="Q38" s="129"/>
    </row>
    <row r="39" spans="1:23" ht="18" customHeight="1" x14ac:dyDescent="0.25">
      <c r="A39" s="302">
        <f>IF('Table 3-A| Emission Units'!$L116=0,0,'Table 3-A| Emission Units'!$A116&amp;"-"&amp;'Table 3-A| Emission Units'!$B116)</f>
        <v>0</v>
      </c>
      <c r="B39" s="303" t="str">
        <f>IF('Table 3-A| Emission Units'!$A116=0,"",'Table 3-A| Emission Units'!$C116)</f>
        <v/>
      </c>
      <c r="C39" s="304"/>
      <c r="D39" s="305">
        <f>IFERROR('Table 5-A| Primary MPTE'!$E127,"")</f>
        <v>0</v>
      </c>
      <c r="E39" s="304"/>
      <c r="F39" s="305" t="str">
        <f>IFERROR('Table 5-A| Primary MPTE'!$D127,"")</f>
        <v/>
      </c>
      <c r="G39" s="304"/>
      <c r="H39" s="427"/>
      <c r="I39" s="304"/>
      <c r="J39" s="304"/>
      <c r="K39" s="677">
        <f>IFERROR(VLOOKUP(I39,'Emission Controls'!$A$3:$B$16,2,),0)</f>
        <v>0</v>
      </c>
    </row>
    <row r="40" spans="1:23" ht="18" customHeight="1" x14ac:dyDescent="0.25">
      <c r="A40" s="302">
        <f>IF('Table 3-A| Emission Units'!$L117=0,0,'Table 3-A| Emission Units'!$A117&amp;"-"&amp;'Table 3-A| Emission Units'!$B117)</f>
        <v>0</v>
      </c>
      <c r="B40" s="303" t="str">
        <f>IF('Table 3-A| Emission Units'!$A117=0,"",'Table 3-A| Emission Units'!$C117)</f>
        <v/>
      </c>
      <c r="C40" s="304"/>
      <c r="D40" s="305">
        <f>IFERROR('Table 5-A| Primary MPTE'!$E128,"")</f>
        <v>0</v>
      </c>
      <c r="E40" s="304"/>
      <c r="F40" s="305" t="str">
        <f>IFERROR('Table 5-A| Primary MPTE'!$D128,"")</f>
        <v/>
      </c>
      <c r="G40" s="304"/>
      <c r="H40" s="427"/>
      <c r="I40" s="304"/>
      <c r="J40" s="304"/>
      <c r="K40" s="677">
        <f>IFERROR(VLOOKUP(I40,'Emission Controls'!$A$3:$B$16,2,),0)</f>
        <v>0</v>
      </c>
    </row>
    <row r="41" spans="1:23" ht="18" customHeight="1" thickBot="1" x14ac:dyDescent="0.3">
      <c r="A41" s="302">
        <f>IF('Table 3-A| Emission Units'!$L118=0,0,'Table 3-A| Emission Units'!$A118&amp;"-"&amp;'Table 3-A| Emission Units'!$B118)</f>
        <v>0</v>
      </c>
      <c r="B41" s="303" t="str">
        <f>IF('Table 3-A| Emission Units'!$A118=0,"",'Table 3-A| Emission Units'!$C118)</f>
        <v/>
      </c>
      <c r="C41" s="304"/>
      <c r="D41" s="305">
        <f>IFERROR('Table 5-A| Primary MPTE'!$E129,"")</f>
        <v>0</v>
      </c>
      <c r="E41" s="304"/>
      <c r="F41" s="305" t="str">
        <f>IFERROR('Table 5-A| Primary MPTE'!$D129,"")</f>
        <v/>
      </c>
      <c r="G41" s="304"/>
      <c r="H41" s="427"/>
      <c r="I41" s="304"/>
      <c r="J41" s="304"/>
      <c r="K41" s="677">
        <f>IFERROR(VLOOKUP(I41,'Emission Controls'!$A$3:$B$16,2,),0)</f>
        <v>0</v>
      </c>
    </row>
    <row r="42" spans="1:23" ht="18" customHeight="1" x14ac:dyDescent="0.25">
      <c r="A42" s="1539" t="str">
        <f>'Table 5-A| Primary MPTE'!A130:O130</f>
        <v>Miscellaneous Emission Units</v>
      </c>
      <c r="B42" s="1540"/>
      <c r="C42" s="1540"/>
      <c r="D42" s="1540"/>
      <c r="E42" s="1540"/>
      <c r="F42" s="1540"/>
      <c r="G42" s="1540"/>
      <c r="H42" s="1540"/>
      <c r="I42" s="1540"/>
      <c r="J42" s="1541"/>
      <c r="K42" s="677"/>
    </row>
    <row r="43" spans="1:23" ht="18" customHeight="1" x14ac:dyDescent="0.25">
      <c r="A43" s="302" t="str">
        <f>IF(ISBLANK('Table 3-A| Emission Units'!A120),"",'Table 3-A| Emission Units'!A120&amp;"-"&amp;'Table 3-A| Emission Units'!B120)</f>
        <v/>
      </c>
      <c r="B43" s="303" t="str">
        <f>IF(OR(ISBLANK('Table 3-A| Emission Units'!C120),ISTEXT('Table 3-A| Emission Units'!C120)),"",'Table 3-A| Emission Units'!C120)</f>
        <v/>
      </c>
      <c r="C43" s="304"/>
      <c r="D43" s="305" t="str">
        <f>IF(OR(ISBLANK('Table 5-A| Primary MPTE'!C131),A43="No"),"",'Table 5-A| Primary MPTE'!E131)</f>
        <v/>
      </c>
      <c r="E43" s="304"/>
      <c r="F43" s="305" t="str">
        <f>IF(ISBLANK('Table 5-A| Primary MPTE'!D131),"",'Table 5-A| Primary MPTE'!D131&amp;"/yr")</f>
        <v/>
      </c>
      <c r="G43" s="304"/>
      <c r="H43" s="427"/>
      <c r="I43" s="304"/>
      <c r="J43" s="304"/>
      <c r="K43" s="677">
        <f>IFERROR(VLOOKUP(I43,'Emission Controls'!$A$3:$B$16,2,),0)</f>
        <v>0</v>
      </c>
    </row>
    <row r="44" spans="1:23" ht="18" customHeight="1" x14ac:dyDescent="0.25">
      <c r="A44" s="302" t="str">
        <f>IF(ISBLANK('Table 3-A| Emission Units'!A121),"",'Table 3-A| Emission Units'!A121&amp;"-"&amp;'Table 3-A| Emission Units'!B121)</f>
        <v/>
      </c>
      <c r="B44" s="303" t="str">
        <f>IF(OR(ISBLANK('Table 3-A| Emission Units'!C121),ISTEXT('Table 3-A| Emission Units'!C121)),"",'Table 3-A| Emission Units'!C121)</f>
        <v/>
      </c>
      <c r="C44" s="304"/>
      <c r="D44" s="305" t="str">
        <f>IF(OR(ISBLANK('Table 5-A| Primary MPTE'!C132),A44="No"),"",'Table 5-A| Primary MPTE'!E132)</f>
        <v/>
      </c>
      <c r="E44" s="304"/>
      <c r="F44" s="305" t="str">
        <f>IF(ISBLANK('Table 5-A| Primary MPTE'!D132),"",'Table 5-A| Primary MPTE'!D132&amp;"/yr")</f>
        <v/>
      </c>
      <c r="G44" s="304"/>
      <c r="H44" s="427"/>
      <c r="I44" s="304"/>
      <c r="J44" s="304"/>
      <c r="K44" s="677">
        <f>IFERROR(VLOOKUP(I44,'Emission Controls'!$A$3:$B$16,2,),0)</f>
        <v>0</v>
      </c>
    </row>
    <row r="45" spans="1:23" ht="18" customHeight="1" x14ac:dyDescent="0.25">
      <c r="A45" s="302" t="str">
        <f>IF(ISBLANK('Table 3-A| Emission Units'!A122),"",'Table 3-A| Emission Units'!A122&amp;"-"&amp;'Table 3-A| Emission Units'!B122)</f>
        <v/>
      </c>
      <c r="B45" s="303" t="str">
        <f>IF(OR(ISBLANK('Table 3-A| Emission Units'!C122),ISTEXT('Table 3-A| Emission Units'!C122)),"",'Table 3-A| Emission Units'!C122)</f>
        <v/>
      </c>
      <c r="C45" s="304"/>
      <c r="D45" s="305" t="str">
        <f>IF(OR(ISBLANK('Table 5-A| Primary MPTE'!C133),A45="No"),"",'Table 5-A| Primary MPTE'!E133)</f>
        <v/>
      </c>
      <c r="E45" s="304"/>
      <c r="F45" s="305" t="str">
        <f>IF(ISBLANK('Table 5-A| Primary MPTE'!D133),"",'Table 5-A| Primary MPTE'!D133&amp;"/yr")</f>
        <v/>
      </c>
      <c r="G45" s="304"/>
      <c r="H45" s="427"/>
      <c r="I45" s="304"/>
      <c r="J45" s="304"/>
      <c r="K45" s="677">
        <f>IFERROR(VLOOKUP(I45,'Emission Controls'!$A$3:$B$16,2,),0)</f>
        <v>0</v>
      </c>
    </row>
    <row r="46" spans="1:23" ht="18" customHeight="1" x14ac:dyDescent="0.25">
      <c r="A46" s="302" t="str">
        <f>IF(ISBLANK('Table 3-A| Emission Units'!A123),"",'Table 3-A| Emission Units'!A123&amp;"-"&amp;'Table 3-A| Emission Units'!B123)</f>
        <v/>
      </c>
      <c r="B46" s="303" t="str">
        <f>IF(OR(ISBLANK('Table 3-A| Emission Units'!C123),ISTEXT('Table 3-A| Emission Units'!C123)),"",'Table 3-A| Emission Units'!C123)</f>
        <v/>
      </c>
      <c r="C46" s="304"/>
      <c r="D46" s="305" t="str">
        <f>IF(OR(ISBLANK('Table 5-A| Primary MPTE'!C134),A46="No"),"",'Table 5-A| Primary MPTE'!E134)</f>
        <v/>
      </c>
      <c r="E46" s="304"/>
      <c r="F46" s="305" t="str">
        <f>IF(ISBLANK('Table 5-A| Primary MPTE'!D134),"",'Table 5-A| Primary MPTE'!D134&amp;"/yr")</f>
        <v/>
      </c>
      <c r="G46" s="304"/>
      <c r="H46" s="427"/>
      <c r="I46" s="304"/>
      <c r="J46" s="304"/>
      <c r="K46" s="677">
        <f>IFERROR(VLOOKUP(I46,'Emission Controls'!$A$3:$B$16,2,),0)</f>
        <v>0</v>
      </c>
    </row>
    <row r="47" spans="1:23" ht="18" customHeight="1" x14ac:dyDescent="0.25">
      <c r="A47" s="302" t="str">
        <f>IF(ISBLANK('Table 3-A| Emission Units'!A124),"",'Table 3-A| Emission Units'!A124&amp;"-"&amp;'Table 3-A| Emission Units'!B124)</f>
        <v/>
      </c>
      <c r="B47" s="303" t="str">
        <f>IF(OR(ISBLANK('Table 3-A| Emission Units'!C124),ISTEXT('Table 3-A| Emission Units'!C124)),"",'Table 3-A| Emission Units'!C124)</f>
        <v/>
      </c>
      <c r="C47" s="304"/>
      <c r="D47" s="305" t="str">
        <f>IF(OR(ISBLANK('Table 5-A| Primary MPTE'!C135),A47="No"),"",'Table 5-A| Primary MPTE'!E135)</f>
        <v/>
      </c>
      <c r="E47" s="304"/>
      <c r="F47" s="305" t="str">
        <f>IF(ISBLANK('Table 5-A| Primary MPTE'!D135),"",'Table 5-A| Primary MPTE'!D135&amp;"/yr")</f>
        <v/>
      </c>
      <c r="G47" s="304"/>
      <c r="H47" s="427"/>
      <c r="I47" s="304"/>
      <c r="J47" s="304"/>
      <c r="K47" s="677">
        <f>IFERROR(VLOOKUP(I47,'Emission Controls'!$A$3:$B$16,2,),0)</f>
        <v>0</v>
      </c>
    </row>
    <row r="48" spans="1:23" ht="18" customHeight="1" x14ac:dyDescent="0.25">
      <c r="A48" s="302" t="str">
        <f>IF(ISBLANK('Table 3-A| Emission Units'!A125),"",'Table 3-A| Emission Units'!A125&amp;"-"&amp;'Table 3-A| Emission Units'!B125)</f>
        <v/>
      </c>
      <c r="B48" s="303" t="str">
        <f>IF(OR(ISBLANK('Table 3-A| Emission Units'!C125),ISTEXT('Table 3-A| Emission Units'!C125)),"",'Table 3-A| Emission Units'!C125)</f>
        <v/>
      </c>
      <c r="C48" s="304"/>
      <c r="D48" s="305" t="str">
        <f>IF(OR(ISBLANK('Table 5-A| Primary MPTE'!C136),A48="No"),"",'Table 5-A| Primary MPTE'!E136)</f>
        <v/>
      </c>
      <c r="E48" s="304"/>
      <c r="F48" s="305" t="str">
        <f>IF(ISBLANK('Table 5-A| Primary MPTE'!D136),"",'Table 5-A| Primary MPTE'!D136&amp;"/yr")</f>
        <v/>
      </c>
      <c r="G48" s="304"/>
      <c r="H48" s="427"/>
      <c r="I48" s="304"/>
      <c r="J48" s="304"/>
      <c r="K48" s="677">
        <f>IFERROR(VLOOKUP(I48,'Emission Controls'!$A$3:$B$16,2,),0)</f>
        <v>0</v>
      </c>
    </row>
    <row r="49" spans="1:11" ht="18" customHeight="1" x14ac:dyDescent="0.25">
      <c r="A49" s="302" t="str">
        <f>IF(ISBLANK('Table 3-A| Emission Units'!A126),"",'Table 3-A| Emission Units'!A126&amp;"-"&amp;'Table 3-A| Emission Units'!B126)</f>
        <v/>
      </c>
      <c r="B49" s="303" t="str">
        <f>IF(OR(ISBLANK('Table 3-A| Emission Units'!C126),ISTEXT('Table 3-A| Emission Units'!C126)),"",'Table 3-A| Emission Units'!C126)</f>
        <v/>
      </c>
      <c r="C49" s="304"/>
      <c r="D49" s="305" t="str">
        <f>IF(OR(ISBLANK('Table 5-A| Primary MPTE'!C137),A49="No"),"",'Table 5-A| Primary MPTE'!E137)</f>
        <v/>
      </c>
      <c r="E49" s="304"/>
      <c r="F49" s="305" t="str">
        <f>IF(ISBLANK('Table 5-A| Primary MPTE'!D137),"",'Table 5-A| Primary MPTE'!D137&amp;"/yr")</f>
        <v/>
      </c>
      <c r="G49" s="304"/>
      <c r="H49" s="427"/>
      <c r="I49" s="304"/>
      <c r="J49" s="304"/>
      <c r="K49" s="677">
        <f>IFERROR(VLOOKUP(I49,'Emission Controls'!$A$3:$B$16,2,),0)</f>
        <v>0</v>
      </c>
    </row>
    <row r="50" spans="1:11" ht="18" customHeight="1" x14ac:dyDescent="0.25">
      <c r="A50" s="302" t="str">
        <f>IF(ISBLANK('Table 3-A| Emission Units'!A127),"",'Table 3-A| Emission Units'!A127&amp;"-"&amp;'Table 3-A| Emission Units'!B127)</f>
        <v/>
      </c>
      <c r="B50" s="303" t="str">
        <f>IF(OR(ISBLANK('Table 3-A| Emission Units'!C127),ISTEXT('Table 3-A| Emission Units'!C127)),"",'Table 3-A| Emission Units'!C127)</f>
        <v/>
      </c>
      <c r="C50" s="304"/>
      <c r="D50" s="305" t="str">
        <f>IF(OR(ISBLANK('Table 5-A| Primary MPTE'!C138),A50="No"),"",'Table 5-A| Primary MPTE'!E138)</f>
        <v/>
      </c>
      <c r="E50" s="304"/>
      <c r="F50" s="305" t="str">
        <f>IF(ISBLANK('Table 5-A| Primary MPTE'!D138),"",'Table 5-A| Primary MPTE'!D138&amp;"/yr")</f>
        <v/>
      </c>
      <c r="G50" s="304"/>
      <c r="H50" s="427"/>
      <c r="I50" s="304"/>
      <c r="J50" s="304"/>
      <c r="K50" s="677">
        <f>IFERROR(VLOOKUP(I50,'Emission Controls'!$A$3:$B$16,2,),0)</f>
        <v>0</v>
      </c>
    </row>
    <row r="51" spans="1:11" ht="18" customHeight="1" x14ac:dyDescent="0.25">
      <c r="A51" s="302" t="str">
        <f>IF(ISBLANK('Table 3-A| Emission Units'!A128),"",'Table 3-A| Emission Units'!A128&amp;"-"&amp;'Table 3-A| Emission Units'!B128)</f>
        <v/>
      </c>
      <c r="B51" s="303" t="str">
        <f>IF(OR(ISBLANK('Table 3-A| Emission Units'!C128),ISTEXT('Table 3-A| Emission Units'!C128)),"",'Table 3-A| Emission Units'!C128)</f>
        <v/>
      </c>
      <c r="C51" s="304"/>
      <c r="D51" s="305" t="str">
        <f>IF(OR(ISBLANK('Table 5-A| Primary MPTE'!C139),A51="No"),"",'Table 5-A| Primary MPTE'!E139)</f>
        <v/>
      </c>
      <c r="E51" s="304"/>
      <c r="F51" s="305" t="str">
        <f>IF(ISBLANK('Table 5-A| Primary MPTE'!D139),"",'Table 5-A| Primary MPTE'!D139&amp;"/yr")</f>
        <v/>
      </c>
      <c r="G51" s="304"/>
      <c r="H51" s="427"/>
      <c r="I51" s="304"/>
      <c r="J51" s="304"/>
      <c r="K51" s="677">
        <f>IFERROR(VLOOKUP(I51,'Emission Controls'!$A$3:$B$16,2,),0)</f>
        <v>0</v>
      </c>
    </row>
    <row r="52" spans="1:11" ht="18" customHeight="1" x14ac:dyDescent="0.25">
      <c r="A52" s="302" t="str">
        <f>IF(ISBLANK('Table 3-A| Emission Units'!A129),"",'Table 3-A| Emission Units'!A129&amp;"-"&amp;'Table 3-A| Emission Units'!B129)</f>
        <v/>
      </c>
      <c r="B52" s="303" t="str">
        <f>IF(OR(ISBLANK('Table 3-A| Emission Units'!C129),ISTEXT('Table 3-A| Emission Units'!C129)),"",'Table 3-A| Emission Units'!C129)</f>
        <v/>
      </c>
      <c r="C52" s="304"/>
      <c r="D52" s="305" t="str">
        <f>IF(OR(ISBLANK('Table 5-A| Primary MPTE'!C140),A52="No"),"",'Table 5-A| Primary MPTE'!E140)</f>
        <v/>
      </c>
      <c r="E52" s="304"/>
      <c r="F52" s="305" t="str">
        <f>IF(ISBLANK('Table 5-A| Primary MPTE'!D140),"",'Table 5-A| Primary MPTE'!D140&amp;"/yr")</f>
        <v/>
      </c>
      <c r="G52" s="304"/>
      <c r="H52" s="427"/>
      <c r="I52" s="304"/>
      <c r="J52" s="304"/>
      <c r="K52" s="677">
        <f>IFERROR(VLOOKUP(I52,'Emission Controls'!$A$3:$B$16,2,),0)</f>
        <v>0</v>
      </c>
    </row>
    <row r="53" spans="1:11" ht="18" customHeight="1" x14ac:dyDescent="0.25">
      <c r="A53" s="302" t="str">
        <f>IF(ISBLANK('Table 3-A| Emission Units'!A130),"",'Table 3-A| Emission Units'!A130&amp;"-"&amp;'Table 3-A| Emission Units'!B130)</f>
        <v/>
      </c>
      <c r="B53" s="303" t="str">
        <f>IF(OR(ISBLANK('Table 3-A| Emission Units'!C130),ISTEXT('Table 3-A| Emission Units'!C130)),"",'Table 3-A| Emission Units'!C130)</f>
        <v/>
      </c>
      <c r="C53" s="304"/>
      <c r="D53" s="305" t="str">
        <f>IF(OR(ISBLANK('Table 5-A| Primary MPTE'!C141),A53="No"),"",'Table 5-A| Primary MPTE'!E141)</f>
        <v/>
      </c>
      <c r="E53" s="304"/>
      <c r="F53" s="305" t="str">
        <f>IF(ISBLANK('Table 5-A| Primary MPTE'!D141),"",'Table 5-A| Primary MPTE'!D141&amp;"/yr")</f>
        <v/>
      </c>
      <c r="G53" s="304"/>
      <c r="H53" s="427"/>
      <c r="I53" s="304"/>
      <c r="J53" s="304"/>
      <c r="K53" s="677">
        <f>IFERROR(VLOOKUP(I53,'Emission Controls'!$A$3:$B$16,2,),0)</f>
        <v>0</v>
      </c>
    </row>
    <row r="54" spans="1:11" ht="18" customHeight="1" x14ac:dyDescent="0.25">
      <c r="A54" s="302" t="str">
        <f>IF(ISBLANK('Table 3-A| Emission Units'!A131),"",'Table 3-A| Emission Units'!A131&amp;"-"&amp;'Table 3-A| Emission Units'!B131)</f>
        <v/>
      </c>
      <c r="B54" s="303" t="str">
        <f>IF(OR(ISBLANK('Table 3-A| Emission Units'!C131),ISTEXT('Table 3-A| Emission Units'!C131)),"",'Table 3-A| Emission Units'!C131)</f>
        <v/>
      </c>
      <c r="C54" s="304"/>
      <c r="D54" s="305" t="str">
        <f>IF(OR(ISBLANK('Table 5-A| Primary MPTE'!C142),A54="No"),"",'Table 5-A| Primary MPTE'!E142)</f>
        <v/>
      </c>
      <c r="E54" s="304"/>
      <c r="F54" s="305" t="str">
        <f>IF(ISBLANK('Table 5-A| Primary MPTE'!D142),"",'Table 5-A| Primary MPTE'!D142&amp;"/yr")</f>
        <v/>
      </c>
      <c r="G54" s="304"/>
      <c r="H54" s="427"/>
      <c r="I54" s="304"/>
      <c r="J54" s="304"/>
      <c r="K54" s="677">
        <f>IFERROR(VLOOKUP(I54,'Emission Controls'!$A$3:$B$16,2,),0)</f>
        <v>0</v>
      </c>
    </row>
    <row r="55" spans="1:11" ht="18" customHeight="1" x14ac:dyDescent="0.25">
      <c r="A55" s="302" t="str">
        <f>IF(ISBLANK('Table 3-A| Emission Units'!A132),"",'Table 3-A| Emission Units'!A132&amp;"-"&amp;'Table 3-A| Emission Units'!B132)</f>
        <v/>
      </c>
      <c r="B55" s="303" t="str">
        <f>IF(OR(ISBLANK('Table 3-A| Emission Units'!C132),ISTEXT('Table 3-A| Emission Units'!C132)),"",'Table 3-A| Emission Units'!C132)</f>
        <v/>
      </c>
      <c r="C55" s="304"/>
      <c r="D55" s="305" t="str">
        <f>IF(OR(ISBLANK('Table 5-A| Primary MPTE'!C143),A55="No"),"",'Table 5-A| Primary MPTE'!E143)</f>
        <v/>
      </c>
      <c r="E55" s="304"/>
      <c r="F55" s="305" t="str">
        <f>IF(ISBLANK('Table 5-A| Primary MPTE'!D143),"",'Table 5-A| Primary MPTE'!D143&amp;"/yr")</f>
        <v/>
      </c>
      <c r="G55" s="304"/>
      <c r="H55" s="427"/>
      <c r="I55" s="304"/>
      <c r="J55" s="304"/>
      <c r="K55" s="677">
        <f>IFERROR(VLOOKUP(I55,'Emission Controls'!$A$3:$B$16,2,),0)</f>
        <v>0</v>
      </c>
    </row>
    <row r="56" spans="1:11" ht="18" customHeight="1" x14ac:dyDescent="0.25">
      <c r="A56" s="302" t="str">
        <f>IF(ISBLANK('Table 3-A| Emission Units'!A133),"",'Table 3-A| Emission Units'!A133&amp;"-"&amp;'Table 3-A| Emission Units'!B133)</f>
        <v/>
      </c>
      <c r="B56" s="303" t="str">
        <f>IF(OR(ISBLANK('Table 3-A| Emission Units'!C133),ISTEXT('Table 3-A| Emission Units'!C133)),"",'Table 3-A| Emission Units'!C133)</f>
        <v/>
      </c>
      <c r="C56" s="304"/>
      <c r="D56" s="305" t="str">
        <f>IF(OR(ISBLANK('Table 5-A| Primary MPTE'!C144),A56="No"),"",'Table 5-A| Primary MPTE'!E144)</f>
        <v/>
      </c>
      <c r="E56" s="304"/>
      <c r="F56" s="305" t="str">
        <f>IF(ISBLANK('Table 5-A| Primary MPTE'!D144),"",'Table 5-A| Primary MPTE'!D144&amp;"/yr")</f>
        <v/>
      </c>
      <c r="G56" s="304"/>
      <c r="H56" s="427"/>
      <c r="I56" s="304"/>
      <c r="J56" s="304"/>
      <c r="K56" s="677">
        <f>IFERROR(VLOOKUP(I56,'Emission Controls'!$A$3:$B$16,2,),0)</f>
        <v>0</v>
      </c>
    </row>
    <row r="57" spans="1:11" ht="18" customHeight="1" x14ac:dyDescent="0.25">
      <c r="A57" s="302" t="str">
        <f>IF(ISBLANK('Table 3-A| Emission Units'!A134),"",'Table 3-A| Emission Units'!A134&amp;"-"&amp;'Table 3-A| Emission Units'!B134)</f>
        <v/>
      </c>
      <c r="B57" s="303" t="str">
        <f>IF(OR(ISBLANK('Table 3-A| Emission Units'!C134),ISTEXT('Table 3-A| Emission Units'!C134)),"",'Table 3-A| Emission Units'!C134)</f>
        <v/>
      </c>
      <c r="C57" s="304"/>
      <c r="D57" s="305" t="str">
        <f>IF(OR(ISBLANK('Table 5-A| Primary MPTE'!C145),A57="No"),"",'Table 5-A| Primary MPTE'!E145)</f>
        <v/>
      </c>
      <c r="E57" s="304"/>
      <c r="F57" s="305" t="str">
        <f>IF(ISBLANK('Table 5-A| Primary MPTE'!D145),"",'Table 5-A| Primary MPTE'!D145&amp;"/yr")</f>
        <v/>
      </c>
      <c r="G57" s="304"/>
      <c r="H57" s="427"/>
      <c r="I57" s="304"/>
      <c r="J57" s="304"/>
      <c r="K57" s="677">
        <f>IFERROR(VLOOKUP(I57,'Emission Controls'!$A$3:$B$16,2,),0)</f>
        <v>0</v>
      </c>
    </row>
    <row r="58" spans="1:11" ht="18" customHeight="1" x14ac:dyDescent="0.25">
      <c r="A58" s="302" t="str">
        <f>IF(ISBLANK('Table 3-A| Emission Units'!A135),"",'Table 3-A| Emission Units'!A135&amp;"-"&amp;'Table 3-A| Emission Units'!B135)</f>
        <v/>
      </c>
      <c r="B58" s="303" t="str">
        <f>IF(OR(ISBLANK('Table 3-A| Emission Units'!C135),ISTEXT('Table 3-A| Emission Units'!C135)),"",'Table 3-A| Emission Units'!C135)</f>
        <v/>
      </c>
      <c r="C58" s="304"/>
      <c r="D58" s="305" t="str">
        <f>IF(OR(ISBLANK('Table 5-A| Primary MPTE'!C146),A58="No"),"",'Table 5-A| Primary MPTE'!E146)</f>
        <v/>
      </c>
      <c r="E58" s="304"/>
      <c r="F58" s="305" t="str">
        <f>IF(ISBLANK('Table 5-A| Primary MPTE'!D146),"",'Table 5-A| Primary MPTE'!D146&amp;"/yr")</f>
        <v/>
      </c>
      <c r="G58" s="304"/>
      <c r="H58" s="427"/>
      <c r="I58" s="304"/>
      <c r="J58" s="304"/>
      <c r="K58" s="677">
        <f>IFERROR(VLOOKUP(I58,'Emission Controls'!$A$3:$B$16,2,),0)</f>
        <v>0</v>
      </c>
    </row>
    <row r="59" spans="1:11" ht="18" customHeight="1" x14ac:dyDescent="0.25">
      <c r="A59" s="302" t="str">
        <f>IF(ISBLANK('Table 3-A| Emission Units'!A136),"",'Table 3-A| Emission Units'!A136&amp;"-"&amp;'Table 3-A| Emission Units'!B136)</f>
        <v/>
      </c>
      <c r="B59" s="303" t="str">
        <f>IF(OR(ISBLANK('Table 3-A| Emission Units'!C136),ISTEXT('Table 3-A| Emission Units'!C136)),"",'Table 3-A| Emission Units'!C136)</f>
        <v/>
      </c>
      <c r="C59" s="304"/>
      <c r="D59" s="305" t="str">
        <f>IF(OR(ISBLANK('Table 5-A| Primary MPTE'!C147),A59="No"),"",'Table 5-A| Primary MPTE'!E147)</f>
        <v/>
      </c>
      <c r="E59" s="304"/>
      <c r="F59" s="305" t="str">
        <f>IF(ISBLANK('Table 5-A| Primary MPTE'!D147),"",'Table 5-A| Primary MPTE'!D147&amp;"/yr")</f>
        <v/>
      </c>
      <c r="G59" s="304"/>
      <c r="H59" s="427"/>
      <c r="I59" s="304"/>
      <c r="J59" s="304"/>
      <c r="K59" s="677">
        <f>IFERROR(VLOOKUP(I59,'Emission Controls'!$A$3:$B$16,2,),0)</f>
        <v>0</v>
      </c>
    </row>
    <row r="60" spans="1:11" ht="18" customHeight="1" x14ac:dyDescent="0.25">
      <c r="A60" s="302" t="str">
        <f>IF(ISBLANK('Table 3-A| Emission Units'!A137),"",'Table 3-A| Emission Units'!A137&amp;"-"&amp;'Table 3-A| Emission Units'!B137)</f>
        <v/>
      </c>
      <c r="B60" s="303" t="str">
        <f>IF(OR(ISBLANK('Table 3-A| Emission Units'!C137),ISTEXT('Table 3-A| Emission Units'!C137)),"",'Table 3-A| Emission Units'!C137)</f>
        <v/>
      </c>
      <c r="C60" s="304"/>
      <c r="D60" s="305" t="str">
        <f>IF(OR(ISBLANK('Table 5-A| Primary MPTE'!C148),A60="No"),"",'Table 5-A| Primary MPTE'!E148)</f>
        <v/>
      </c>
      <c r="E60" s="304"/>
      <c r="F60" s="305" t="str">
        <f>IF(ISBLANK('Table 5-A| Primary MPTE'!D148),"",'Table 5-A| Primary MPTE'!D148&amp;"/yr")</f>
        <v/>
      </c>
      <c r="G60" s="304"/>
      <c r="H60" s="427"/>
      <c r="I60" s="304"/>
      <c r="J60" s="304"/>
      <c r="K60" s="677">
        <f>IFERROR(VLOOKUP(I60,'Emission Controls'!$A$3:$B$16,2,),0)</f>
        <v>0</v>
      </c>
    </row>
    <row r="61" spans="1:11" ht="18" customHeight="1" x14ac:dyDescent="0.25">
      <c r="A61" s="302" t="str">
        <f>IF(ISBLANK('Table 3-A| Emission Units'!A138),"",'Table 3-A| Emission Units'!A138&amp;"-"&amp;'Table 3-A| Emission Units'!B138)</f>
        <v/>
      </c>
      <c r="B61" s="303" t="str">
        <f>IF(OR(ISBLANK('Table 3-A| Emission Units'!C138),ISTEXT('Table 3-A| Emission Units'!C138)),"",'Table 3-A| Emission Units'!C138)</f>
        <v/>
      </c>
      <c r="C61" s="304"/>
      <c r="D61" s="305" t="str">
        <f>IF(OR(ISBLANK('Table 5-A| Primary MPTE'!C149),A61="No"),"",'Table 5-A| Primary MPTE'!E149)</f>
        <v/>
      </c>
      <c r="E61" s="304"/>
      <c r="F61" s="305" t="str">
        <f>IF(ISBLANK('Table 5-A| Primary MPTE'!D149),"",'Table 5-A| Primary MPTE'!D149&amp;"/yr")</f>
        <v/>
      </c>
      <c r="G61" s="304"/>
      <c r="H61" s="427"/>
      <c r="I61" s="304"/>
      <c r="J61" s="304"/>
      <c r="K61" s="677">
        <f>IFERROR(VLOOKUP(I61,'Emission Controls'!$A$3:$B$16,2,),0)</f>
        <v>0</v>
      </c>
    </row>
    <row r="62" spans="1:11" ht="18" customHeight="1" x14ac:dyDescent="0.25">
      <c r="A62" s="302" t="str">
        <f>IF(ISBLANK('Table 3-A| Emission Units'!A139),"",'Table 3-A| Emission Units'!A139&amp;"-"&amp;'Table 3-A| Emission Units'!B139)</f>
        <v/>
      </c>
      <c r="B62" s="303" t="str">
        <f>IF(OR(ISBLANK('Table 3-A| Emission Units'!C139),ISTEXT('Table 3-A| Emission Units'!C139)),"",'Table 3-A| Emission Units'!C139)</f>
        <v/>
      </c>
      <c r="C62" s="304"/>
      <c r="D62" s="305" t="str">
        <f>IF(OR(ISBLANK('Table 5-A| Primary MPTE'!C150),A62="No"),"",'Table 5-A| Primary MPTE'!E150)</f>
        <v/>
      </c>
      <c r="E62" s="304"/>
      <c r="F62" s="305" t="str">
        <f>IF(ISBLANK('Table 5-A| Primary MPTE'!D150),"",'Table 5-A| Primary MPTE'!D150&amp;"/yr")</f>
        <v/>
      </c>
      <c r="G62" s="304"/>
      <c r="H62" s="427"/>
      <c r="I62" s="304"/>
      <c r="J62" s="304"/>
      <c r="K62" s="677">
        <f>IFERROR(VLOOKUP(I62,'Emission Controls'!$A$3:$B$16,2,),0)</f>
        <v>0</v>
      </c>
    </row>
    <row r="63" spans="1:11" ht="18" customHeight="1" x14ac:dyDescent="0.25">
      <c r="A63" s="302" t="str">
        <f>IF(ISBLANK('Table 3-A| Emission Units'!A140),"",'Table 3-A| Emission Units'!A140&amp;"-"&amp;'Table 3-A| Emission Units'!B140)</f>
        <v/>
      </c>
      <c r="B63" s="303" t="str">
        <f>IF(OR(ISBLANK('Table 3-A| Emission Units'!C140),ISTEXT('Table 3-A| Emission Units'!C140)),"",'Table 3-A| Emission Units'!C140)</f>
        <v/>
      </c>
      <c r="C63" s="304"/>
      <c r="D63" s="305" t="str">
        <f>IF(OR(ISBLANK('Table 5-A| Primary MPTE'!C151),A63="No"),"",'Table 5-A| Primary MPTE'!E151)</f>
        <v/>
      </c>
      <c r="E63" s="304"/>
      <c r="F63" s="305" t="str">
        <f>IF(ISBLANK('Table 5-A| Primary MPTE'!D151),"",'Table 5-A| Primary MPTE'!D151&amp;"/yr")</f>
        <v/>
      </c>
      <c r="G63" s="304"/>
      <c r="H63" s="427"/>
      <c r="I63" s="304"/>
      <c r="J63" s="304"/>
      <c r="K63" s="677">
        <f>IFERROR(VLOOKUP(I63,'Emission Controls'!$A$3:$B$16,2,),0)</f>
        <v>0</v>
      </c>
    </row>
    <row r="64" spans="1:11" ht="18" customHeight="1" x14ac:dyDescent="0.25">
      <c r="A64" s="302" t="str">
        <f>IF(ISBLANK('Table 3-A| Emission Units'!A141),"",'Table 3-A| Emission Units'!A141&amp;"-"&amp;'Table 3-A| Emission Units'!B141)</f>
        <v/>
      </c>
      <c r="B64" s="303" t="str">
        <f>IF(OR(ISBLANK('Table 3-A| Emission Units'!C141),ISTEXT('Table 3-A| Emission Units'!C141)),"",'Table 3-A| Emission Units'!C141)</f>
        <v/>
      </c>
      <c r="C64" s="304"/>
      <c r="D64" s="305" t="str">
        <f>IF(OR(ISBLANK('Table 5-A| Primary MPTE'!C152),A64="No"),"",'Table 5-A| Primary MPTE'!E152)</f>
        <v/>
      </c>
      <c r="E64" s="304"/>
      <c r="F64" s="305" t="str">
        <f>IF(ISBLANK('Table 5-A| Primary MPTE'!D152),"",'Table 5-A| Primary MPTE'!D152&amp;"/yr")</f>
        <v/>
      </c>
      <c r="G64" s="304"/>
      <c r="H64" s="427"/>
      <c r="I64" s="304"/>
      <c r="J64" s="304"/>
      <c r="K64" s="677">
        <f>IFERROR(VLOOKUP(I64,'Emission Controls'!$A$3:$B$16,2,),0)</f>
        <v>0</v>
      </c>
    </row>
    <row r="65" spans="1:11" ht="18" customHeight="1" thickBot="1" x14ac:dyDescent="0.3">
      <c r="A65" s="309" t="str">
        <f>IF(ISBLANK('Table 3-A| Emission Units'!A142),"",'Table 3-A| Emission Units'!A142&amp;"-"&amp;'Table 3-A| Emission Units'!B142)</f>
        <v/>
      </c>
      <c r="B65" s="310" t="str">
        <f>IF(OR(ISBLANK('Table 3-A| Emission Units'!C142),ISTEXT('Table 3-A| Emission Units'!C142)),"",'Table 3-A| Emission Units'!C142)</f>
        <v/>
      </c>
      <c r="C65" s="311"/>
      <c r="D65" s="312" t="str">
        <f>IF(OR(ISBLANK('Table 5-A| Primary MPTE'!C153),A65="No"),"",'Table 5-A| Primary MPTE'!E153)</f>
        <v/>
      </c>
      <c r="E65" s="311"/>
      <c r="F65" s="312" t="str">
        <f>IF(ISBLANK('Table 5-A| Primary MPTE'!D153),"",'Table 5-A| Primary MPTE'!D153&amp;"/yr")</f>
        <v/>
      </c>
      <c r="G65" s="311"/>
      <c r="H65" s="428"/>
      <c r="I65" s="311"/>
      <c r="J65" s="311"/>
      <c r="K65" s="677">
        <f>IFERROR(VLOOKUP(I65,'Emission Controls'!$A$3:$B$16,2,),0)</f>
        <v>0</v>
      </c>
    </row>
    <row r="66" spans="1:11" ht="18" customHeight="1" x14ac:dyDescent="0.25"/>
    <row r="67" spans="1:11" ht="18" customHeight="1" x14ac:dyDescent="0.25"/>
    <row r="68" spans="1:11" ht="18" customHeight="1" x14ac:dyDescent="0.25"/>
    <row r="69" spans="1:11" ht="18" customHeight="1" x14ac:dyDescent="0.25"/>
    <row r="70" spans="1:11" ht="18" customHeight="1" x14ac:dyDescent="0.25"/>
    <row r="71" spans="1:11" ht="18" customHeight="1" x14ac:dyDescent="0.25"/>
    <row r="72" spans="1:11" ht="18" customHeight="1" x14ac:dyDescent="0.25"/>
    <row r="73" spans="1:11" ht="18" customHeight="1" x14ac:dyDescent="0.25"/>
    <row r="74" spans="1:11" ht="18" customHeight="1" x14ac:dyDescent="0.25"/>
    <row r="75" spans="1:11" ht="18" customHeight="1" x14ac:dyDescent="0.25"/>
    <row r="76" spans="1:11" ht="18" customHeight="1" x14ac:dyDescent="0.25"/>
    <row r="77" spans="1:11" ht="18" customHeight="1" x14ac:dyDescent="0.25"/>
    <row r="78" spans="1:11" ht="18" customHeight="1" x14ac:dyDescent="0.25"/>
    <row r="79" spans="1:11" ht="18" customHeight="1" x14ac:dyDescent="0.25"/>
    <row r="80" spans="1:11" ht="18" customHeight="1" x14ac:dyDescent="0.25"/>
    <row r="81" ht="18" customHeight="1" x14ac:dyDescent="0.25"/>
    <row r="82" ht="18" customHeight="1" x14ac:dyDescent="0.25"/>
    <row r="83" ht="18" customHeight="1" x14ac:dyDescent="0.25"/>
    <row r="84" ht="18" customHeight="1" x14ac:dyDescent="0.25"/>
    <row r="85" ht="18" customHeight="1" x14ac:dyDescent="0.25"/>
    <row r="86" ht="18" customHeight="1" x14ac:dyDescent="0.25"/>
    <row r="87" ht="18" customHeight="1" x14ac:dyDescent="0.25"/>
    <row r="88" ht="18" customHeight="1" x14ac:dyDescent="0.25"/>
    <row r="89" ht="18" customHeight="1" x14ac:dyDescent="0.25"/>
    <row r="90" ht="18" customHeight="1" x14ac:dyDescent="0.25"/>
    <row r="91" ht="18" customHeight="1" x14ac:dyDescent="0.25"/>
    <row r="92" ht="18" customHeight="1" x14ac:dyDescent="0.25"/>
    <row r="93" ht="18" customHeight="1" x14ac:dyDescent="0.25"/>
    <row r="94" ht="18" customHeight="1" x14ac:dyDescent="0.25"/>
    <row r="95" ht="18" customHeight="1" x14ac:dyDescent="0.25"/>
    <row r="96" ht="18" customHeight="1" x14ac:dyDescent="0.25"/>
    <row r="97" ht="18" customHeight="1" x14ac:dyDescent="0.25"/>
    <row r="98" ht="18" customHeight="1" x14ac:dyDescent="0.25"/>
    <row r="99" ht="18" customHeight="1" x14ac:dyDescent="0.25"/>
    <row r="100" ht="18" customHeight="1" x14ac:dyDescent="0.25"/>
    <row r="101" ht="18" customHeight="1" x14ac:dyDescent="0.25"/>
    <row r="102" ht="18" customHeight="1" x14ac:dyDescent="0.25"/>
    <row r="103" ht="18"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8" customHeight="1" x14ac:dyDescent="0.25"/>
    <row r="111" ht="18" customHeight="1" x14ac:dyDescent="0.25"/>
    <row r="112" ht="18" customHeight="1" x14ac:dyDescent="0.25"/>
    <row r="113" ht="18" customHeight="1" x14ac:dyDescent="0.25"/>
  </sheetData>
  <sheetProtection algorithmName="SHA-512" hashValue="m4gSwUH33Nwr2aOZk9rVQXtxM9eT+4umqu4MjBRmJisPeYaP40WQ+oQe0XRVAnY2p4xwmPdE2xbFB4U9mSAplg==" saltValue="nlfhXZYAE8MFPAuBkA3+ow==" spinCount="100000" sheet="1" objects="1" scenarios="1"/>
  <mergeCells count="23">
    <mergeCell ref="A42:J42"/>
    <mergeCell ref="A24:J24"/>
    <mergeCell ref="A28:J28"/>
    <mergeCell ref="A37:J37"/>
    <mergeCell ref="A32:J32"/>
    <mergeCell ref="A1:J1"/>
    <mergeCell ref="B10:J10"/>
    <mergeCell ref="B9:J9"/>
    <mergeCell ref="A15:J15"/>
    <mergeCell ref="A16:J16"/>
    <mergeCell ref="B3:J3"/>
    <mergeCell ref="A2:J2"/>
    <mergeCell ref="B8:J8"/>
    <mergeCell ref="B7:J7"/>
    <mergeCell ref="B6:J6"/>
    <mergeCell ref="B5:J5"/>
    <mergeCell ref="B4:J4"/>
    <mergeCell ref="A20:J20"/>
    <mergeCell ref="B11:J11"/>
    <mergeCell ref="A18:J18"/>
    <mergeCell ref="A13:J13"/>
    <mergeCell ref="A14:J14"/>
    <mergeCell ref="A17:J17"/>
  </mergeCells>
  <conditionalFormatting sqref="A21:J41">
    <cfRule type="expression" dxfId="122" priority="1" stopIfTrue="1">
      <formula>$A21=0</formula>
    </cfRule>
  </conditionalFormatting>
  <conditionalFormatting sqref="B21:B65">
    <cfRule type="expression" dxfId="121" priority="16">
      <formula>B21&gt;99999999</formula>
    </cfRule>
  </conditionalFormatting>
  <conditionalFormatting sqref="C21:E65">
    <cfRule type="cellIs" dxfId="120" priority="8" operator="greaterThanOrEqual">
      <formula>1000</formula>
    </cfRule>
  </conditionalFormatting>
  <conditionalFormatting sqref="E21:E31 E38:E41 G21:I41 C21:C31 C38:C41">
    <cfRule type="expression" dxfId="119" priority="5">
      <formula>AND(NOT($A21=0),ISBLANK(C21))</formula>
    </cfRule>
  </conditionalFormatting>
  <conditionalFormatting sqref="E21:E65">
    <cfRule type="expression" dxfId="118" priority="4" stopIfTrue="1">
      <formula>AND(NOT(ISBLANK(C21)),C21="No")</formula>
    </cfRule>
    <cfRule type="expression" dxfId="117" priority="7">
      <formula>ISTEXT(E21)</formula>
    </cfRule>
  </conditionalFormatting>
  <conditionalFormatting sqref="E43:E65 G43:I65 C43:C65">
    <cfRule type="expression" dxfId="116" priority="6">
      <formula>AND(NOT($A43=""),ISBLANK(C43))</formula>
    </cfRule>
  </conditionalFormatting>
  <conditionalFormatting sqref="H21:J65">
    <cfRule type="expression" dxfId="115" priority="2" stopIfTrue="1">
      <formula>$G21="No"</formula>
    </cfRule>
  </conditionalFormatting>
  <conditionalFormatting sqref="J21:J65">
    <cfRule type="expression" dxfId="114" priority="3" stopIfTrue="1">
      <formula>AND(NOT(ISBLANK($I21)),NOT($I21="Other"))</formula>
    </cfRule>
  </conditionalFormatting>
  <dataValidations xWindow="683" yWindow="717" count="3">
    <dataValidation type="list" errorStyle="warning" showInputMessage="1" showErrorMessage="1" errorTitle="Invalid Entry" error="Must select either &quot;Yes&quot; or &quot;No&quot;!" promptTitle="Emission Controls" prompt="Select &quot;Yes&quot; if you are willing to apply emission controls on this emission unit, and select &quot;No&quot; if you are not." sqref="G43:G65 G21:G23 G33:G36 G29:G31 G38:G41 G25:G27" xr:uid="{00000000-0002-0000-0F00-000000000000}">
      <formula1>$U$20:$U$21</formula1>
    </dataValidation>
    <dataValidation type="list" errorStyle="warning" showInputMessage="1" showErrorMessage="1" errorTitle="Invalid Entry" error="Must select either &quot;Yes&quot; or &quot;No&quot;!" promptTitle="Throughput Limit" prompt="Select &quot;Yes&quot; if you are willing to accept a throughput limit on this emission unit, and select &quot;No&quot; if you are not." sqref="C43:C65 C21:C23 C29:C31 C38:C41 C25:C27" xr:uid="{00000000-0002-0000-0F00-000001000000}">
      <formula1>$T$20:$T$21</formula1>
    </dataValidation>
    <dataValidation type="list" errorStyle="warning" allowBlank="1" showInputMessage="1" showErrorMessage="1" promptTitle="Control Device" prompt="Select the applicable control device.  If device is not included in list, select 'Other'." sqref="I25:I27 I21:I23 I43:I65 I38:I41 I33:I36 I29:I31" xr:uid="{00000000-0002-0000-0F00-000002000000}">
      <formula1>$V$20:$V$33</formula1>
    </dataValidation>
  </dataValidations>
  <printOptions horizontalCentered="1"/>
  <pageMargins left="0.5" right="0.5" top="0.5" bottom="0.5" header="0.3" footer="0.3"/>
  <pageSetup scale="73" fitToHeight="0" orientation="landscape" r:id="rId1"/>
  <headerFooter>
    <oddFooter>&amp;LRev. 7/2016&amp;C&amp;A&amp;RPage &amp;P</oddFoot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3">
    <tabColor rgb="FF002060"/>
    <pageSetUpPr fitToPage="1"/>
  </sheetPr>
  <dimension ref="A1:Y57"/>
  <sheetViews>
    <sheetView showGridLines="0" zoomScaleNormal="100" workbookViewId="0">
      <selection sqref="A1:M1"/>
    </sheetView>
  </sheetViews>
  <sheetFormatPr defaultRowHeight="14.25" x14ac:dyDescent="0.25"/>
  <cols>
    <col min="1" max="1" width="10.28515625" style="130" customWidth="1"/>
    <col min="2" max="3" width="16.7109375" style="48" customWidth="1"/>
    <col min="4" max="4" width="12.7109375" style="48" customWidth="1"/>
    <col min="5" max="14" width="11.7109375" style="48" customWidth="1"/>
    <col min="15" max="15" width="3.7109375" style="48" customWidth="1"/>
    <col min="16" max="16384" width="9.140625" style="48"/>
  </cols>
  <sheetData>
    <row r="1" spans="1:14" s="69" customFormat="1" ht="26.25" customHeight="1" thickBot="1" x14ac:dyDescent="0.3">
      <c r="A1" s="1315" t="s">
        <v>1826</v>
      </c>
      <c r="B1" s="1315"/>
      <c r="C1" s="1315"/>
      <c r="D1" s="1315"/>
      <c r="E1" s="1315"/>
      <c r="F1" s="1315"/>
      <c r="G1" s="1315"/>
      <c r="H1" s="1315"/>
      <c r="I1" s="1315"/>
      <c r="J1" s="1315"/>
      <c r="K1" s="1315"/>
      <c r="L1" s="1315"/>
      <c r="M1" s="1315"/>
    </row>
    <row r="2" spans="1:14" s="469" customFormat="1" ht="42.75" customHeight="1" x14ac:dyDescent="0.25">
      <c r="A2" s="1546" t="s">
        <v>2110</v>
      </c>
      <c r="B2" s="1546"/>
      <c r="C2" s="1546"/>
      <c r="D2" s="1546"/>
      <c r="E2" s="1546"/>
      <c r="F2" s="1546"/>
      <c r="G2" s="1546"/>
      <c r="H2" s="1546"/>
      <c r="I2" s="1546"/>
      <c r="J2" s="1546"/>
      <c r="K2" s="1546"/>
      <c r="L2" s="1546"/>
      <c r="M2" s="1546"/>
      <c r="N2" s="1546"/>
    </row>
    <row r="3" spans="1:14" s="160" customFormat="1" ht="54.95" customHeight="1" x14ac:dyDescent="0.25">
      <c r="A3" s="1197" t="s">
        <v>1836</v>
      </c>
      <c r="B3" s="1197"/>
      <c r="C3" s="1197"/>
      <c r="D3" s="1197"/>
      <c r="E3" s="1197"/>
      <c r="F3" s="1197"/>
      <c r="G3" s="1197"/>
      <c r="H3" s="1197"/>
      <c r="I3" s="1197"/>
      <c r="J3" s="1197"/>
      <c r="K3" s="1197"/>
      <c r="L3" s="1197"/>
      <c r="M3" s="1197"/>
      <c r="N3" s="1197"/>
    </row>
    <row r="4" spans="1:14" s="168" customFormat="1" ht="54.95" customHeight="1" x14ac:dyDescent="0.25">
      <c r="A4" s="463">
        <v>1</v>
      </c>
      <c r="B4" s="1466" t="s">
        <v>1833</v>
      </c>
      <c r="C4" s="1466"/>
      <c r="D4" s="1466"/>
      <c r="E4" s="1466"/>
      <c r="F4" s="1466"/>
      <c r="G4" s="1466"/>
      <c r="H4" s="1466"/>
      <c r="I4" s="1466"/>
      <c r="J4" s="1466"/>
      <c r="K4" s="1466"/>
      <c r="L4" s="1466"/>
      <c r="M4" s="1466"/>
      <c r="N4" s="1466"/>
    </row>
    <row r="5" spans="1:14" s="168" customFormat="1" ht="54.95" customHeight="1" x14ac:dyDescent="0.25">
      <c r="A5" s="463">
        <v>2</v>
      </c>
      <c r="B5" s="1466" t="s">
        <v>1832</v>
      </c>
      <c r="C5" s="1466"/>
      <c r="D5" s="1466"/>
      <c r="E5" s="1466"/>
      <c r="F5" s="1466"/>
      <c r="G5" s="1466"/>
      <c r="H5" s="1466"/>
      <c r="I5" s="1466"/>
      <c r="J5" s="1466"/>
      <c r="K5" s="1466"/>
      <c r="L5" s="1466"/>
      <c r="M5" s="1466"/>
      <c r="N5" s="1466"/>
    </row>
    <row r="6" spans="1:14" s="168" customFormat="1" ht="39.950000000000003" customHeight="1" x14ac:dyDescent="0.25">
      <c r="A6" s="463">
        <v>3</v>
      </c>
      <c r="B6" s="1466" t="s">
        <v>1834</v>
      </c>
      <c r="C6" s="1466"/>
      <c r="D6" s="1466"/>
      <c r="E6" s="1466"/>
      <c r="F6" s="1466"/>
      <c r="G6" s="1466"/>
      <c r="H6" s="1466"/>
      <c r="I6" s="1466"/>
      <c r="J6" s="1466"/>
      <c r="K6" s="1466"/>
      <c r="L6" s="1466"/>
      <c r="M6" s="1466"/>
      <c r="N6" s="1466"/>
    </row>
    <row r="7" spans="1:14" s="452" customFormat="1" ht="39.950000000000003" customHeight="1" x14ac:dyDescent="0.25">
      <c r="A7" s="463">
        <v>4</v>
      </c>
      <c r="B7" s="1466" t="s">
        <v>1835</v>
      </c>
      <c r="C7" s="1466"/>
      <c r="D7" s="1466"/>
      <c r="E7" s="1466"/>
      <c r="F7" s="1466"/>
      <c r="G7" s="1466"/>
      <c r="H7" s="1466"/>
      <c r="I7" s="1466"/>
      <c r="J7" s="1466"/>
      <c r="K7" s="1466"/>
      <c r="L7" s="1466"/>
      <c r="M7" s="1466"/>
      <c r="N7" s="1466"/>
    </row>
    <row r="8" spans="1:14" s="168" customFormat="1" ht="24.95" customHeight="1" thickBot="1" x14ac:dyDescent="0.3">
      <c r="A8" s="463">
        <v>5</v>
      </c>
      <c r="B8" s="1466" t="s">
        <v>1831</v>
      </c>
      <c r="C8" s="1466"/>
      <c r="D8" s="1466"/>
      <c r="E8" s="1466"/>
      <c r="F8" s="1466"/>
      <c r="G8" s="1466"/>
      <c r="H8" s="1466"/>
      <c r="I8" s="1466"/>
      <c r="J8" s="1466"/>
      <c r="K8" s="1466"/>
      <c r="L8" s="1466"/>
      <c r="M8" s="1466"/>
      <c r="N8" s="1466"/>
    </row>
    <row r="9" spans="1:14" ht="60.75" thickBot="1" x14ac:dyDescent="0.3">
      <c r="A9" s="106" t="s">
        <v>1824</v>
      </c>
      <c r="B9" s="107" t="s">
        <v>271</v>
      </c>
      <c r="C9" s="107" t="s">
        <v>1830</v>
      </c>
      <c r="D9" s="107" t="s">
        <v>1829</v>
      </c>
      <c r="E9" s="108" t="s">
        <v>26</v>
      </c>
      <c r="F9" s="109" t="s">
        <v>30</v>
      </c>
      <c r="G9" s="109" t="s">
        <v>3</v>
      </c>
      <c r="H9" s="109" t="s">
        <v>4</v>
      </c>
      <c r="I9" s="109" t="s">
        <v>0</v>
      </c>
      <c r="J9" s="109" t="s">
        <v>5</v>
      </c>
      <c r="K9" s="109" t="s">
        <v>2509</v>
      </c>
      <c r="L9" s="109" t="s">
        <v>24</v>
      </c>
      <c r="M9" s="109" t="s">
        <v>1825</v>
      </c>
      <c r="N9" s="110" t="s">
        <v>25</v>
      </c>
    </row>
    <row r="10" spans="1:14" ht="18" customHeight="1" x14ac:dyDescent="0.25">
      <c r="A10" s="384" t="s">
        <v>2112</v>
      </c>
      <c r="B10" s="245">
        <v>20100102</v>
      </c>
      <c r="C10" s="315" t="s">
        <v>73</v>
      </c>
      <c r="D10" s="246" t="s">
        <v>75</v>
      </c>
      <c r="E10" s="461">
        <v>0</v>
      </c>
      <c r="F10" s="316">
        <v>0</v>
      </c>
      <c r="G10" s="316">
        <v>40000</v>
      </c>
      <c r="H10" s="316">
        <v>0</v>
      </c>
      <c r="I10" s="316">
        <v>0</v>
      </c>
      <c r="J10" s="316">
        <v>0</v>
      </c>
      <c r="K10" s="316">
        <v>0</v>
      </c>
      <c r="L10" s="316">
        <v>0</v>
      </c>
      <c r="M10" s="316">
        <v>0</v>
      </c>
      <c r="N10" s="611">
        <v>0</v>
      </c>
    </row>
    <row r="11" spans="1:14" ht="18" customHeight="1" x14ac:dyDescent="0.25">
      <c r="A11" s="385" t="s">
        <v>2113</v>
      </c>
      <c r="B11" s="248">
        <v>10200602</v>
      </c>
      <c r="C11" s="456" t="s">
        <v>73</v>
      </c>
      <c r="D11" s="247" t="s">
        <v>73</v>
      </c>
      <c r="E11" s="612">
        <v>0</v>
      </c>
      <c r="F11" s="613">
        <v>0</v>
      </c>
      <c r="G11" s="613">
        <v>0</v>
      </c>
      <c r="H11" s="613">
        <v>0</v>
      </c>
      <c r="I11" s="613">
        <v>0</v>
      </c>
      <c r="J11" s="613">
        <v>0</v>
      </c>
      <c r="K11" s="613">
        <v>0</v>
      </c>
      <c r="L11" s="613">
        <v>0</v>
      </c>
      <c r="M11" s="613">
        <v>0</v>
      </c>
      <c r="N11" s="614">
        <v>0</v>
      </c>
    </row>
    <row r="12" spans="1:14" ht="18" customHeight="1" x14ac:dyDescent="0.25">
      <c r="A12" s="385" t="s">
        <v>2114</v>
      </c>
      <c r="B12" s="248">
        <v>10200501</v>
      </c>
      <c r="C12" s="456" t="s">
        <v>73</v>
      </c>
      <c r="D12" s="247" t="s">
        <v>73</v>
      </c>
      <c r="E12" s="462">
        <v>0</v>
      </c>
      <c r="F12" s="321">
        <v>0</v>
      </c>
      <c r="G12" s="321">
        <v>0</v>
      </c>
      <c r="H12" s="321">
        <v>0</v>
      </c>
      <c r="I12" s="321">
        <v>0</v>
      </c>
      <c r="J12" s="321">
        <v>0</v>
      </c>
      <c r="K12" s="321">
        <v>0</v>
      </c>
      <c r="L12" s="321">
        <v>0</v>
      </c>
      <c r="M12" s="321">
        <v>0</v>
      </c>
      <c r="N12" s="322">
        <v>0</v>
      </c>
    </row>
    <row r="13" spans="1:14" ht="18" customHeight="1" x14ac:dyDescent="0.25">
      <c r="A13" s="385" t="s">
        <v>2115</v>
      </c>
      <c r="B13" s="248">
        <v>40400204</v>
      </c>
      <c r="C13" s="456" t="s">
        <v>73</v>
      </c>
      <c r="D13" s="247" t="s">
        <v>75</v>
      </c>
      <c r="E13" s="462">
        <v>0</v>
      </c>
      <c r="F13" s="321">
        <v>0</v>
      </c>
      <c r="G13" s="321">
        <v>0</v>
      </c>
      <c r="H13" s="321">
        <v>0</v>
      </c>
      <c r="I13" s="321">
        <v>5000</v>
      </c>
      <c r="J13" s="321">
        <v>0</v>
      </c>
      <c r="K13" s="321">
        <v>0</v>
      </c>
      <c r="L13" s="321">
        <v>0</v>
      </c>
      <c r="M13" s="321">
        <v>0</v>
      </c>
      <c r="N13" s="322">
        <v>0</v>
      </c>
    </row>
    <row r="14" spans="1:14" ht="18" customHeight="1" x14ac:dyDescent="0.25">
      <c r="A14" s="385" t="s">
        <v>2116</v>
      </c>
      <c r="B14" s="248">
        <v>40400107</v>
      </c>
      <c r="C14" s="456" t="s">
        <v>73</v>
      </c>
      <c r="D14" s="247" t="s">
        <v>75</v>
      </c>
      <c r="E14" s="462">
        <v>0</v>
      </c>
      <c r="F14" s="321">
        <v>0</v>
      </c>
      <c r="G14" s="321">
        <v>0</v>
      </c>
      <c r="H14" s="321">
        <v>0</v>
      </c>
      <c r="I14" s="321">
        <v>5000</v>
      </c>
      <c r="J14" s="321">
        <v>0</v>
      </c>
      <c r="K14" s="321">
        <v>0</v>
      </c>
      <c r="L14" s="321">
        <v>0</v>
      </c>
      <c r="M14" s="321">
        <v>0</v>
      </c>
      <c r="N14" s="322">
        <v>0</v>
      </c>
    </row>
    <row r="15" spans="1:14" s="68" customFormat="1" ht="30.75" customHeight="1" x14ac:dyDescent="0.25">
      <c r="A15" s="1437" t="s">
        <v>2342</v>
      </c>
      <c r="B15" s="1437"/>
      <c r="C15" s="1437"/>
      <c r="D15" s="1437"/>
      <c r="E15" s="1437"/>
      <c r="F15" s="1437"/>
      <c r="G15" s="1437"/>
      <c r="H15" s="1437"/>
      <c r="I15" s="1437"/>
      <c r="J15" s="1437"/>
      <c r="K15" s="1437"/>
      <c r="L15" s="1437"/>
      <c r="M15" s="1437"/>
      <c r="N15" s="1437"/>
    </row>
    <row r="16" spans="1:14" s="68" customFormat="1" ht="35.1" customHeight="1" thickBot="1" x14ac:dyDescent="0.3">
      <c r="A16" s="1292"/>
      <c r="B16" s="1292"/>
      <c r="C16" s="1292"/>
      <c r="D16" s="1292"/>
      <c r="E16" s="1292"/>
      <c r="F16" s="1292"/>
      <c r="G16" s="1292"/>
      <c r="H16" s="1292"/>
      <c r="I16" s="1292"/>
      <c r="J16" s="1292"/>
      <c r="K16" s="1292"/>
      <c r="L16" s="1292"/>
      <c r="M16" s="1292"/>
      <c r="N16" s="1292"/>
    </row>
    <row r="17" spans="1:25" s="77" customFormat="1" ht="19.5" thickBot="1" x14ac:dyDescent="0.3">
      <c r="A17" s="1208" t="s">
        <v>1449</v>
      </c>
      <c r="B17" s="1208"/>
      <c r="C17" s="1208"/>
      <c r="D17" s="1208"/>
      <c r="E17" s="1208"/>
      <c r="F17" s="1208"/>
      <c r="G17" s="1208"/>
      <c r="H17" s="1208"/>
      <c r="I17" s="1208"/>
      <c r="J17" s="1208"/>
      <c r="K17" s="1208"/>
      <c r="L17" s="1208"/>
      <c r="M17" s="1208"/>
    </row>
    <row r="18" spans="1:25" ht="60" customHeight="1" x14ac:dyDescent="0.25">
      <c r="A18" s="1399"/>
      <c r="B18" s="1399"/>
      <c r="C18" s="1399"/>
      <c r="D18" s="1399"/>
      <c r="E18" s="1399"/>
      <c r="F18" s="1399"/>
      <c r="G18" s="1399"/>
      <c r="H18" s="1399"/>
      <c r="I18" s="1399"/>
      <c r="J18" s="1399"/>
      <c r="K18" s="1399"/>
      <c r="L18" s="1399"/>
      <c r="M18" s="1399"/>
      <c r="N18" s="1399"/>
    </row>
    <row r="19" spans="1:25" ht="24.95" customHeight="1" thickBot="1" x14ac:dyDescent="0.3">
      <c r="A19" s="1436" t="s">
        <v>2108</v>
      </c>
      <c r="B19" s="1436"/>
      <c r="C19" s="1436"/>
      <c r="D19" s="1436"/>
      <c r="E19" s="1436"/>
      <c r="F19" s="1436"/>
      <c r="G19" s="1436"/>
      <c r="H19" s="1436"/>
      <c r="I19" s="1436"/>
      <c r="J19" s="1436"/>
      <c r="K19" s="1436"/>
      <c r="L19" s="1436"/>
      <c r="M19" s="1436"/>
      <c r="N19" s="1436"/>
    </row>
    <row r="20" spans="1:25" ht="30" customHeight="1" thickBot="1" x14ac:dyDescent="0.3">
      <c r="A20" s="1543" t="s">
        <v>2119</v>
      </c>
      <c r="B20" s="1544"/>
      <c r="C20" s="1544"/>
      <c r="D20" s="1544"/>
      <c r="E20" s="1544"/>
      <c r="F20" s="1544"/>
      <c r="G20" s="1544"/>
      <c r="H20" s="1544"/>
      <c r="I20" s="1544"/>
      <c r="J20" s="1544"/>
      <c r="K20" s="1544"/>
      <c r="L20" s="1544"/>
      <c r="M20" s="1544"/>
      <c r="N20" s="1545"/>
    </row>
    <row r="21" spans="1:25" ht="39.950000000000003" customHeight="1" thickBot="1" x14ac:dyDescent="0.3">
      <c r="A21" s="1547" t="s">
        <v>2121</v>
      </c>
      <c r="B21" s="1548"/>
      <c r="C21" s="1548"/>
      <c r="D21" s="1548"/>
      <c r="E21" s="1548"/>
      <c r="F21" s="1548"/>
      <c r="G21" s="1548"/>
      <c r="H21" s="1548"/>
      <c r="I21" s="1548"/>
      <c r="J21" s="1548"/>
      <c r="K21" s="1548"/>
      <c r="L21" s="1548"/>
      <c r="M21" s="1548"/>
      <c r="N21" s="1548"/>
    </row>
    <row r="22" spans="1:25" ht="39.950000000000003" customHeight="1" thickBot="1" x14ac:dyDescent="0.3">
      <c r="A22" s="1554" t="s">
        <v>2118</v>
      </c>
      <c r="B22" s="1555"/>
      <c r="C22" s="1556"/>
      <c r="D22" s="465" t="s">
        <v>1827</v>
      </c>
      <c r="E22" s="828" t="s">
        <v>26</v>
      </c>
      <c r="F22" s="829" t="s">
        <v>30</v>
      </c>
      <c r="G22" s="829" t="s">
        <v>3</v>
      </c>
      <c r="H22" s="829" t="s">
        <v>4</v>
      </c>
      <c r="I22" s="829" t="s">
        <v>0</v>
      </c>
      <c r="J22" s="829" t="s">
        <v>5</v>
      </c>
      <c r="K22" s="829" t="s">
        <v>2509</v>
      </c>
      <c r="L22" s="829" t="s">
        <v>24</v>
      </c>
      <c r="M22" s="829" t="s">
        <v>1825</v>
      </c>
      <c r="N22" s="830" t="s">
        <v>25</v>
      </c>
      <c r="Q22" s="459" t="b">
        <v>0</v>
      </c>
      <c r="R22" s="459" t="b">
        <v>0</v>
      </c>
      <c r="S22" s="48" t="b">
        <f>IF(OR(AND($Q$22=FALSE,$R$22=FALSE),AND($Q$22=TRUE,$R$22=TRUE)),FALSE,TRUE)</f>
        <v>0</v>
      </c>
      <c r="Y22" s="48" t="s">
        <v>75</v>
      </c>
    </row>
    <row r="23" spans="1:25" ht="39.950000000000003" customHeight="1" thickBot="1" x14ac:dyDescent="0.3">
      <c r="A23" s="1557"/>
      <c r="B23" s="1558"/>
      <c r="C23" s="1559"/>
      <c r="D23" s="466" t="s">
        <v>1828</v>
      </c>
      <c r="E23" s="460"/>
      <c r="F23" s="453"/>
      <c r="G23" s="453"/>
      <c r="H23" s="453"/>
      <c r="I23" s="453"/>
      <c r="J23" s="453"/>
      <c r="K23" s="453"/>
      <c r="L23" s="453"/>
      <c r="M23" s="453"/>
      <c r="N23" s="454"/>
      <c r="Y23" s="48" t="s">
        <v>73</v>
      </c>
    </row>
    <row r="24" spans="1:25" ht="15" customHeight="1" thickBot="1" x14ac:dyDescent="0.3">
      <c r="A24" s="1549"/>
      <c r="B24" s="1550"/>
      <c r="C24" s="1550"/>
      <c r="D24" s="1550"/>
      <c r="E24" s="1550"/>
      <c r="F24" s="1550"/>
      <c r="G24" s="1550"/>
      <c r="H24" s="1550"/>
      <c r="I24" s="1550"/>
      <c r="J24" s="1550"/>
      <c r="K24" s="1550"/>
      <c r="L24" s="1550"/>
      <c r="M24" s="1550"/>
      <c r="N24" s="1551"/>
    </row>
    <row r="25" spans="1:25" ht="30" customHeight="1" thickBot="1" x14ac:dyDescent="0.3">
      <c r="A25" s="1543" t="s">
        <v>2120</v>
      </c>
      <c r="B25" s="1544"/>
      <c r="C25" s="1544"/>
      <c r="D25" s="1544"/>
      <c r="E25" s="1544"/>
      <c r="F25" s="1544"/>
      <c r="G25" s="1544"/>
      <c r="H25" s="1544"/>
      <c r="I25" s="1544"/>
      <c r="J25" s="1544"/>
      <c r="K25" s="1544"/>
      <c r="L25" s="1544"/>
      <c r="M25" s="1544"/>
      <c r="N25" s="1545"/>
    </row>
    <row r="26" spans="1:25" ht="54.95" customHeight="1" thickBot="1" x14ac:dyDescent="0.3">
      <c r="A26" s="1547" t="s">
        <v>2122</v>
      </c>
      <c r="B26" s="1548"/>
      <c r="C26" s="1548"/>
      <c r="D26" s="1548"/>
      <c r="E26" s="1548"/>
      <c r="F26" s="1548"/>
      <c r="G26" s="1548"/>
      <c r="H26" s="1548"/>
      <c r="I26" s="1548"/>
      <c r="J26" s="1548"/>
      <c r="K26" s="1548"/>
      <c r="L26" s="1548"/>
      <c r="M26" s="1548"/>
      <c r="N26" s="1548"/>
    </row>
    <row r="27" spans="1:25" ht="50.1" customHeight="1" thickBot="1" x14ac:dyDescent="0.3">
      <c r="A27" s="1554" t="s">
        <v>2123</v>
      </c>
      <c r="B27" s="1555"/>
      <c r="C27" s="1556"/>
      <c r="D27" s="465" t="s">
        <v>1827</v>
      </c>
      <c r="E27" s="828" t="s">
        <v>26</v>
      </c>
      <c r="F27" s="829" t="s">
        <v>30</v>
      </c>
      <c r="G27" s="829" t="s">
        <v>3</v>
      </c>
      <c r="H27" s="829" t="s">
        <v>4</v>
      </c>
      <c r="I27" s="829" t="s">
        <v>0</v>
      </c>
      <c r="J27" s="829" t="s">
        <v>5</v>
      </c>
      <c r="K27" s="829" t="s">
        <v>2509</v>
      </c>
      <c r="L27" s="829" t="s">
        <v>24</v>
      </c>
      <c r="M27" s="829" t="s">
        <v>1825</v>
      </c>
      <c r="N27" s="830" t="s">
        <v>25</v>
      </c>
      <c r="Q27" s="459" t="b">
        <v>0</v>
      </c>
      <c r="R27" s="459" t="b">
        <v>0</v>
      </c>
      <c r="S27" s="48" t="b">
        <f>IF(OR(AND($Q$27=FALSE,$R$27=FALSE),AND($Q$27=TRUE,$R$27=TRUE)),FALSE,TRUE)</f>
        <v>0</v>
      </c>
    </row>
    <row r="28" spans="1:25" ht="50.1" customHeight="1" thickBot="1" x14ac:dyDescent="0.3">
      <c r="A28" s="1557"/>
      <c r="B28" s="1558"/>
      <c r="C28" s="1559"/>
      <c r="D28" s="466" t="s">
        <v>1828</v>
      </c>
      <c r="E28" s="460"/>
      <c r="F28" s="453"/>
      <c r="G28" s="453"/>
      <c r="H28" s="453"/>
      <c r="I28" s="453"/>
      <c r="J28" s="453"/>
      <c r="K28" s="453"/>
      <c r="L28" s="453"/>
      <c r="M28" s="453"/>
      <c r="N28" s="454"/>
    </row>
    <row r="29" spans="1:25" ht="60" customHeight="1" x14ac:dyDescent="0.25">
      <c r="A29" s="1399"/>
      <c r="B29" s="1399"/>
      <c r="C29" s="1399"/>
      <c r="D29" s="1399"/>
      <c r="E29" s="1399"/>
      <c r="F29" s="1399"/>
      <c r="G29" s="1399"/>
      <c r="H29" s="1399"/>
      <c r="I29" s="1399"/>
      <c r="J29" s="1399"/>
      <c r="K29" s="1399"/>
      <c r="L29" s="1399"/>
      <c r="M29" s="1399"/>
      <c r="N29" s="1399"/>
    </row>
    <row r="30" spans="1:25" ht="24.95" customHeight="1" thickBot="1" x14ac:dyDescent="0.3">
      <c r="A30" s="1436" t="s">
        <v>2108</v>
      </c>
      <c r="B30" s="1436"/>
      <c r="C30" s="1436"/>
      <c r="D30" s="1436"/>
      <c r="E30" s="1436"/>
      <c r="F30" s="1436"/>
      <c r="G30" s="1436"/>
      <c r="H30" s="1436"/>
      <c r="I30" s="1436"/>
      <c r="J30" s="1436"/>
      <c r="K30" s="1436"/>
      <c r="L30" s="1436"/>
      <c r="M30" s="1436"/>
      <c r="N30" s="1436"/>
    </row>
    <row r="31" spans="1:25" ht="24.95" customHeight="1" thickBot="1" x14ac:dyDescent="0.3">
      <c r="A31" s="1543" t="s">
        <v>2124</v>
      </c>
      <c r="B31" s="1544"/>
      <c r="C31" s="1544"/>
      <c r="D31" s="1544"/>
      <c r="E31" s="1544"/>
      <c r="F31" s="1544"/>
      <c r="G31" s="1544"/>
      <c r="H31" s="1544"/>
      <c r="I31" s="1544"/>
      <c r="J31" s="1544"/>
      <c r="K31" s="1544"/>
      <c r="L31" s="1544"/>
      <c r="M31" s="1544"/>
      <c r="N31" s="1545"/>
    </row>
    <row r="32" spans="1:25" s="615" customFormat="1" ht="39.950000000000003" customHeight="1" thickBot="1" x14ac:dyDescent="0.25">
      <c r="A32" s="1552" t="s">
        <v>2111</v>
      </c>
      <c r="B32" s="1553"/>
      <c r="C32" s="1553"/>
      <c r="D32" s="1553"/>
      <c r="E32" s="1553"/>
      <c r="F32" s="1553"/>
      <c r="G32" s="1553"/>
      <c r="H32" s="1553"/>
      <c r="I32" s="1553"/>
      <c r="J32" s="1553"/>
      <c r="K32" s="1553"/>
      <c r="L32" s="1553"/>
      <c r="M32" s="1553"/>
      <c r="N32" s="1553"/>
    </row>
    <row r="33" spans="1:14" ht="60.75" thickBot="1" x14ac:dyDescent="0.3">
      <c r="A33" s="826" t="s">
        <v>1824</v>
      </c>
      <c r="B33" s="827" t="s">
        <v>271</v>
      </c>
      <c r="C33" s="827" t="s">
        <v>1830</v>
      </c>
      <c r="D33" s="827" t="s">
        <v>1829</v>
      </c>
      <c r="E33" s="828" t="s">
        <v>26</v>
      </c>
      <c r="F33" s="829" t="s">
        <v>30</v>
      </c>
      <c r="G33" s="829" t="s">
        <v>3</v>
      </c>
      <c r="H33" s="829" t="s">
        <v>4</v>
      </c>
      <c r="I33" s="829" t="s">
        <v>0</v>
      </c>
      <c r="J33" s="829" t="s">
        <v>5</v>
      </c>
      <c r="K33" s="829" t="s">
        <v>2509</v>
      </c>
      <c r="L33" s="829" t="s">
        <v>24</v>
      </c>
      <c r="M33" s="829" t="s">
        <v>1825</v>
      </c>
      <c r="N33" s="830" t="s">
        <v>25</v>
      </c>
    </row>
    <row r="34" spans="1:14" ht="18" customHeight="1" x14ac:dyDescent="0.25">
      <c r="A34" s="1539" t="s">
        <v>1917</v>
      </c>
      <c r="B34" s="1540"/>
      <c r="C34" s="1540"/>
      <c r="D34" s="1540"/>
      <c r="E34" s="1540"/>
      <c r="F34" s="1540"/>
      <c r="G34" s="1540"/>
      <c r="H34" s="1540"/>
      <c r="I34" s="1540"/>
      <c r="J34" s="1540"/>
      <c r="K34" s="1540"/>
      <c r="L34" s="1540"/>
      <c r="M34" s="1540"/>
      <c r="N34" s="1541"/>
    </row>
    <row r="35" spans="1:14" ht="18" customHeight="1" x14ac:dyDescent="0.25">
      <c r="A35" s="302" t="str">
        <f>IF(ISBLANK('Table 3-A| Emission Units'!A120),"",'Table 3-A| Emission Units'!A120&amp;"-"&amp;'Table 3-A| Emission Units'!B120)</f>
        <v/>
      </c>
      <c r="B35" s="303" t="str">
        <f>IF(OR(ISBLANK('Table 3-A| Emission Units'!C120),ISTEXT('Table 3-A| Emission Units'!C120)),"",'Table 3-A| Emission Units'!C120)</f>
        <v/>
      </c>
      <c r="C35" s="305" t="str">
        <f>IF(AND(ISBLANK('Table 6-A| Controls &amp; Limits'!C43),ISBLANK('Table 6-A| Controls &amp; Limits'!G43)),"",IF(OR('Table 6-A| Controls &amp; Limits'!C43="Yes",'Table 6-A| Controls &amp; Limits'!G43="Yes"),"Yes","No"))</f>
        <v/>
      </c>
      <c r="D35" s="242"/>
      <c r="E35" s="457"/>
      <c r="F35" s="307"/>
      <c r="G35" s="307"/>
      <c r="H35" s="307"/>
      <c r="I35" s="307"/>
      <c r="J35" s="307"/>
      <c r="K35" s="307"/>
      <c r="L35" s="307"/>
      <c r="M35" s="307"/>
      <c r="N35" s="308"/>
    </row>
    <row r="36" spans="1:14" ht="18" customHeight="1" x14ac:dyDescent="0.25">
      <c r="A36" s="302" t="str">
        <f>IF(ISBLANK('Table 3-A| Emission Units'!A121),"",'Table 3-A| Emission Units'!A121&amp;"-"&amp;'Table 3-A| Emission Units'!B121)</f>
        <v/>
      </c>
      <c r="B36" s="303" t="str">
        <f>IF(OR(ISBLANK('Table 3-A| Emission Units'!C121),ISTEXT('Table 3-A| Emission Units'!C121)),"",'Table 3-A| Emission Units'!C121)</f>
        <v/>
      </c>
      <c r="C36" s="305" t="str">
        <f>IF(AND(ISBLANK('Table 6-A| Controls &amp; Limits'!C44),ISBLANK('Table 6-A| Controls &amp; Limits'!G44)),"",IF(OR('Table 6-A| Controls &amp; Limits'!C44="Yes",'Table 6-A| Controls &amp; Limits'!G44="Yes"),"Yes","No"))</f>
        <v/>
      </c>
      <c r="D36" s="242"/>
      <c r="E36" s="457"/>
      <c r="F36" s="307"/>
      <c r="G36" s="307"/>
      <c r="H36" s="307"/>
      <c r="I36" s="307"/>
      <c r="J36" s="307"/>
      <c r="K36" s="307"/>
      <c r="L36" s="307"/>
      <c r="M36" s="307"/>
      <c r="N36" s="308"/>
    </row>
    <row r="37" spans="1:14" ht="18" customHeight="1" x14ac:dyDescent="0.25">
      <c r="A37" s="302" t="str">
        <f>IF(ISBLANK('Table 3-A| Emission Units'!A122),"",'Table 3-A| Emission Units'!A122&amp;"-"&amp;'Table 3-A| Emission Units'!B122)</f>
        <v/>
      </c>
      <c r="B37" s="303" t="str">
        <f>IF(OR(ISBLANK('Table 3-A| Emission Units'!C122),ISTEXT('Table 3-A| Emission Units'!C122)),"",'Table 3-A| Emission Units'!C122)</f>
        <v/>
      </c>
      <c r="C37" s="305" t="str">
        <f>IF(AND(ISBLANK('Table 6-A| Controls &amp; Limits'!C45),ISBLANK('Table 6-A| Controls &amp; Limits'!G45)),"",IF(OR('Table 6-A| Controls &amp; Limits'!C45="Yes",'Table 6-A| Controls &amp; Limits'!G45="Yes"),"Yes","No"))</f>
        <v/>
      </c>
      <c r="D37" s="242"/>
      <c r="E37" s="457"/>
      <c r="F37" s="307"/>
      <c r="G37" s="307"/>
      <c r="H37" s="307"/>
      <c r="I37" s="307"/>
      <c r="J37" s="307"/>
      <c r="K37" s="307"/>
      <c r="L37" s="307"/>
      <c r="M37" s="307"/>
      <c r="N37" s="308"/>
    </row>
    <row r="38" spans="1:14" ht="18" customHeight="1" x14ac:dyDescent="0.25">
      <c r="A38" s="302" t="str">
        <f>IF(ISBLANK('Table 3-A| Emission Units'!A123),"",'Table 3-A| Emission Units'!A123&amp;"-"&amp;'Table 3-A| Emission Units'!B123)</f>
        <v/>
      </c>
      <c r="B38" s="303" t="str">
        <f>IF(OR(ISBLANK('Table 3-A| Emission Units'!C123),ISTEXT('Table 3-A| Emission Units'!C123)),"",'Table 3-A| Emission Units'!C123)</f>
        <v/>
      </c>
      <c r="C38" s="305" t="str">
        <f>IF(AND(ISBLANK('Table 6-A| Controls &amp; Limits'!C46),ISBLANK('Table 6-A| Controls &amp; Limits'!G46)),"",IF(OR('Table 6-A| Controls &amp; Limits'!C46="Yes",'Table 6-A| Controls &amp; Limits'!G46="Yes"),"Yes","No"))</f>
        <v/>
      </c>
      <c r="D38" s="242"/>
      <c r="E38" s="457"/>
      <c r="F38" s="307"/>
      <c r="G38" s="307"/>
      <c r="H38" s="307"/>
      <c r="I38" s="307"/>
      <c r="J38" s="307"/>
      <c r="K38" s="307"/>
      <c r="L38" s="307"/>
      <c r="M38" s="307"/>
      <c r="N38" s="308"/>
    </row>
    <row r="39" spans="1:14" ht="18" customHeight="1" x14ac:dyDescent="0.25">
      <c r="A39" s="302" t="str">
        <f>IF(ISBLANK('Table 3-A| Emission Units'!A124),"",'Table 3-A| Emission Units'!A124&amp;"-"&amp;'Table 3-A| Emission Units'!B124)</f>
        <v/>
      </c>
      <c r="B39" s="303" t="str">
        <f>IF(OR(ISBLANK('Table 3-A| Emission Units'!C124),ISTEXT('Table 3-A| Emission Units'!C124)),"",'Table 3-A| Emission Units'!C124)</f>
        <v/>
      </c>
      <c r="C39" s="305" t="str">
        <f>IF(AND(ISBLANK('Table 6-A| Controls &amp; Limits'!C47),ISBLANK('Table 6-A| Controls &amp; Limits'!G47)),"",IF(OR('Table 6-A| Controls &amp; Limits'!C47="Yes",'Table 6-A| Controls &amp; Limits'!G47="Yes"),"Yes","No"))</f>
        <v/>
      </c>
      <c r="D39" s="242"/>
      <c r="E39" s="457"/>
      <c r="F39" s="307"/>
      <c r="G39" s="307"/>
      <c r="H39" s="307"/>
      <c r="I39" s="307"/>
      <c r="J39" s="307"/>
      <c r="K39" s="307"/>
      <c r="L39" s="307"/>
      <c r="M39" s="307"/>
      <c r="N39" s="308"/>
    </row>
    <row r="40" spans="1:14" ht="18" customHeight="1" x14ac:dyDescent="0.25">
      <c r="A40" s="302" t="str">
        <f>IF(ISBLANK('Table 3-A| Emission Units'!A125),"",'Table 3-A| Emission Units'!A125&amp;"-"&amp;'Table 3-A| Emission Units'!B125)</f>
        <v/>
      </c>
      <c r="B40" s="303" t="str">
        <f>IF(OR(ISBLANK('Table 3-A| Emission Units'!C125),ISTEXT('Table 3-A| Emission Units'!C125)),"",'Table 3-A| Emission Units'!C125)</f>
        <v/>
      </c>
      <c r="C40" s="305" t="str">
        <f>IF(AND(ISBLANK('Table 6-A| Controls &amp; Limits'!C48),ISBLANK('Table 6-A| Controls &amp; Limits'!G48)),"",IF(OR('Table 6-A| Controls &amp; Limits'!C48="Yes",'Table 6-A| Controls &amp; Limits'!G48="Yes"),"Yes","No"))</f>
        <v/>
      </c>
      <c r="D40" s="242"/>
      <c r="E40" s="457"/>
      <c r="F40" s="307"/>
      <c r="G40" s="307"/>
      <c r="H40" s="307"/>
      <c r="I40" s="307"/>
      <c r="J40" s="307"/>
      <c r="K40" s="307"/>
      <c r="L40" s="307"/>
      <c r="M40" s="307"/>
      <c r="N40" s="308"/>
    </row>
    <row r="41" spans="1:14" ht="18" customHeight="1" x14ac:dyDescent="0.25">
      <c r="A41" s="302" t="str">
        <f>IF(ISBLANK('Table 3-A| Emission Units'!A126),"",'Table 3-A| Emission Units'!A126&amp;"-"&amp;'Table 3-A| Emission Units'!B126)</f>
        <v/>
      </c>
      <c r="B41" s="303" t="str">
        <f>IF(OR(ISBLANK('Table 3-A| Emission Units'!C126),ISTEXT('Table 3-A| Emission Units'!C126)),"",'Table 3-A| Emission Units'!C126)</f>
        <v/>
      </c>
      <c r="C41" s="305" t="str">
        <f>IF(AND(ISBLANK('Table 6-A| Controls &amp; Limits'!C49),ISBLANK('Table 6-A| Controls &amp; Limits'!G49)),"",IF(OR('Table 6-A| Controls &amp; Limits'!C49="Yes",'Table 6-A| Controls &amp; Limits'!G49="Yes"),"Yes","No"))</f>
        <v/>
      </c>
      <c r="D41" s="242"/>
      <c r="E41" s="457"/>
      <c r="F41" s="307"/>
      <c r="G41" s="307"/>
      <c r="H41" s="307"/>
      <c r="I41" s="307"/>
      <c r="J41" s="307"/>
      <c r="K41" s="307"/>
      <c r="L41" s="307"/>
      <c r="M41" s="307"/>
      <c r="N41" s="308"/>
    </row>
    <row r="42" spans="1:14" ht="18" customHeight="1" x14ac:dyDescent="0.25">
      <c r="A42" s="302" t="str">
        <f>IF(ISBLANK('Table 3-A| Emission Units'!A127),"",'Table 3-A| Emission Units'!A127&amp;"-"&amp;'Table 3-A| Emission Units'!B127)</f>
        <v/>
      </c>
      <c r="B42" s="303" t="str">
        <f>IF(OR(ISBLANK('Table 3-A| Emission Units'!C127),ISTEXT('Table 3-A| Emission Units'!C127)),"",'Table 3-A| Emission Units'!C127)</f>
        <v/>
      </c>
      <c r="C42" s="305" t="str">
        <f>IF(AND(ISBLANK('Table 6-A| Controls &amp; Limits'!C50),ISBLANK('Table 6-A| Controls &amp; Limits'!G50)),"",IF(OR('Table 6-A| Controls &amp; Limits'!C50="Yes",'Table 6-A| Controls &amp; Limits'!G50="Yes"),"Yes","No"))</f>
        <v/>
      </c>
      <c r="D42" s="242"/>
      <c r="E42" s="457"/>
      <c r="F42" s="307"/>
      <c r="G42" s="307"/>
      <c r="H42" s="307"/>
      <c r="I42" s="307"/>
      <c r="J42" s="307"/>
      <c r="K42" s="307"/>
      <c r="L42" s="307"/>
      <c r="M42" s="307"/>
      <c r="N42" s="308"/>
    </row>
    <row r="43" spans="1:14" ht="18" customHeight="1" x14ac:dyDescent="0.25">
      <c r="A43" s="302" t="str">
        <f>IF(ISBLANK('Table 3-A| Emission Units'!A128),"",'Table 3-A| Emission Units'!A128&amp;"-"&amp;'Table 3-A| Emission Units'!B128)</f>
        <v/>
      </c>
      <c r="B43" s="303" t="str">
        <f>IF(OR(ISBLANK('Table 3-A| Emission Units'!C128),ISTEXT('Table 3-A| Emission Units'!C128)),"",'Table 3-A| Emission Units'!C128)</f>
        <v/>
      </c>
      <c r="C43" s="305" t="str">
        <f>IF(AND(ISBLANK('Table 6-A| Controls &amp; Limits'!C51),ISBLANK('Table 6-A| Controls &amp; Limits'!G51)),"",IF(OR('Table 6-A| Controls &amp; Limits'!C51="Yes",'Table 6-A| Controls &amp; Limits'!G51="Yes"),"Yes","No"))</f>
        <v/>
      </c>
      <c r="D43" s="242"/>
      <c r="E43" s="457"/>
      <c r="F43" s="307"/>
      <c r="G43" s="307"/>
      <c r="H43" s="307"/>
      <c r="I43" s="307"/>
      <c r="J43" s="307"/>
      <c r="K43" s="307"/>
      <c r="L43" s="307"/>
      <c r="M43" s="307"/>
      <c r="N43" s="308"/>
    </row>
    <row r="44" spans="1:14" ht="18" customHeight="1" x14ac:dyDescent="0.25">
      <c r="A44" s="302" t="str">
        <f>IF(ISBLANK('Table 3-A| Emission Units'!A129),"",'Table 3-A| Emission Units'!A129&amp;"-"&amp;'Table 3-A| Emission Units'!B129)</f>
        <v/>
      </c>
      <c r="B44" s="303" t="str">
        <f>IF(OR(ISBLANK('Table 3-A| Emission Units'!C129),ISTEXT('Table 3-A| Emission Units'!C129)),"",'Table 3-A| Emission Units'!C129)</f>
        <v/>
      </c>
      <c r="C44" s="305" t="str">
        <f>IF(AND(ISBLANK('Table 6-A| Controls &amp; Limits'!C52),ISBLANK('Table 6-A| Controls &amp; Limits'!G52)),"",IF(OR('Table 6-A| Controls &amp; Limits'!C52="Yes",'Table 6-A| Controls &amp; Limits'!G52="Yes"),"Yes","No"))</f>
        <v/>
      </c>
      <c r="D44" s="242"/>
      <c r="E44" s="457"/>
      <c r="F44" s="307"/>
      <c r="G44" s="307"/>
      <c r="H44" s="307"/>
      <c r="I44" s="307"/>
      <c r="J44" s="307"/>
      <c r="K44" s="307"/>
      <c r="L44" s="307"/>
      <c r="M44" s="307"/>
      <c r="N44" s="308"/>
    </row>
    <row r="45" spans="1:14" ht="18" customHeight="1" x14ac:dyDescent="0.25">
      <c r="A45" s="302" t="str">
        <f>IF(ISBLANK('Table 3-A| Emission Units'!A130),"",'Table 3-A| Emission Units'!A130&amp;"-"&amp;'Table 3-A| Emission Units'!B130)</f>
        <v/>
      </c>
      <c r="B45" s="303" t="str">
        <f>IF(OR(ISBLANK('Table 3-A| Emission Units'!C130),ISTEXT('Table 3-A| Emission Units'!C130)),"",'Table 3-A| Emission Units'!C130)</f>
        <v/>
      </c>
      <c r="C45" s="305" t="str">
        <f>IF(AND(ISBLANK('Table 6-A| Controls &amp; Limits'!C53),ISBLANK('Table 6-A| Controls &amp; Limits'!G53)),"",IF(OR('Table 6-A| Controls &amp; Limits'!C53="Yes",'Table 6-A| Controls &amp; Limits'!G53="Yes"),"Yes","No"))</f>
        <v/>
      </c>
      <c r="D45" s="242"/>
      <c r="E45" s="457"/>
      <c r="F45" s="307"/>
      <c r="G45" s="307"/>
      <c r="H45" s="307"/>
      <c r="I45" s="307"/>
      <c r="J45" s="307"/>
      <c r="K45" s="307"/>
      <c r="L45" s="307"/>
      <c r="M45" s="307"/>
      <c r="N45" s="308"/>
    </row>
    <row r="46" spans="1:14" ht="18" customHeight="1" x14ac:dyDescent="0.25">
      <c r="A46" s="302" t="str">
        <f>IF(ISBLANK('Table 3-A| Emission Units'!A131),"",'Table 3-A| Emission Units'!A131&amp;"-"&amp;'Table 3-A| Emission Units'!B131)</f>
        <v/>
      </c>
      <c r="B46" s="303" t="str">
        <f>IF(OR(ISBLANK('Table 3-A| Emission Units'!C131),ISTEXT('Table 3-A| Emission Units'!C131)),"",'Table 3-A| Emission Units'!C131)</f>
        <v/>
      </c>
      <c r="C46" s="305" t="str">
        <f>IF(AND(ISBLANK('Table 6-A| Controls &amp; Limits'!C54),ISBLANK('Table 6-A| Controls &amp; Limits'!G54)),"",IF(OR('Table 6-A| Controls &amp; Limits'!C54="Yes",'Table 6-A| Controls &amp; Limits'!G54="Yes"),"Yes","No"))</f>
        <v/>
      </c>
      <c r="D46" s="242"/>
      <c r="E46" s="457"/>
      <c r="F46" s="307"/>
      <c r="G46" s="307"/>
      <c r="H46" s="307"/>
      <c r="I46" s="307"/>
      <c r="J46" s="307"/>
      <c r="K46" s="307"/>
      <c r="L46" s="307"/>
      <c r="M46" s="307"/>
      <c r="N46" s="308"/>
    </row>
    <row r="47" spans="1:14" ht="18" customHeight="1" x14ac:dyDescent="0.25">
      <c r="A47" s="302" t="str">
        <f>IF(ISBLANK('Table 3-A| Emission Units'!A132),"",'Table 3-A| Emission Units'!A132&amp;"-"&amp;'Table 3-A| Emission Units'!B132)</f>
        <v/>
      </c>
      <c r="B47" s="303" t="str">
        <f>IF(OR(ISBLANK('Table 3-A| Emission Units'!C132),ISTEXT('Table 3-A| Emission Units'!C132)),"",'Table 3-A| Emission Units'!C132)</f>
        <v/>
      </c>
      <c r="C47" s="305" t="str">
        <f>IF(AND(ISBLANK('Table 6-A| Controls &amp; Limits'!C55),ISBLANK('Table 6-A| Controls &amp; Limits'!G55)),"",IF(OR('Table 6-A| Controls &amp; Limits'!C55="Yes",'Table 6-A| Controls &amp; Limits'!G55="Yes"),"Yes","No"))</f>
        <v/>
      </c>
      <c r="D47" s="242"/>
      <c r="E47" s="457"/>
      <c r="F47" s="307"/>
      <c r="G47" s="307"/>
      <c r="H47" s="307"/>
      <c r="I47" s="307"/>
      <c r="J47" s="307"/>
      <c r="K47" s="307"/>
      <c r="L47" s="307"/>
      <c r="M47" s="307"/>
      <c r="N47" s="308"/>
    </row>
    <row r="48" spans="1:14" ht="18" customHeight="1" x14ac:dyDescent="0.25">
      <c r="A48" s="302" t="str">
        <f>IF(ISBLANK('Table 3-A| Emission Units'!A133),"",'Table 3-A| Emission Units'!A133&amp;"-"&amp;'Table 3-A| Emission Units'!B133)</f>
        <v/>
      </c>
      <c r="B48" s="303" t="str">
        <f>IF(OR(ISBLANK('Table 3-A| Emission Units'!C133),ISTEXT('Table 3-A| Emission Units'!C133)),"",'Table 3-A| Emission Units'!C133)</f>
        <v/>
      </c>
      <c r="C48" s="305" t="str">
        <f>IF(AND(ISBLANK('Table 6-A| Controls &amp; Limits'!C56),ISBLANK('Table 6-A| Controls &amp; Limits'!G56)),"",IF(OR('Table 6-A| Controls &amp; Limits'!C56="Yes",'Table 6-A| Controls &amp; Limits'!G56="Yes"),"Yes","No"))</f>
        <v/>
      </c>
      <c r="D48" s="242"/>
      <c r="E48" s="457"/>
      <c r="F48" s="307"/>
      <c r="G48" s="307"/>
      <c r="H48" s="307"/>
      <c r="I48" s="307"/>
      <c r="J48" s="307"/>
      <c r="K48" s="307"/>
      <c r="L48" s="307"/>
      <c r="M48" s="307"/>
      <c r="N48" s="308"/>
    </row>
    <row r="49" spans="1:14" ht="18" customHeight="1" x14ac:dyDescent="0.25">
      <c r="A49" s="302" t="str">
        <f>IF(ISBLANK('Table 3-A| Emission Units'!A134),"",'Table 3-A| Emission Units'!A134&amp;"-"&amp;'Table 3-A| Emission Units'!B134)</f>
        <v/>
      </c>
      <c r="B49" s="303" t="str">
        <f>IF(OR(ISBLANK('Table 3-A| Emission Units'!C134),ISTEXT('Table 3-A| Emission Units'!C134)),"",'Table 3-A| Emission Units'!C134)</f>
        <v/>
      </c>
      <c r="C49" s="305" t="str">
        <f>IF(AND(ISBLANK('Table 6-A| Controls &amp; Limits'!C57),ISBLANK('Table 6-A| Controls &amp; Limits'!G57)),"",IF(OR('Table 6-A| Controls &amp; Limits'!C57="Yes",'Table 6-A| Controls &amp; Limits'!G57="Yes"),"Yes","No"))</f>
        <v/>
      </c>
      <c r="D49" s="242"/>
      <c r="E49" s="457"/>
      <c r="F49" s="307"/>
      <c r="G49" s="307"/>
      <c r="H49" s="307"/>
      <c r="I49" s="307"/>
      <c r="J49" s="307"/>
      <c r="K49" s="307"/>
      <c r="L49" s="307"/>
      <c r="M49" s="307"/>
      <c r="N49" s="308"/>
    </row>
    <row r="50" spans="1:14" ht="18" customHeight="1" x14ac:dyDescent="0.25">
      <c r="A50" s="302" t="str">
        <f>IF(ISBLANK('Table 3-A| Emission Units'!A135),"",'Table 3-A| Emission Units'!A135&amp;"-"&amp;'Table 3-A| Emission Units'!B135)</f>
        <v/>
      </c>
      <c r="B50" s="303" t="str">
        <f>IF(OR(ISBLANK('Table 3-A| Emission Units'!C135),ISTEXT('Table 3-A| Emission Units'!C135)),"",'Table 3-A| Emission Units'!C135)</f>
        <v/>
      </c>
      <c r="C50" s="305" t="str">
        <f>IF(AND(ISBLANK('Table 6-A| Controls &amp; Limits'!C58),ISBLANK('Table 6-A| Controls &amp; Limits'!G58)),"",IF(OR('Table 6-A| Controls &amp; Limits'!C58="Yes",'Table 6-A| Controls &amp; Limits'!G58="Yes"),"Yes","No"))</f>
        <v/>
      </c>
      <c r="D50" s="242"/>
      <c r="E50" s="457"/>
      <c r="F50" s="307"/>
      <c r="G50" s="307"/>
      <c r="H50" s="307"/>
      <c r="I50" s="307"/>
      <c r="J50" s="307"/>
      <c r="K50" s="307"/>
      <c r="L50" s="307"/>
      <c r="M50" s="307"/>
      <c r="N50" s="308"/>
    </row>
    <row r="51" spans="1:14" ht="18" customHeight="1" x14ac:dyDescent="0.25">
      <c r="A51" s="302" t="str">
        <f>IF(ISBLANK('Table 3-A| Emission Units'!A136),"",'Table 3-A| Emission Units'!A136&amp;"-"&amp;'Table 3-A| Emission Units'!B136)</f>
        <v/>
      </c>
      <c r="B51" s="303" t="str">
        <f>IF(OR(ISBLANK('Table 3-A| Emission Units'!C136),ISTEXT('Table 3-A| Emission Units'!C136)),"",'Table 3-A| Emission Units'!C136)</f>
        <v/>
      </c>
      <c r="C51" s="305" t="str">
        <f>IF(AND(ISBLANK('Table 6-A| Controls &amp; Limits'!C59),ISBLANK('Table 6-A| Controls &amp; Limits'!G59)),"",IF(OR('Table 6-A| Controls &amp; Limits'!C59="Yes",'Table 6-A| Controls &amp; Limits'!G59="Yes"),"Yes","No"))</f>
        <v/>
      </c>
      <c r="D51" s="242"/>
      <c r="E51" s="457"/>
      <c r="F51" s="307"/>
      <c r="G51" s="307"/>
      <c r="H51" s="307"/>
      <c r="I51" s="307"/>
      <c r="J51" s="307"/>
      <c r="K51" s="307"/>
      <c r="L51" s="307"/>
      <c r="M51" s="307"/>
      <c r="N51" s="308"/>
    </row>
    <row r="52" spans="1:14" ht="18" customHeight="1" x14ac:dyDescent="0.25">
      <c r="A52" s="302" t="str">
        <f>IF(ISBLANK('Table 3-A| Emission Units'!A137),"",'Table 3-A| Emission Units'!A137&amp;"-"&amp;'Table 3-A| Emission Units'!B137)</f>
        <v/>
      </c>
      <c r="B52" s="303" t="str">
        <f>IF(OR(ISBLANK('Table 3-A| Emission Units'!C137),ISTEXT('Table 3-A| Emission Units'!C137)),"",'Table 3-A| Emission Units'!C137)</f>
        <v/>
      </c>
      <c r="C52" s="305" t="str">
        <f>IF(AND(ISBLANK('Table 6-A| Controls &amp; Limits'!C60),ISBLANK('Table 6-A| Controls &amp; Limits'!G60)),"",IF(OR('Table 6-A| Controls &amp; Limits'!C60="Yes",'Table 6-A| Controls &amp; Limits'!G60="Yes"),"Yes","No"))</f>
        <v/>
      </c>
      <c r="D52" s="242"/>
      <c r="E52" s="457"/>
      <c r="F52" s="307"/>
      <c r="G52" s="307"/>
      <c r="H52" s="307"/>
      <c r="I52" s="307"/>
      <c r="J52" s="307"/>
      <c r="K52" s="307"/>
      <c r="L52" s="307"/>
      <c r="M52" s="307"/>
      <c r="N52" s="308"/>
    </row>
    <row r="53" spans="1:14" ht="18" customHeight="1" x14ac:dyDescent="0.25">
      <c r="A53" s="302" t="str">
        <f>IF(ISBLANK('Table 3-A| Emission Units'!A138),"",'Table 3-A| Emission Units'!A138&amp;"-"&amp;'Table 3-A| Emission Units'!B138)</f>
        <v/>
      </c>
      <c r="B53" s="303" t="str">
        <f>IF(OR(ISBLANK('Table 3-A| Emission Units'!C138),ISTEXT('Table 3-A| Emission Units'!C138)),"",'Table 3-A| Emission Units'!C138)</f>
        <v/>
      </c>
      <c r="C53" s="305" t="str">
        <f>IF(AND(ISBLANK('Table 6-A| Controls &amp; Limits'!C61),ISBLANK('Table 6-A| Controls &amp; Limits'!G61)),"",IF(OR('Table 6-A| Controls &amp; Limits'!C61="Yes",'Table 6-A| Controls &amp; Limits'!G61="Yes"),"Yes","No"))</f>
        <v/>
      </c>
      <c r="D53" s="242"/>
      <c r="E53" s="457"/>
      <c r="F53" s="307"/>
      <c r="G53" s="307"/>
      <c r="H53" s="307"/>
      <c r="I53" s="307"/>
      <c r="J53" s="307"/>
      <c r="K53" s="307"/>
      <c r="L53" s="307"/>
      <c r="M53" s="307"/>
      <c r="N53" s="308"/>
    </row>
    <row r="54" spans="1:14" ht="18" customHeight="1" x14ac:dyDescent="0.25">
      <c r="A54" s="302" t="str">
        <f>IF(ISBLANK('Table 3-A| Emission Units'!A139),"",'Table 3-A| Emission Units'!A139&amp;"-"&amp;'Table 3-A| Emission Units'!B139)</f>
        <v/>
      </c>
      <c r="B54" s="303" t="str">
        <f>IF(OR(ISBLANK('Table 3-A| Emission Units'!C139),ISTEXT('Table 3-A| Emission Units'!C139)),"",'Table 3-A| Emission Units'!C139)</f>
        <v/>
      </c>
      <c r="C54" s="305" t="str">
        <f>IF(AND(ISBLANK('Table 6-A| Controls &amp; Limits'!C62),ISBLANK('Table 6-A| Controls &amp; Limits'!G62)),"",IF(OR('Table 6-A| Controls &amp; Limits'!C62="Yes",'Table 6-A| Controls &amp; Limits'!G62="Yes"),"Yes","No"))</f>
        <v/>
      </c>
      <c r="D54" s="242"/>
      <c r="E54" s="457"/>
      <c r="F54" s="307"/>
      <c r="G54" s="307"/>
      <c r="H54" s="307"/>
      <c r="I54" s="307"/>
      <c r="J54" s="307"/>
      <c r="K54" s="307"/>
      <c r="L54" s="307"/>
      <c r="M54" s="307"/>
      <c r="N54" s="308"/>
    </row>
    <row r="55" spans="1:14" ht="18" customHeight="1" x14ac:dyDescent="0.25">
      <c r="A55" s="302" t="str">
        <f>IF(ISBLANK('Table 3-A| Emission Units'!A140),"",'Table 3-A| Emission Units'!A140&amp;"-"&amp;'Table 3-A| Emission Units'!B140)</f>
        <v/>
      </c>
      <c r="B55" s="303" t="str">
        <f>IF(OR(ISBLANK('Table 3-A| Emission Units'!C140),ISTEXT('Table 3-A| Emission Units'!C140)),"",'Table 3-A| Emission Units'!C140)</f>
        <v/>
      </c>
      <c r="C55" s="305" t="str">
        <f>IF(AND(ISBLANK('Table 6-A| Controls &amp; Limits'!C63),ISBLANK('Table 6-A| Controls &amp; Limits'!G63)),"",IF(OR('Table 6-A| Controls &amp; Limits'!C63="Yes",'Table 6-A| Controls &amp; Limits'!G63="Yes"),"Yes","No"))</f>
        <v/>
      </c>
      <c r="D55" s="242"/>
      <c r="E55" s="457"/>
      <c r="F55" s="307"/>
      <c r="G55" s="307"/>
      <c r="H55" s="307"/>
      <c r="I55" s="307"/>
      <c r="J55" s="307"/>
      <c r="K55" s="307"/>
      <c r="L55" s="307"/>
      <c r="M55" s="307"/>
      <c r="N55" s="308"/>
    </row>
    <row r="56" spans="1:14" ht="18" customHeight="1" x14ac:dyDescent="0.25">
      <c r="A56" s="302" t="str">
        <f>IF(ISBLANK('Table 3-A| Emission Units'!A141),"",'Table 3-A| Emission Units'!A141&amp;"-"&amp;'Table 3-A| Emission Units'!B141)</f>
        <v/>
      </c>
      <c r="B56" s="303" t="str">
        <f>IF(OR(ISBLANK('Table 3-A| Emission Units'!C141),ISTEXT('Table 3-A| Emission Units'!C141)),"",'Table 3-A| Emission Units'!C141)</f>
        <v/>
      </c>
      <c r="C56" s="305" t="str">
        <f>IF(AND(ISBLANK('Table 6-A| Controls &amp; Limits'!C64),ISBLANK('Table 6-A| Controls &amp; Limits'!G64)),"",IF(OR('Table 6-A| Controls &amp; Limits'!C64="Yes",'Table 6-A| Controls &amp; Limits'!G64="Yes"),"Yes","No"))</f>
        <v/>
      </c>
      <c r="D56" s="242"/>
      <c r="E56" s="457"/>
      <c r="F56" s="307"/>
      <c r="G56" s="307"/>
      <c r="H56" s="307"/>
      <c r="I56" s="307"/>
      <c r="J56" s="307"/>
      <c r="K56" s="307"/>
      <c r="L56" s="307"/>
      <c r="M56" s="307"/>
      <c r="N56" s="308"/>
    </row>
    <row r="57" spans="1:14" ht="18" customHeight="1" thickBot="1" x14ac:dyDescent="0.3">
      <c r="A57" s="309" t="str">
        <f>IF(ISBLANK('Table 3-A| Emission Units'!A142),"",'Table 3-A| Emission Units'!A142&amp;"-"&amp;'Table 3-A| Emission Units'!B142)</f>
        <v/>
      </c>
      <c r="B57" s="310" t="str">
        <f>IF(OR(ISBLANK('Table 3-A| Emission Units'!C142),ISTEXT('Table 3-A| Emission Units'!C142)),"",'Table 3-A| Emission Units'!C142)</f>
        <v/>
      </c>
      <c r="C57" s="312" t="str">
        <f>IF(AND(ISBLANK('Table 6-A| Controls &amp; Limits'!C65),ISBLANK('Table 6-A| Controls &amp; Limits'!G65)),"",IF(OR('Table 6-A| Controls &amp; Limits'!C65="Yes",'Table 6-A| Controls &amp; Limits'!G65="Yes"),"Yes","No"))</f>
        <v/>
      </c>
      <c r="D57" s="244"/>
      <c r="E57" s="458"/>
      <c r="F57" s="313"/>
      <c r="G57" s="313"/>
      <c r="H57" s="313"/>
      <c r="I57" s="313"/>
      <c r="J57" s="313"/>
      <c r="K57" s="313"/>
      <c r="L57" s="313"/>
      <c r="M57" s="313"/>
      <c r="N57" s="314"/>
    </row>
  </sheetData>
  <sheetProtection algorithmName="SHA-512" hashValue="2Pd0L6+trVDijYm63KpPiKYUVrUcFPUUYLaAGbmW0CThoC4Y4JNpKH8dTXMMaalr+DU9jA7x/jR4czMc40K5lA==" saltValue="6XOQmMLrZuuQMbBbEGUadg==" spinCount="100000" sheet="1" objects="1" scenarios="1"/>
  <mergeCells count="25">
    <mergeCell ref="A34:N34"/>
    <mergeCell ref="A2:N2"/>
    <mergeCell ref="A21:N21"/>
    <mergeCell ref="A20:N20"/>
    <mergeCell ref="A26:N26"/>
    <mergeCell ref="A25:N25"/>
    <mergeCell ref="A24:N24"/>
    <mergeCell ref="A15:N15"/>
    <mergeCell ref="B8:N8"/>
    <mergeCell ref="A32:N32"/>
    <mergeCell ref="A22:C23"/>
    <mergeCell ref="A16:N16"/>
    <mergeCell ref="A17:M17"/>
    <mergeCell ref="A27:C28"/>
    <mergeCell ref="A18:N18"/>
    <mergeCell ref="A19:N19"/>
    <mergeCell ref="A29:N29"/>
    <mergeCell ref="A30:N30"/>
    <mergeCell ref="A31:N31"/>
    <mergeCell ref="A1:M1"/>
    <mergeCell ref="A3:N3"/>
    <mergeCell ref="B4:N4"/>
    <mergeCell ref="B6:N6"/>
    <mergeCell ref="B7:N7"/>
    <mergeCell ref="B5:N5"/>
  </mergeCells>
  <conditionalFormatting sqref="B35:B57">
    <cfRule type="expression" dxfId="113" priority="155">
      <formula>B35&gt;99999999</formula>
    </cfRule>
  </conditionalFormatting>
  <conditionalFormatting sqref="D22:D23">
    <cfRule type="expression" dxfId="112" priority="113">
      <formula>$S$22=FALSE</formula>
    </cfRule>
  </conditionalFormatting>
  <conditionalFormatting sqref="D27:D28">
    <cfRule type="expression" dxfId="111" priority="725">
      <formula>$S$27=FALSE</formula>
    </cfRule>
  </conditionalFormatting>
  <conditionalFormatting sqref="D35:D57">
    <cfRule type="expression" dxfId="110" priority="42" stopIfTrue="1">
      <formula>AND(NOT(A35=""),ISBLANK(D35))</formula>
    </cfRule>
  </conditionalFormatting>
  <conditionalFormatting sqref="E10:N14">
    <cfRule type="cellIs" dxfId="109" priority="4" stopIfTrue="1" operator="equal">
      <formula>0</formula>
    </cfRule>
    <cfRule type="cellIs" dxfId="108" priority="5" stopIfTrue="1" operator="lessThan">
      <formula>0.01</formula>
    </cfRule>
    <cfRule type="cellIs" dxfId="107" priority="6" stopIfTrue="1" operator="greaterThanOrEqual">
      <formula>1000</formula>
    </cfRule>
    <cfRule type="cellIs" dxfId="106" priority="7" stopIfTrue="1" operator="greaterThanOrEqual">
      <formula>1000000</formula>
    </cfRule>
  </conditionalFormatting>
  <conditionalFormatting sqref="E23:N23">
    <cfRule type="expression" dxfId="105" priority="3">
      <formula>AND($R22=TRUE,$S22=TRUE)</formula>
    </cfRule>
    <cfRule type="expression" dxfId="104" priority="95">
      <formula>AND($Q$22=TRUE,$S$22=TRUE,ISBLANK(E23))</formula>
    </cfRule>
    <cfRule type="expression" dxfId="103" priority="96">
      <formula>AND(NOT(ISBLANK(E23)),NOT(ISNUMBER(E23)))</formula>
    </cfRule>
    <cfRule type="cellIs" dxfId="102" priority="115" stopIfTrue="1" operator="equal">
      <formula>0</formula>
    </cfRule>
    <cfRule type="cellIs" dxfId="101" priority="134" stopIfTrue="1" operator="lessThan">
      <formula>0.01</formula>
    </cfRule>
    <cfRule type="cellIs" dxfId="100" priority="135" stopIfTrue="1" operator="greaterThanOrEqual">
      <formula>1000</formula>
    </cfRule>
    <cfRule type="cellIs" dxfId="99" priority="136" stopIfTrue="1" operator="greaterThanOrEqual">
      <formula>1000000</formula>
    </cfRule>
  </conditionalFormatting>
  <conditionalFormatting sqref="E28:N28">
    <cfRule type="expression" dxfId="98" priority="726">
      <formula>AND($R27=TRUE,$S27=TRUE)</formula>
    </cfRule>
    <cfRule type="expression" dxfId="97" priority="727">
      <formula>AND($Q$27=TRUE,$S$27=TRUE,ISBLANK(E28))</formula>
    </cfRule>
    <cfRule type="expression" dxfId="96" priority="728">
      <formula>AND(NOT(ISBLANK(E28)),NOT(ISNUMBER(E28)))</formula>
    </cfRule>
    <cfRule type="cellIs" dxfId="95" priority="729" stopIfTrue="1" operator="equal">
      <formula>0</formula>
    </cfRule>
    <cfRule type="cellIs" dxfId="94" priority="730" stopIfTrue="1" operator="lessThan">
      <formula>0.01</formula>
    </cfRule>
    <cfRule type="cellIs" dxfId="93" priority="731" stopIfTrue="1" operator="greaterThanOrEqual">
      <formula>1000</formula>
    </cfRule>
    <cfRule type="cellIs" dxfId="92" priority="732" stopIfTrue="1" operator="greaterThanOrEqual">
      <formula>1000000</formula>
    </cfRule>
  </conditionalFormatting>
  <conditionalFormatting sqref="E35:N57">
    <cfRule type="expression" dxfId="91" priority="43">
      <formula>AND($D35="Yes",ISBLANK(E35))</formula>
    </cfRule>
    <cfRule type="expression" dxfId="90" priority="44">
      <formula>AND(NOT(ISBLANK(E35)),NOT(ISNUMBER(E35)))</formula>
    </cfRule>
    <cfRule type="expression" dxfId="89" priority="47">
      <formula>$D35="No"</formula>
    </cfRule>
    <cfRule type="cellIs" dxfId="88" priority="56" stopIfTrue="1" operator="equal">
      <formula>0</formula>
    </cfRule>
    <cfRule type="cellIs" dxfId="87" priority="57" stopIfTrue="1" operator="lessThan">
      <formula>0.01</formula>
    </cfRule>
    <cfRule type="cellIs" dxfId="86" priority="58" stopIfTrue="1" operator="greaterThanOrEqual">
      <formula>1000</formula>
    </cfRule>
    <cfRule type="cellIs" dxfId="85" priority="138" stopIfTrue="1" operator="greaterThanOrEqual">
      <formula>1000000</formula>
    </cfRule>
  </conditionalFormatting>
  <dataValidations disablePrompts="1" count="2">
    <dataValidation type="list" showInputMessage="1" showErrorMessage="1" errorTitle="Entry Required" error="You must select either &quot;Yes&quot; or &quot;No&quot;" prompt="Select &quot;Yes&quot; if you agree to limit emissions from this unit.  Select &quot;No&quot; if you do not agree to an emission limit for this unit." sqref="D10:D14" xr:uid="{00000000-0002-0000-1000-000000000000}">
      <formula1>$Y$22:$Y$23</formula1>
    </dataValidation>
    <dataValidation type="list" errorStyle="warning" showInputMessage="1" showErrorMessage="1" errorTitle="Entry Required" error="You must select either &quot;Yes&quot; or &quot;No&quot;" prompt="Select &quot;Yes&quot; if you agree to limit emissions from this unit.  Select &quot;No&quot; if you do not agree to an emission limit for this unit." sqref="D35:D57" xr:uid="{00000000-0002-0000-1000-000001000000}">
      <formula1>$Y$22:$Y$23</formula1>
    </dataValidation>
  </dataValidations>
  <printOptions horizontalCentered="1"/>
  <pageMargins left="0.5" right="0.5" top="0.5" bottom="0.5" header="0.3" footer="0.3"/>
  <pageSetup scale="73" fitToHeight="0" orientation="landscape" r:id="rId1"/>
  <headerFooter>
    <oddFooter>&amp;LRev. 7/2016&amp;C&amp;A&amp;RPage &amp;P</oddFooter>
  </headerFooter>
  <rowBreaks count="1" manualBreakCount="1">
    <brk id="28"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3</xdr:col>
                    <xdr:colOff>28575</xdr:colOff>
                    <xdr:row>21</xdr:row>
                    <xdr:rowOff>152400</xdr:rowOff>
                  </from>
                  <to>
                    <xdr:col>3</xdr:col>
                    <xdr:colOff>781050</xdr:colOff>
                    <xdr:row>21</xdr:row>
                    <xdr:rowOff>371475</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3</xdr:col>
                    <xdr:colOff>28575</xdr:colOff>
                    <xdr:row>22</xdr:row>
                    <xdr:rowOff>152400</xdr:rowOff>
                  </from>
                  <to>
                    <xdr:col>3</xdr:col>
                    <xdr:colOff>781050</xdr:colOff>
                    <xdr:row>22</xdr:row>
                    <xdr:rowOff>371475</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3</xdr:col>
                    <xdr:colOff>28575</xdr:colOff>
                    <xdr:row>26</xdr:row>
                    <xdr:rowOff>219075</xdr:rowOff>
                  </from>
                  <to>
                    <xdr:col>3</xdr:col>
                    <xdr:colOff>781050</xdr:colOff>
                    <xdr:row>26</xdr:row>
                    <xdr:rowOff>438150</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3</xdr:col>
                    <xdr:colOff>28575</xdr:colOff>
                    <xdr:row>27</xdr:row>
                    <xdr:rowOff>219075</xdr:rowOff>
                  </from>
                  <to>
                    <xdr:col>3</xdr:col>
                    <xdr:colOff>781050</xdr:colOff>
                    <xdr:row>27</xdr:row>
                    <xdr:rowOff>438150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rgb="FF002060"/>
    <pageSetUpPr fitToPage="1"/>
  </sheetPr>
  <dimension ref="A1:AM104"/>
  <sheetViews>
    <sheetView showGridLines="0" zoomScaleNormal="100" workbookViewId="0">
      <selection sqref="A1:M1"/>
    </sheetView>
  </sheetViews>
  <sheetFormatPr defaultRowHeight="14.25" x14ac:dyDescent="0.25"/>
  <cols>
    <col min="1" max="1" width="11.28515625" style="130" customWidth="1"/>
    <col min="2" max="2" width="17.7109375" style="48" customWidth="1"/>
    <col min="3" max="3" width="15.7109375" style="48" customWidth="1"/>
    <col min="4" max="4" width="12.85546875" style="48" customWidth="1"/>
    <col min="5" max="13" width="12.7109375" style="48" customWidth="1"/>
    <col min="14" max="14" width="4.28515625" style="48" customWidth="1"/>
    <col min="15" max="15" width="10.140625" style="48" bestFit="1" customWidth="1"/>
    <col min="16" max="16" width="9.140625" style="48"/>
    <col min="17" max="30" width="10.7109375" style="48" customWidth="1"/>
    <col min="31" max="33" width="9.140625" style="48"/>
    <col min="34" max="34" width="14.5703125" style="48" customWidth="1"/>
    <col min="35" max="16384" width="9.140625" style="48"/>
  </cols>
  <sheetData>
    <row r="1" spans="1:13" s="69" customFormat="1" ht="26.25" customHeight="1" thickBot="1" x14ac:dyDescent="0.3">
      <c r="A1" s="1315" t="s">
        <v>2497</v>
      </c>
      <c r="B1" s="1315"/>
      <c r="C1" s="1315"/>
      <c r="D1" s="1315"/>
      <c r="E1" s="1315"/>
      <c r="F1" s="1315"/>
      <c r="G1" s="1315"/>
      <c r="H1" s="1315"/>
      <c r="I1" s="1315"/>
      <c r="J1" s="1315"/>
      <c r="K1" s="1315"/>
      <c r="L1" s="1315"/>
      <c r="M1" s="1315"/>
    </row>
    <row r="2" spans="1:13" s="68" customFormat="1" ht="50.1" customHeight="1" x14ac:dyDescent="0.25">
      <c r="A2" s="1316" t="s">
        <v>1614</v>
      </c>
      <c r="B2" s="1316"/>
      <c r="C2" s="1316"/>
      <c r="D2" s="1316"/>
      <c r="E2" s="1316"/>
      <c r="F2" s="1316"/>
      <c r="G2" s="1316"/>
      <c r="H2" s="1316"/>
      <c r="I2" s="1316"/>
      <c r="J2" s="1316"/>
      <c r="K2" s="1316"/>
      <c r="L2" s="1316"/>
      <c r="M2" s="1316"/>
    </row>
    <row r="3" spans="1:13" s="68" customFormat="1" ht="35.1" customHeight="1" x14ac:dyDescent="0.25">
      <c r="A3" s="1561" t="s">
        <v>1615</v>
      </c>
      <c r="B3" s="1437"/>
      <c r="C3" s="1437"/>
      <c r="D3" s="1437"/>
      <c r="E3" s="1437"/>
      <c r="F3" s="1437"/>
      <c r="G3" s="1437"/>
      <c r="H3" s="1437"/>
      <c r="I3" s="1437"/>
      <c r="J3" s="1437"/>
      <c r="K3" s="1437"/>
      <c r="L3" s="1437"/>
      <c r="M3" s="1437"/>
    </row>
    <row r="4" spans="1:13" s="68" customFormat="1" ht="9.9499999999999993" customHeight="1" x14ac:dyDescent="0.25">
      <c r="A4" s="1440"/>
      <c r="B4" s="1440"/>
      <c r="C4" s="1440"/>
      <c r="D4" s="1440"/>
      <c r="E4" s="1440"/>
      <c r="F4" s="1440"/>
      <c r="G4" s="1440"/>
      <c r="H4" s="1440"/>
      <c r="I4" s="1440"/>
      <c r="J4" s="1440"/>
      <c r="K4" s="1440"/>
      <c r="L4" s="1440"/>
      <c r="M4" s="1440"/>
    </row>
    <row r="5" spans="1:13" s="68" customFormat="1" ht="35.1" customHeight="1" thickBot="1" x14ac:dyDescent="0.3">
      <c r="A5" s="1292" t="s">
        <v>1448</v>
      </c>
      <c r="B5" s="1292"/>
      <c r="C5" s="1292"/>
      <c r="D5" s="1292"/>
      <c r="E5" s="1292"/>
      <c r="F5" s="1292"/>
      <c r="G5" s="1292"/>
      <c r="H5" s="1292"/>
      <c r="I5" s="1292"/>
      <c r="J5" s="1292"/>
      <c r="K5" s="1292"/>
      <c r="L5" s="1292"/>
      <c r="M5" s="1292"/>
    </row>
    <row r="6" spans="1:13" s="77" customFormat="1" ht="19.5" thickBot="1" x14ac:dyDescent="0.3">
      <c r="A6" s="1208" t="s">
        <v>1449</v>
      </c>
      <c r="B6" s="1208"/>
      <c r="C6" s="1208"/>
      <c r="D6" s="1208"/>
      <c r="E6" s="1208"/>
      <c r="F6" s="1208"/>
      <c r="G6" s="1208"/>
      <c r="H6" s="1208"/>
      <c r="I6" s="1208"/>
      <c r="J6" s="1208"/>
      <c r="K6" s="1208"/>
      <c r="L6" s="1208"/>
      <c r="M6" s="1208"/>
    </row>
    <row r="7" spans="1:13" ht="60" customHeight="1" x14ac:dyDescent="0.25">
      <c r="A7" s="1560"/>
      <c r="B7" s="1560"/>
      <c r="C7" s="1560"/>
      <c r="D7" s="1560"/>
      <c r="E7" s="1560"/>
      <c r="F7" s="1560"/>
      <c r="G7" s="1560"/>
      <c r="H7" s="1560"/>
      <c r="I7" s="1560"/>
      <c r="J7" s="1560"/>
      <c r="K7" s="1560"/>
      <c r="L7" s="1560"/>
      <c r="M7" s="1560"/>
    </row>
    <row r="8" spans="1:13" ht="24.95" customHeight="1" x14ac:dyDescent="0.25">
      <c r="A8" s="1436" t="s">
        <v>1434</v>
      </c>
      <c r="B8" s="1436"/>
      <c r="C8" s="1436"/>
      <c r="D8" s="1436"/>
      <c r="E8" s="1436"/>
      <c r="F8" s="1436"/>
      <c r="G8" s="1436"/>
      <c r="H8" s="1436"/>
      <c r="I8" s="1436"/>
      <c r="J8" s="1436"/>
      <c r="K8" s="1436"/>
      <c r="L8" s="1436"/>
      <c r="M8" s="1436"/>
    </row>
    <row r="9" spans="1:13" ht="24.95" customHeight="1" x14ac:dyDescent="0.25">
      <c r="A9" s="988" t="s">
        <v>2498</v>
      </c>
      <c r="B9" s="988"/>
      <c r="C9" s="988"/>
      <c r="D9" s="988"/>
      <c r="E9" s="988"/>
      <c r="F9" s="988"/>
      <c r="G9" s="988"/>
      <c r="H9" s="988"/>
      <c r="I9" s="988"/>
      <c r="J9" s="988"/>
      <c r="K9" s="988"/>
      <c r="L9" s="988"/>
      <c r="M9" s="988"/>
    </row>
    <row r="10" spans="1:13" s="129" customFormat="1" ht="30" customHeight="1" thickBot="1" x14ac:dyDescent="0.3">
      <c r="A10" s="1562" t="s">
        <v>1616</v>
      </c>
      <c r="B10" s="1562"/>
      <c r="C10" s="1562"/>
      <c r="D10" s="1562"/>
      <c r="E10" s="1562"/>
      <c r="F10" s="1562"/>
      <c r="G10" s="1562"/>
      <c r="H10" s="1562"/>
      <c r="I10" s="1562"/>
      <c r="J10" s="1562"/>
      <c r="K10" s="1562"/>
      <c r="L10" s="1562"/>
      <c r="M10" s="1562"/>
    </row>
    <row r="11" spans="1:13" ht="33.75" thickBot="1" x14ac:dyDescent="0.3">
      <c r="A11" s="826" t="s">
        <v>270</v>
      </c>
      <c r="B11" s="827" t="s">
        <v>271</v>
      </c>
      <c r="C11" s="827" t="s">
        <v>1599</v>
      </c>
      <c r="D11" s="827" t="s">
        <v>1582</v>
      </c>
      <c r="E11" s="828" t="s">
        <v>26</v>
      </c>
      <c r="F11" s="829" t="s">
        <v>30</v>
      </c>
      <c r="G11" s="829" t="s">
        <v>3</v>
      </c>
      <c r="H11" s="829" t="s">
        <v>4</v>
      </c>
      <c r="I11" s="829" t="s">
        <v>0</v>
      </c>
      <c r="J11" s="829" t="s">
        <v>5</v>
      </c>
      <c r="K11" s="829" t="s">
        <v>2509</v>
      </c>
      <c r="L11" s="829" t="s">
        <v>24</v>
      </c>
      <c r="M11" s="830" t="s">
        <v>25</v>
      </c>
    </row>
    <row r="12" spans="1:13" ht="18" customHeight="1" x14ac:dyDescent="0.25">
      <c r="A12" s="1539" t="str">
        <f>IF('Table 3-A| Emission Units'!$A29=0,"",'Table 3-A| Emission Units'!$A29)</f>
        <v>Asphalt Batch Plant Emission Units</v>
      </c>
      <c r="B12" s="1540" t="str">
        <f>IF('Table 3-A| Emission Units'!$A29=0,"",'Table 3-A| Emission Units'!$A29&amp;"-"&amp;'Table 3-A| Emission Units'!$B29)</f>
        <v>Asphalt Batch Plant Emission Units-</v>
      </c>
      <c r="C12" s="1540" t="str">
        <f>IF('Table 3-A| Emission Units'!$A29=0,"",'Table 3-A| Emission Units'!$A29&amp;"-"&amp;'Table 3-A| Emission Units'!$B29)</f>
        <v>Asphalt Batch Plant Emission Units-</v>
      </c>
      <c r="D12" s="1540" t="str">
        <f>IF('Table 3-A| Emission Units'!$A29=0,"",'Table 3-A| Emission Units'!$A29&amp;"-"&amp;'Table 3-A| Emission Units'!$B29)</f>
        <v>Asphalt Batch Plant Emission Units-</v>
      </c>
      <c r="E12" s="1540" t="str">
        <f>IF('Table 3-A| Emission Units'!$A29=0,"",'Table 3-A| Emission Units'!$A29&amp;"-"&amp;'Table 3-A| Emission Units'!$B29)</f>
        <v>Asphalt Batch Plant Emission Units-</v>
      </c>
      <c r="F12" s="1540" t="str">
        <f>IF('Table 3-A| Emission Units'!$A29=0,"",'Table 3-A| Emission Units'!$A29&amp;"-"&amp;'Table 3-A| Emission Units'!$B29)</f>
        <v>Asphalt Batch Plant Emission Units-</v>
      </c>
      <c r="G12" s="1540" t="str">
        <f>IF('Table 3-A| Emission Units'!$A29=0,"",'Table 3-A| Emission Units'!$A29&amp;"-"&amp;'Table 3-A| Emission Units'!$B29)</f>
        <v>Asphalt Batch Plant Emission Units-</v>
      </c>
      <c r="H12" s="1540" t="str">
        <f>IF('Table 3-A| Emission Units'!$A29=0,"",'Table 3-A| Emission Units'!$A29&amp;"-"&amp;'Table 3-A| Emission Units'!$B29)</f>
        <v>Asphalt Batch Plant Emission Units-</v>
      </c>
      <c r="I12" s="1540" t="str">
        <f>IF('Table 3-A| Emission Units'!$A29=0,"",'Table 3-A| Emission Units'!$A29&amp;"-"&amp;'Table 3-A| Emission Units'!$B29)</f>
        <v>Asphalt Batch Plant Emission Units-</v>
      </c>
      <c r="J12" s="1540" t="str">
        <f>IF('Table 3-A| Emission Units'!$A29=0,"",'Table 3-A| Emission Units'!$A29&amp;"-"&amp;'Table 3-A| Emission Units'!$B29)</f>
        <v>Asphalt Batch Plant Emission Units-</v>
      </c>
      <c r="K12" s="1540" t="str">
        <f>IF('Table 3-A| Emission Units'!$A29=0,"",'Table 3-A| Emission Units'!$A29&amp;"-"&amp;'Table 3-A| Emission Units'!$B29)</f>
        <v>Asphalt Batch Plant Emission Units-</v>
      </c>
      <c r="L12" s="1540" t="str">
        <f>IF('Table 3-A| Emission Units'!$A29=0,"",'Table 3-A| Emission Units'!$A29&amp;"-"&amp;'Table 3-A| Emission Units'!$B29)</f>
        <v>Asphalt Batch Plant Emission Units-</v>
      </c>
      <c r="M12" s="1541" t="str">
        <f>IF('Table 3-A| Emission Units'!$A29=0,"",'Table 3-A| Emission Units'!$A29&amp;"-"&amp;'Table 3-A| Emission Units'!$B29)</f>
        <v>Asphalt Batch Plant Emission Units-</v>
      </c>
    </row>
    <row r="13" spans="1:13" ht="18" customHeight="1" x14ac:dyDescent="0.25">
      <c r="A13" s="302">
        <f>IF('Table 3-A| Emission Units'!$B30=0,0,'Table 3-A| Emission Units'!$A30&amp;"-"&amp;'Table 3-A| Emission Units'!$B30)</f>
        <v>0</v>
      </c>
      <c r="B13" s="303">
        <f>'Table 3-A| Emission Units'!$C30</f>
        <v>30502031</v>
      </c>
      <c r="C13" s="305">
        <f>IF($A13=0,0,IF('Table 6-A| Controls &amp; Limits'!$C$21="Yes",('Table 5-A| Primary MPTE'!$E79*('Table 6-A| Controls &amp; Limits'!$E$21/'Table 6-A| Controls &amp; Limits'!$D$21)),'Table 5-A| Primary MPTE'!$E79))</f>
        <v>0</v>
      </c>
      <c r="D13" s="386" t="str">
        <f>'Table 5-A| Primary MPTE'!$D79</f>
        <v/>
      </c>
      <c r="E13" s="387">
        <f>IFERROR(IFERROR(1-VLOOKUP('Table 6-A| Controls &amp; Limits'!$K$21,'Emission Controls'!$A$20:$L$33,4,),1)*'Table 5-A| Primary MPTE'!G79*($C13/'Table 5-A| Primary MPTE'!$E79),0)</f>
        <v>0</v>
      </c>
      <c r="F13" s="388">
        <f>IFERROR(IFERROR(1-VLOOKUP('Table 6-A| Controls &amp; Limits'!$K$21,'Emission Controls'!$A$20:$L$33,5,),1)*'Table 5-A| Primary MPTE'!H79*($C13/'Table 5-A| Primary MPTE'!$E79),0)</f>
        <v>0</v>
      </c>
      <c r="G13" s="388">
        <f>IFERROR(IFERROR(1-VLOOKUP('Table 6-A| Controls &amp; Limits'!$K$21,'Emission Controls'!$A$20:$L$33,6,),1)*('Table 5-A| Primary MPTE'!I79*$C13/'Table 5-A| Primary MPTE'!$E79),0)</f>
        <v>0</v>
      </c>
      <c r="H13" s="388">
        <f>IFERROR(IFERROR(1-VLOOKUP('Table 6-A| Controls &amp; Limits'!$K$21,'Emission Controls'!$A$20:$L$33,7,),1)*('Table 5-A| Primary MPTE'!J79*$C13/'Table 5-A| Primary MPTE'!$E79),0)</f>
        <v>0</v>
      </c>
      <c r="I13" s="388">
        <f>IFERROR(IFERROR(1-VLOOKUP('Table 6-A| Controls &amp; Limits'!$K$21,'Emission Controls'!$A$20:$L$33,8,),1)*('Table 5-A| Primary MPTE'!K79*$C13/'Table 5-A| Primary MPTE'!$E79),0)</f>
        <v>0</v>
      </c>
      <c r="J13" s="388">
        <f>IFERROR(IFERROR(1-VLOOKUP('Table 6-A| Controls &amp; Limits'!$K$21,'Emission Controls'!$A$20:$L$33,9,),1)*('Table 5-A| Primary MPTE'!L79*$C13/'Table 5-A| Primary MPTE'!$E79),0)</f>
        <v>0</v>
      </c>
      <c r="K13" s="388">
        <f>IFERROR(IFERROR(1-VLOOKUP('Table 6-A| Controls &amp; Limits'!$K$21,'Emission Controls'!$A$20:$L$33,10,),1)*('Table 5-A| Primary MPTE'!M79*$C13/'Table 5-A| Primary MPTE'!$E79),0)</f>
        <v>0</v>
      </c>
      <c r="L13" s="388">
        <f>IFERROR(IFERROR(1-VLOOKUP('Table 6-A| Controls &amp; Limits'!$K$21,'Emission Controls'!$A$20:$L$33,11,),1)*('Table 5-A| Primary MPTE'!N79*$C13/'Table 5-A| Primary MPTE'!$E79),0)</f>
        <v>0</v>
      </c>
      <c r="M13" s="389">
        <f>IFERROR(IFERROR(1-VLOOKUP('Table 6-A| Controls &amp; Limits'!$K$21,'Emission Controls'!$A$20:$L$33,12,),1)*('Table 5-A| Primary MPTE'!O79*$C13/'Table 5-A| Primary MPTE'!$E79),0)</f>
        <v>0</v>
      </c>
    </row>
    <row r="14" spans="1:13" ht="18" customHeight="1" x14ac:dyDescent="0.25">
      <c r="A14" s="302">
        <f>IF('Table 3-A| Emission Units'!$B31=0,0,'Table 3-A| Emission Units'!$A31&amp;"-"&amp;'Table 3-A| Emission Units'!$B31)</f>
        <v>0</v>
      </c>
      <c r="B14" s="303">
        <f>'Table 3-A| Emission Units'!$C31</f>
        <v>30501123</v>
      </c>
      <c r="C14" s="305">
        <f>IF($A14=0,0,IF('Table 6-A| Controls &amp; Limits'!$C$21="Yes",('Table 5-A| Primary MPTE'!$E80*('Table 6-A| Controls &amp; Limits'!$E$21/'Table 6-A| Controls &amp; Limits'!$D$21)),'Table 5-A| Primary MPTE'!$E80))</f>
        <v>0</v>
      </c>
      <c r="D14" s="386" t="str">
        <f>'Table 5-A| Primary MPTE'!$D80</f>
        <v/>
      </c>
      <c r="E14" s="387">
        <f>IFERROR(IFERROR(1-VLOOKUP('Table 6-A| Controls &amp; Limits'!$K$21,'Emission Controls'!$A$20:$L$33,4,),1)*'Table 5-A| Primary MPTE'!G80*($C14/'Table 5-A| Primary MPTE'!$E80),0)</f>
        <v>0</v>
      </c>
      <c r="F14" s="388">
        <f>IFERROR(IFERROR(1-VLOOKUP('Table 6-A| Controls &amp; Limits'!$K$21,'Emission Controls'!$A$20:$L$33,5,),1)*'Table 5-A| Primary MPTE'!H80*($C14/'Table 5-A| Primary MPTE'!$E80),0)</f>
        <v>0</v>
      </c>
      <c r="G14" s="388">
        <f>IFERROR(IFERROR(1-VLOOKUP('Table 6-A| Controls &amp; Limits'!$K$21,'Emission Controls'!$A$20:$L$33,6,),1)*('Table 5-A| Primary MPTE'!I80*$C14/'Table 5-A| Primary MPTE'!$E80),0)</f>
        <v>0</v>
      </c>
      <c r="H14" s="388">
        <f>IFERROR(IFERROR(1-VLOOKUP('Table 6-A| Controls &amp; Limits'!$K$21,'Emission Controls'!$A$20:$L$33,7,),1)*('Table 5-A| Primary MPTE'!J80*$C14/'Table 5-A| Primary MPTE'!$E80),0)</f>
        <v>0</v>
      </c>
      <c r="I14" s="388">
        <f>IFERROR(IFERROR(1-VLOOKUP('Table 6-A| Controls &amp; Limits'!$K$21,'Emission Controls'!$A$20:$L$33,8,),1)*('Table 5-A| Primary MPTE'!K80*$C14/'Table 5-A| Primary MPTE'!$E80),0)</f>
        <v>0</v>
      </c>
      <c r="J14" s="388">
        <f>IFERROR(IFERROR(1-VLOOKUP('Table 6-A| Controls &amp; Limits'!$K$21,'Emission Controls'!$A$20:$L$33,9,),1)*('Table 5-A| Primary MPTE'!L80*$C14/'Table 5-A| Primary MPTE'!$E80),0)</f>
        <v>0</v>
      </c>
      <c r="K14" s="388">
        <f>IFERROR(IFERROR(1-VLOOKUP('Table 6-A| Controls &amp; Limits'!$K$21,'Emission Controls'!$A$20:$L$33,10,),1)*('Table 5-A| Primary MPTE'!M80*$C14/'Table 5-A| Primary MPTE'!$E80),0)</f>
        <v>0</v>
      </c>
      <c r="L14" s="388">
        <f>IFERROR(IFERROR(1-VLOOKUP('Table 6-A| Controls &amp; Limits'!$K$21,'Emission Controls'!$A$20:$L$33,11,),1)*('Table 5-A| Primary MPTE'!N80*$C14/'Table 5-A| Primary MPTE'!$E80),0)</f>
        <v>0</v>
      </c>
      <c r="M14" s="389">
        <f>IFERROR(IFERROR(1-VLOOKUP('Table 6-A| Controls &amp; Limits'!$K$21,'Emission Controls'!$A$20:$L$33,12,),1)*('Table 5-A| Primary MPTE'!O80*$C14/'Table 5-A| Primary MPTE'!$E80),0)</f>
        <v>0</v>
      </c>
    </row>
    <row r="15" spans="1:13" ht="18" customHeight="1" x14ac:dyDescent="0.25">
      <c r="A15" s="302">
        <f>IF('Table 3-A| Emission Units'!$B32=0,0,'Table 3-A| Emission Units'!$A32&amp;"-"&amp;'Table 3-A| Emission Units'!$B32)</f>
        <v>0</v>
      </c>
      <c r="B15" s="303">
        <f>'Table 3-A| Emission Units'!$C32</f>
        <v>30501123</v>
      </c>
      <c r="C15" s="305">
        <f>IF($A15=0,0,IF('Table 6-A| Controls &amp; Limits'!$C$21="Yes",('Table 5-A| Primary MPTE'!$E81*('Table 6-A| Controls &amp; Limits'!$E$21/'Table 6-A| Controls &amp; Limits'!$D$21)),'Table 5-A| Primary MPTE'!$E81))</f>
        <v>0</v>
      </c>
      <c r="D15" s="386" t="str">
        <f>'Table 5-A| Primary MPTE'!$D81</f>
        <v/>
      </c>
      <c r="E15" s="387">
        <f>IFERROR(IFERROR(1-VLOOKUP('Table 6-A| Controls &amp; Limits'!$K$21,'Emission Controls'!$A$20:$L$33,4,),1)*'Table 5-A| Primary MPTE'!G81*($C15/'Table 5-A| Primary MPTE'!$E81),0)</f>
        <v>0</v>
      </c>
      <c r="F15" s="388">
        <f>IFERROR(IFERROR(1-VLOOKUP('Table 6-A| Controls &amp; Limits'!$K$21,'Emission Controls'!$A$20:$L$33,5,),1)*'Table 5-A| Primary MPTE'!H81*($C15/'Table 5-A| Primary MPTE'!$E81),0)</f>
        <v>0</v>
      </c>
      <c r="G15" s="388">
        <f>IFERROR(IFERROR(1-VLOOKUP('Table 6-A| Controls &amp; Limits'!$K$21,'Emission Controls'!$A$20:$L$33,6,),1)*('Table 5-A| Primary MPTE'!I81*$C15/'Table 5-A| Primary MPTE'!$E81),0)</f>
        <v>0</v>
      </c>
      <c r="H15" s="388">
        <f>IFERROR(IFERROR(1-VLOOKUP('Table 6-A| Controls &amp; Limits'!$K$21,'Emission Controls'!$A$20:$L$33,7,),1)*('Table 5-A| Primary MPTE'!J81*$C15/'Table 5-A| Primary MPTE'!$E81),0)</f>
        <v>0</v>
      </c>
      <c r="I15" s="388">
        <f>IFERROR(IFERROR(1-VLOOKUP('Table 6-A| Controls &amp; Limits'!$K$21,'Emission Controls'!$A$20:$L$33,8,),1)*('Table 5-A| Primary MPTE'!K81*$C15/'Table 5-A| Primary MPTE'!$E81),0)</f>
        <v>0</v>
      </c>
      <c r="J15" s="388">
        <f>IFERROR(IFERROR(1-VLOOKUP('Table 6-A| Controls &amp; Limits'!$K$21,'Emission Controls'!$A$20:$L$33,9,),1)*('Table 5-A| Primary MPTE'!L81*$C15/'Table 5-A| Primary MPTE'!$E81),0)</f>
        <v>0</v>
      </c>
      <c r="K15" s="388">
        <f>IFERROR(IFERROR(1-VLOOKUP('Table 6-A| Controls &amp; Limits'!$K$21,'Emission Controls'!$A$20:$L$33,10,),1)*('Table 5-A| Primary MPTE'!M81*$C15/'Table 5-A| Primary MPTE'!$E81),0)</f>
        <v>0</v>
      </c>
      <c r="L15" s="388">
        <f>IFERROR(IFERROR(1-VLOOKUP('Table 6-A| Controls &amp; Limits'!$K$21,'Emission Controls'!$A$20:$L$33,11,),1)*('Table 5-A| Primary MPTE'!N81*$C15/'Table 5-A| Primary MPTE'!$E81),0)</f>
        <v>0</v>
      </c>
      <c r="M15" s="389">
        <f>IFERROR(IFERROR(1-VLOOKUP('Table 6-A| Controls &amp; Limits'!$K$21,'Emission Controls'!$A$20:$L$33,12,),1)*('Table 5-A| Primary MPTE'!O81*$C15/'Table 5-A| Primary MPTE'!$E81),0)</f>
        <v>0</v>
      </c>
    </row>
    <row r="16" spans="1:13" ht="18" customHeight="1" x14ac:dyDescent="0.25">
      <c r="A16" s="302">
        <f>IF('Table 3-A| Emission Units'!$B33=0,0,'Table 3-A| Emission Units'!$A33&amp;"-"&amp;'Table 3-A| Emission Units'!$B33)</f>
        <v>0</v>
      </c>
      <c r="B16" s="303">
        <f>'Table 3-A| Emission Units'!$C33</f>
        <v>30502032</v>
      </c>
      <c r="C16" s="305">
        <f>IF($A16=0,0,IF('Table 6-A| Controls &amp; Limits'!$C$21="Yes",('Table 5-A| Primary MPTE'!$E82*('Table 6-A| Controls &amp; Limits'!$E$21/'Table 6-A| Controls &amp; Limits'!$D$21)),'Table 5-A| Primary MPTE'!$E82))</f>
        <v>0</v>
      </c>
      <c r="D16" s="386" t="str">
        <f>'Table 5-A| Primary MPTE'!$D82</f>
        <v/>
      </c>
      <c r="E16" s="387">
        <f>IFERROR(IFERROR(1-VLOOKUP('Table 6-A| Controls &amp; Limits'!$K$21,'Emission Controls'!$A$20:$L$33,4,),1)*'Table 5-A| Primary MPTE'!G82*($C16/'Table 5-A| Primary MPTE'!$E82),0)</f>
        <v>0</v>
      </c>
      <c r="F16" s="388">
        <f>IFERROR(IFERROR(1-VLOOKUP('Table 6-A| Controls &amp; Limits'!$K$21,'Emission Controls'!$A$20:$L$33,5,),1)*'Table 5-A| Primary MPTE'!H82*($C16/'Table 5-A| Primary MPTE'!$E82),0)</f>
        <v>0</v>
      </c>
      <c r="G16" s="388">
        <f>IFERROR(IFERROR(1-VLOOKUP('Table 6-A| Controls &amp; Limits'!$K$21,'Emission Controls'!$A$20:$L$33,6,),1)*('Table 5-A| Primary MPTE'!I82*$C16/'Table 5-A| Primary MPTE'!$E82),0)</f>
        <v>0</v>
      </c>
      <c r="H16" s="388">
        <f>IFERROR(IFERROR(1-VLOOKUP('Table 6-A| Controls &amp; Limits'!$K$21,'Emission Controls'!$A$20:$L$33,7,),1)*('Table 5-A| Primary MPTE'!J82*$C16/'Table 5-A| Primary MPTE'!$E82),0)</f>
        <v>0</v>
      </c>
      <c r="I16" s="388">
        <f>IFERROR(IFERROR(1-VLOOKUP('Table 6-A| Controls &amp; Limits'!$K$21,'Emission Controls'!$A$20:$L$33,8,),1)*('Table 5-A| Primary MPTE'!K82*$C16/'Table 5-A| Primary MPTE'!$E82),0)</f>
        <v>0</v>
      </c>
      <c r="J16" s="388">
        <f>IFERROR(IFERROR(1-VLOOKUP('Table 6-A| Controls &amp; Limits'!$K$21,'Emission Controls'!$A$20:$L$33,9,),1)*('Table 5-A| Primary MPTE'!L82*$C16/'Table 5-A| Primary MPTE'!$E82),0)</f>
        <v>0</v>
      </c>
      <c r="K16" s="388">
        <f>IFERROR(IFERROR(1-VLOOKUP('Table 6-A| Controls &amp; Limits'!$K$21,'Emission Controls'!$A$20:$L$33,10,),1)*('Table 5-A| Primary MPTE'!M82*$C16/'Table 5-A| Primary MPTE'!$E82),0)</f>
        <v>0</v>
      </c>
      <c r="L16" s="388">
        <f>IFERROR(IFERROR(1-VLOOKUP('Table 6-A| Controls &amp; Limits'!$K$21,'Emission Controls'!$A$20:$L$33,11,),1)*('Table 5-A| Primary MPTE'!N82*$C16/'Table 5-A| Primary MPTE'!$E82),0)</f>
        <v>0</v>
      </c>
      <c r="M16" s="389">
        <f>IFERROR(IFERROR(1-VLOOKUP('Table 6-A| Controls &amp; Limits'!$K$21,'Emission Controls'!$A$20:$L$33,12,),1)*('Table 5-A| Primary MPTE'!O82*$C16/'Table 5-A| Primary MPTE'!$E82),0)</f>
        <v>0</v>
      </c>
    </row>
    <row r="17" spans="1:39" ht="18" customHeight="1" x14ac:dyDescent="0.25">
      <c r="A17" s="302">
        <f>IF('Table 3-A| Emission Units'!$B34=0,0,'Table 3-A| Emission Units'!$A34&amp;"-"&amp;'Table 3-A| Emission Units'!$B34)</f>
        <v>0</v>
      </c>
      <c r="B17" s="303">
        <f>'Table 3-A| Emission Units'!$C34</f>
        <v>30502006</v>
      </c>
      <c r="C17" s="305">
        <f>IF($A17=0,0,IF('Table 6-A| Controls &amp; Limits'!$C$21="Yes",('Table 5-A| Primary MPTE'!$E83*('Table 6-A| Controls &amp; Limits'!$E$21/'Table 6-A| Controls &amp; Limits'!$D$21)),'Table 5-A| Primary MPTE'!$E83))</f>
        <v>0</v>
      </c>
      <c r="D17" s="386" t="str">
        <f>'Table 5-A| Primary MPTE'!$D83</f>
        <v/>
      </c>
      <c r="E17" s="387">
        <f>IFERROR(IFERROR(1-VLOOKUP('Table 6-A| Controls &amp; Limits'!$K$21,'Emission Controls'!$A$20:$L$33,4,),1)*'Table 5-A| Primary MPTE'!G83*($C17/'Table 5-A| Primary MPTE'!$E83),0)</f>
        <v>0</v>
      </c>
      <c r="F17" s="388">
        <f>IFERROR(IFERROR(1-VLOOKUP('Table 6-A| Controls &amp; Limits'!$K$21,'Emission Controls'!$A$20:$L$33,5,),1)*'Table 5-A| Primary MPTE'!H83*($C17/'Table 5-A| Primary MPTE'!$E83),0)</f>
        <v>0</v>
      </c>
      <c r="G17" s="388">
        <f>IFERROR(IFERROR(1-VLOOKUP('Table 6-A| Controls &amp; Limits'!$K$21,'Emission Controls'!$A$20:$L$33,6,),1)*('Table 5-A| Primary MPTE'!I83*$C17/'Table 5-A| Primary MPTE'!$E83),0)</f>
        <v>0</v>
      </c>
      <c r="H17" s="388">
        <f>IFERROR(IFERROR(1-VLOOKUP('Table 6-A| Controls &amp; Limits'!$K$21,'Emission Controls'!$A$20:$L$33,7,),1)*('Table 5-A| Primary MPTE'!J83*$C17/'Table 5-A| Primary MPTE'!$E83),0)</f>
        <v>0</v>
      </c>
      <c r="I17" s="388">
        <f>IFERROR(IFERROR(1-VLOOKUP('Table 6-A| Controls &amp; Limits'!$K$21,'Emission Controls'!$A$20:$L$33,8,),1)*('Table 5-A| Primary MPTE'!K83*$C17/'Table 5-A| Primary MPTE'!$E83),0)</f>
        <v>0</v>
      </c>
      <c r="J17" s="388">
        <f>IFERROR(IFERROR(1-VLOOKUP('Table 6-A| Controls &amp; Limits'!$K$21,'Emission Controls'!$A$20:$L$33,9,),1)*('Table 5-A| Primary MPTE'!L83*$C17/'Table 5-A| Primary MPTE'!$E83),0)</f>
        <v>0</v>
      </c>
      <c r="K17" s="388">
        <f>IFERROR(IFERROR(1-VLOOKUP('Table 6-A| Controls &amp; Limits'!$K$21,'Emission Controls'!$A$20:$L$33,10,),1)*('Table 5-A| Primary MPTE'!M83*$C17/'Table 5-A| Primary MPTE'!$E83),0)</f>
        <v>0</v>
      </c>
      <c r="L17" s="388">
        <f>IFERROR(IFERROR(1-VLOOKUP('Table 6-A| Controls &amp; Limits'!$K$21,'Emission Controls'!$A$20:$L$33,11,),1)*('Table 5-A| Primary MPTE'!N83*$C17/'Table 5-A| Primary MPTE'!$E83),0)</f>
        <v>0</v>
      </c>
      <c r="M17" s="389">
        <f>IFERROR(IFERROR(1-VLOOKUP('Table 6-A| Controls &amp; Limits'!$K$21,'Emission Controls'!$A$20:$L$33,12,),1)*('Table 5-A| Primary MPTE'!O83*$C17/'Table 5-A| Primary MPTE'!$E83),0)</f>
        <v>0</v>
      </c>
    </row>
    <row r="18" spans="1:39" ht="18" customHeight="1" x14ac:dyDescent="0.25">
      <c r="A18" s="302">
        <f>IF('Table 3-A| Emission Units'!$B35=0,0,'Table 3-A| Emission Units'!$A35&amp;"-"&amp;'Table 3-A| Emission Units'!$B35)</f>
        <v>0</v>
      </c>
      <c r="B18" s="303">
        <f>'Table 3-A| Emission Units'!$C35</f>
        <v>30502003</v>
      </c>
      <c r="C18" s="305">
        <f>IF($A18=0,0,IF('Table 6-A| Controls &amp; Limits'!$C$21="Yes",('Table 5-A| Primary MPTE'!$E84*('Table 6-A| Controls &amp; Limits'!$E$21/'Table 6-A| Controls &amp; Limits'!$D$21)),'Table 5-A| Primary MPTE'!$E84))</f>
        <v>0</v>
      </c>
      <c r="D18" s="386" t="str">
        <f>'Table 5-A| Primary MPTE'!$D84</f>
        <v/>
      </c>
      <c r="E18" s="387">
        <f>IFERROR(IFERROR(1-VLOOKUP('Table 6-A| Controls &amp; Limits'!$K$21,'Emission Controls'!$A$20:$L$33,4,),1)*'Table 5-A| Primary MPTE'!G84*($C18/'Table 5-A| Primary MPTE'!$E84),0)</f>
        <v>0</v>
      </c>
      <c r="F18" s="388">
        <f>IFERROR(IFERROR(1-VLOOKUP('Table 6-A| Controls &amp; Limits'!$K$21,'Emission Controls'!$A$20:$L$33,5,),1)*'Table 5-A| Primary MPTE'!H84*($C18/'Table 5-A| Primary MPTE'!$E84),0)</f>
        <v>0</v>
      </c>
      <c r="G18" s="388">
        <f>IFERROR(IFERROR(1-VLOOKUP('Table 6-A| Controls &amp; Limits'!$K$21,'Emission Controls'!$A$20:$L$33,6,),1)*('Table 5-A| Primary MPTE'!I84*$C18/'Table 5-A| Primary MPTE'!$E84),0)</f>
        <v>0</v>
      </c>
      <c r="H18" s="388">
        <f>IFERROR(IFERROR(1-VLOOKUP('Table 6-A| Controls &amp; Limits'!$K$21,'Emission Controls'!$A$20:$L$33,7,),1)*('Table 5-A| Primary MPTE'!J84*$C18/'Table 5-A| Primary MPTE'!$E84),0)</f>
        <v>0</v>
      </c>
      <c r="I18" s="388">
        <f>IFERROR(IFERROR(1-VLOOKUP('Table 6-A| Controls &amp; Limits'!$K$21,'Emission Controls'!$A$20:$L$33,8,),1)*('Table 5-A| Primary MPTE'!K84*$C18/'Table 5-A| Primary MPTE'!$E84),0)</f>
        <v>0</v>
      </c>
      <c r="J18" s="388">
        <f>IFERROR(IFERROR(1-VLOOKUP('Table 6-A| Controls &amp; Limits'!$K$21,'Emission Controls'!$A$20:$L$33,9,),1)*('Table 5-A| Primary MPTE'!L84*$C18/'Table 5-A| Primary MPTE'!$E84),0)</f>
        <v>0</v>
      </c>
      <c r="K18" s="388">
        <f>IFERROR(IFERROR(1-VLOOKUP('Table 6-A| Controls &amp; Limits'!$K$21,'Emission Controls'!$A$20:$L$33,10,),1)*('Table 5-A| Primary MPTE'!M84*$C18/'Table 5-A| Primary MPTE'!$E84),0)</f>
        <v>0</v>
      </c>
      <c r="L18" s="388">
        <f>IFERROR(IFERROR(1-VLOOKUP('Table 6-A| Controls &amp; Limits'!$K$21,'Emission Controls'!$A$20:$L$33,11,),1)*('Table 5-A| Primary MPTE'!N84*$C18/'Table 5-A| Primary MPTE'!$E84),0)</f>
        <v>0</v>
      </c>
      <c r="M18" s="389">
        <f>IFERROR(IFERROR(1-VLOOKUP('Table 6-A| Controls &amp; Limits'!$K$21,'Emission Controls'!$A$20:$L$33,12,),1)*('Table 5-A| Primary MPTE'!O84*$C18/'Table 5-A| Primary MPTE'!$E84),0)</f>
        <v>0</v>
      </c>
    </row>
    <row r="19" spans="1:39" ht="18" customHeight="1" x14ac:dyDescent="0.25">
      <c r="A19" s="302">
        <f>IF('Table 3-A| Emission Units'!$B36=0,0,'Table 3-A| Emission Units'!$A36&amp;"-"&amp;'Table 3-A| Emission Units'!$B36)</f>
        <v>0</v>
      </c>
      <c r="B19" s="303">
        <f ca="1">'Table 3-A| Emission Units'!$C36</f>
        <v>0</v>
      </c>
      <c r="C19" s="305">
        <f>IF($A19=0,0,IF('Table 6-A| Controls &amp; Limits'!$C$21="Yes",('Table 5-A| Primary MPTE'!$E85*('Table 6-A| Controls &amp; Limits'!$E$21/'Table 6-A| Controls &amp; Limits'!$D$21)),'Table 5-A| Primary MPTE'!$E85))</f>
        <v>0</v>
      </c>
      <c r="D19" s="386" t="str">
        <f>'Table 5-A| Primary MPTE'!$D85</f>
        <v/>
      </c>
      <c r="E19" s="387">
        <f>IFERROR(IFERROR(1-VLOOKUP('Table 6-A| Controls &amp; Limits'!$K$21,'Emission Controls'!$A$20:$L$33,4,),1)*'Table 5-A| Primary MPTE'!G85*($C19/'Table 5-A| Primary MPTE'!$E85),0)</f>
        <v>0</v>
      </c>
      <c r="F19" s="388">
        <f>IFERROR(IFERROR(1-VLOOKUP('Table 6-A| Controls &amp; Limits'!$K$21,'Emission Controls'!$A$20:$L$33,5,),1)*'Table 5-A| Primary MPTE'!H85*($C19/'Table 5-A| Primary MPTE'!$E85),0)</f>
        <v>0</v>
      </c>
      <c r="G19" s="388">
        <f>IFERROR(IFERROR(1-VLOOKUP('Table 6-A| Controls &amp; Limits'!$K$21,'Emission Controls'!$A$20:$L$33,6,),1)*('Table 5-A| Primary MPTE'!I85*$C19/'Table 5-A| Primary MPTE'!$E85),0)</f>
        <v>0</v>
      </c>
      <c r="H19" s="388">
        <f>IFERROR(IFERROR(1-VLOOKUP('Table 6-A| Controls &amp; Limits'!$K$21,'Emission Controls'!$A$20:$L$33,7,),1)*('Table 5-A| Primary MPTE'!J85*$C19/'Table 5-A| Primary MPTE'!$E85),0)</f>
        <v>0</v>
      </c>
      <c r="I19" s="388">
        <f>IFERROR(IFERROR(1-VLOOKUP('Table 6-A| Controls &amp; Limits'!$K$21,'Emission Controls'!$A$20:$L$33,8,),1)*('Table 5-A| Primary MPTE'!K85*$C19/'Table 5-A| Primary MPTE'!$E85),0)</f>
        <v>0</v>
      </c>
      <c r="J19" s="388">
        <f>IFERROR(IFERROR(1-VLOOKUP('Table 6-A| Controls &amp; Limits'!$K$21,'Emission Controls'!$A$20:$L$33,9,),1)*('Table 5-A| Primary MPTE'!L85*$C19/'Table 5-A| Primary MPTE'!$E85),0)</f>
        <v>0</v>
      </c>
      <c r="K19" s="388">
        <f>IFERROR(IFERROR(1-VLOOKUP('Table 6-A| Controls &amp; Limits'!$K$21,'Emission Controls'!$A$20:$L$33,10,),1)*('Table 5-A| Primary MPTE'!M85*$C19/'Table 5-A| Primary MPTE'!$E85),0)</f>
        <v>0</v>
      </c>
      <c r="L19" s="388">
        <f>IFERROR(IFERROR(1-VLOOKUP('Table 6-A| Controls &amp; Limits'!$K$21,'Emission Controls'!$A$20:$L$33,11,),1)*('Table 5-A| Primary MPTE'!N85*$C19/'Table 5-A| Primary MPTE'!$E85),0)</f>
        <v>0</v>
      </c>
      <c r="M19" s="389">
        <f>IFERROR(IFERROR(1-VLOOKUP('Table 6-A| Controls &amp; Limits'!$K$21,'Emission Controls'!$A$20:$L$33,12,),1)*('Table 5-A| Primary MPTE'!O85*$C19/'Table 5-A| Primary MPTE'!$E85),0)</f>
        <v>0</v>
      </c>
    </row>
    <row r="20" spans="1:39" ht="18" customHeight="1" x14ac:dyDescent="0.25">
      <c r="A20" s="302">
        <f>IF('Table 3-A| Emission Units'!$B37=0,0,'Table 3-A| Emission Units'!$A37&amp;"-"&amp;'Table 3-A| Emission Units'!$B37)</f>
        <v>0</v>
      </c>
      <c r="B20" s="303">
        <f ca="1">'Table 3-A| Emission Units'!$C37</f>
        <v>0</v>
      </c>
      <c r="C20" s="1414">
        <f>IF(AND($A20=0,$A21=0,$A22=0),0,IF('Table 6-A| Controls &amp; Limits'!$C$21="Yes",('Table 5-A| Primary MPTE'!$E86*('Table 6-A| Controls &amp; Limits'!$E$21/'Table 6-A| Controls &amp; Limits'!$D$21)),'Table 5-A| Primary MPTE'!$E86))</f>
        <v>0</v>
      </c>
      <c r="D20" s="1417" t="str">
        <f>'Table 5-A| Primary MPTE'!$D86</f>
        <v/>
      </c>
      <c r="E20" s="1420">
        <f>IFERROR(IFERROR(1-VLOOKUP('Table 6-A| Controls &amp; Limits'!$K$21,'Emission Controls'!$A$20:$L$33,4,),1)*'Table 5-A| Primary MPTE'!G86*($C20/'Table 5-A| Primary MPTE'!$E86),0)</f>
        <v>0</v>
      </c>
      <c r="F20" s="1408">
        <f>IFERROR(IFERROR(1-VLOOKUP('Table 6-A| Controls &amp; Limits'!$K$21,'Emission Controls'!$A$20:$L$33,5,),1)*'Table 5-A| Primary MPTE'!H86*($C20/'Table 5-A| Primary MPTE'!$E86),0)</f>
        <v>0</v>
      </c>
      <c r="G20" s="1408">
        <f>IFERROR(IFERROR(1-VLOOKUP('Table 6-A| Controls &amp; Limits'!$K$21,'Emission Controls'!$A$20:$L$33,6,),1)*('Table 5-A| Primary MPTE'!I86*$C20/'Table 5-A| Primary MPTE'!$E86),0)</f>
        <v>0</v>
      </c>
      <c r="H20" s="1408">
        <f>IFERROR(IFERROR(1-VLOOKUP('Table 6-A| Controls &amp; Limits'!$K$21,'Emission Controls'!$A$20:$L$33,7,),1)*('Table 5-A| Primary MPTE'!J86*$C20/'Table 5-A| Primary MPTE'!$E86),0)</f>
        <v>0</v>
      </c>
      <c r="I20" s="1408">
        <f>IFERROR(IFERROR(1-VLOOKUP('Table 6-A| Controls &amp; Limits'!$K$21,'Emission Controls'!$A$20:$L$33,8,),1)*('Table 5-A| Primary MPTE'!K86*$C20/'Table 5-A| Primary MPTE'!$E86),0)</f>
        <v>0</v>
      </c>
      <c r="J20" s="1408">
        <f>IFERROR(IFERROR(1-VLOOKUP('Table 6-A| Controls &amp; Limits'!$K$21,'Emission Controls'!$A$20:$L$33,9,),1)*('Table 5-A| Primary MPTE'!L86*$C20/'Table 5-A| Primary MPTE'!$E86),0)</f>
        <v>0</v>
      </c>
      <c r="K20" s="1408">
        <f>IFERROR(IFERROR(1-VLOOKUP('Table 6-A| Controls &amp; Limits'!$K$21,'Emission Controls'!$A$20:$L$33,10,),1)*('Table 5-A| Primary MPTE'!M86*$C20/'Table 5-A| Primary MPTE'!$E86),0)</f>
        <v>0</v>
      </c>
      <c r="L20" s="1408">
        <f>IFERROR(IFERROR(1-VLOOKUP('Table 6-A| Controls &amp; Limits'!$K$21,'Emission Controls'!$A$20:$L$33,11,),1)*('Table 5-A| Primary MPTE'!N86*$C20/'Table 5-A| Primary MPTE'!$E86),0)</f>
        <v>0</v>
      </c>
      <c r="M20" s="1411">
        <f ca="1">IF(AND(SUM('Table 7-D| APTE HAP'!AK29:AU29)=0,SUM('Table 7-D| APTE HAP'!AK30:AU30)=0,SUM('Table 7-D| APTE HAP'!AK31:AU31)=0),0,IF(AND(SUM('Table 7-D| APTE HAP'!AK29:AU29)&gt;SUM('Table 7-D| APTE HAP'!AK30:AU30),SUM('Table 7-D| APTE HAP'!AK29:AU29)&gt;SUM('Table 7-D| APTE HAP'!AK31:AU31)),SUM('Table 7-D| APTE HAP'!AK29:AU29),IF(AND(SUM('Table 7-D| APTE HAP'!AK30:AU30)&gt;SUM('Table 7-D| APTE HAP'!AK29:AU29),SUM('Table 7-D| APTE HAP'!AK30:AU30)&gt;SUM('Table 7-D| APTE HAP'!AK31:AU31)),SUM('Table 7-D| APTE HAP'!AK30:AU30),SUM('Table 7-D| APTE HAP'!AK31:AU31))))</f>
        <v>0</v>
      </c>
    </row>
    <row r="21" spans="1:39" ht="18" customHeight="1" x14ac:dyDescent="0.25">
      <c r="A21" s="302">
        <f>IF('Table 3-A| Emission Units'!$B38=0,0,'Table 3-A| Emission Units'!$A38&amp;"-"&amp;'Table 3-A| Emission Units'!$B38)</f>
        <v>0</v>
      </c>
      <c r="B21" s="303">
        <f ca="1">'Table 3-A| Emission Units'!$C38</f>
        <v>0</v>
      </c>
      <c r="C21" s="1415"/>
      <c r="D21" s="1418"/>
      <c r="E21" s="1421">
        <f>IFERROR(IFERROR(1-VLOOKUP('Table 6-A| Controls &amp; Limits'!$K$21,'Emission Controls'!$A$20:$L$33,4,),1)*'Table 5-A| Primary MPTE'!G87*($C21/'Table 5-A| Primary MPTE'!$E87),0)</f>
        <v>0</v>
      </c>
      <c r="F21" s="1409">
        <f>IFERROR(IFERROR(1-VLOOKUP('Table 6-A| Controls &amp; Limits'!$K$21,'Emission Controls'!$A$20:$L$33,5,),1)*'Table 5-A| Primary MPTE'!H87*($C21/'Table 5-A| Primary MPTE'!$E87),0)</f>
        <v>0</v>
      </c>
      <c r="G21" s="1409">
        <f>IFERROR(IFERROR(1-VLOOKUP('Table 6-A| Controls &amp; Limits'!$K$21,'Emission Controls'!$A$20:$L$33,6,),1)*('Table 5-A| Primary MPTE'!I87*$C21/'Table 5-A| Primary MPTE'!$E87),0)</f>
        <v>0</v>
      </c>
      <c r="H21" s="1409">
        <f>IFERROR(IFERROR(1-VLOOKUP('Table 6-A| Controls &amp; Limits'!$K$21,'Emission Controls'!$A$20:$L$33,7,),1)*('Table 5-A| Primary MPTE'!J87*$C21/'Table 5-A| Primary MPTE'!$E87),0)</f>
        <v>0</v>
      </c>
      <c r="I21" s="1409">
        <f>IFERROR(IFERROR(1-VLOOKUP('Table 6-A| Controls &amp; Limits'!$K$21,'Emission Controls'!$A$20:$L$33,8,),1)*('Table 5-A| Primary MPTE'!K87*$C21/'Table 5-A| Primary MPTE'!$E87),0)</f>
        <v>0</v>
      </c>
      <c r="J21" s="1409">
        <f>IFERROR(IFERROR(1-VLOOKUP('Table 6-A| Controls &amp; Limits'!$K$21,'Emission Controls'!$A$20:$L$33,9,),1)*('Table 5-A| Primary MPTE'!L87*$C21/'Table 5-A| Primary MPTE'!$E87),0)</f>
        <v>0</v>
      </c>
      <c r="K21" s="1409">
        <f>IFERROR(IFERROR(1-VLOOKUP('Table 6-A| Controls &amp; Limits'!$K$21,'Emission Controls'!$A$20:$L$33,10,),1)*('Table 5-A| Primary MPTE'!M87*$C21/'Table 5-A| Primary MPTE'!$E87),0)</f>
        <v>0</v>
      </c>
      <c r="L21" s="1409">
        <f>IFERROR(IFERROR(1-VLOOKUP('Table 6-A| Controls &amp; Limits'!$K$21,'Emission Controls'!$A$20:$L$33,11,),1)*('Table 5-A| Primary MPTE'!N87*$C21/'Table 5-A| Primary MPTE'!$E87),0)</f>
        <v>0</v>
      </c>
      <c r="M21" s="1412">
        <f>IFERROR(IFERROR(1-VLOOKUP('Table 6-A| Controls &amp; Limits'!$K$21,'Emission Controls'!$A$20:$L$33,12,),1)*('Table 5-A| Primary MPTE'!O87*$C21/'Table 5-A| Primary MPTE'!$E87),0)</f>
        <v>0</v>
      </c>
    </row>
    <row r="22" spans="1:39" ht="18" customHeight="1" x14ac:dyDescent="0.25">
      <c r="A22" s="302">
        <f>IF('Table 3-A| Emission Units'!$B39=0,0,'Table 3-A| Emission Units'!$A39&amp;"-"&amp;'Table 3-A| Emission Units'!$B39)</f>
        <v>0</v>
      </c>
      <c r="B22" s="303">
        <f ca="1">'Table 3-A| Emission Units'!$C39</f>
        <v>0</v>
      </c>
      <c r="C22" s="1416"/>
      <c r="D22" s="1419"/>
      <c r="E22" s="1422">
        <f>IFERROR(IFERROR(1-VLOOKUP('Table 6-A| Controls &amp; Limits'!$K$21,'Emission Controls'!$A$20:$L$33,4,),1)*'Table 5-A| Primary MPTE'!G88*($C22/'Table 5-A| Primary MPTE'!$E88),0)</f>
        <v>0</v>
      </c>
      <c r="F22" s="1410">
        <f>IFERROR(IFERROR(1-VLOOKUP('Table 6-A| Controls &amp; Limits'!$K$21,'Emission Controls'!$A$20:$L$33,5,),1)*'Table 5-A| Primary MPTE'!H88*($C22/'Table 5-A| Primary MPTE'!$E88),0)</f>
        <v>0</v>
      </c>
      <c r="G22" s="1410">
        <f>IFERROR(IFERROR(1-VLOOKUP('Table 6-A| Controls &amp; Limits'!$K$21,'Emission Controls'!$A$20:$L$33,6,),1)*('Table 5-A| Primary MPTE'!I88*$C22/'Table 5-A| Primary MPTE'!$E88),0)</f>
        <v>0</v>
      </c>
      <c r="H22" s="1410">
        <f>IFERROR(IFERROR(1-VLOOKUP('Table 6-A| Controls &amp; Limits'!$K$21,'Emission Controls'!$A$20:$L$33,7,),1)*('Table 5-A| Primary MPTE'!J88*$C22/'Table 5-A| Primary MPTE'!$E88),0)</f>
        <v>0</v>
      </c>
      <c r="I22" s="1410">
        <f>IFERROR(IFERROR(1-VLOOKUP('Table 6-A| Controls &amp; Limits'!$K$21,'Emission Controls'!$A$20:$L$33,8,),1)*('Table 5-A| Primary MPTE'!K88*$C22/'Table 5-A| Primary MPTE'!$E88),0)</f>
        <v>0</v>
      </c>
      <c r="J22" s="1410">
        <f>IFERROR(IFERROR(1-VLOOKUP('Table 6-A| Controls &amp; Limits'!$K$21,'Emission Controls'!$A$20:$L$33,9,),1)*('Table 5-A| Primary MPTE'!L88*$C22/'Table 5-A| Primary MPTE'!$E88),0)</f>
        <v>0</v>
      </c>
      <c r="K22" s="1410">
        <f>IFERROR(IFERROR(1-VLOOKUP('Table 6-A| Controls &amp; Limits'!$K$21,'Emission Controls'!$A$20:$L$33,10,),1)*('Table 5-A| Primary MPTE'!M88*$C22/'Table 5-A| Primary MPTE'!$E88),0)</f>
        <v>0</v>
      </c>
      <c r="L22" s="1410">
        <f>IFERROR(IFERROR(1-VLOOKUP('Table 6-A| Controls &amp; Limits'!$K$21,'Emission Controls'!$A$20:$L$33,11,),1)*('Table 5-A| Primary MPTE'!N88*$C22/'Table 5-A| Primary MPTE'!$E88),0)</f>
        <v>0</v>
      </c>
      <c r="M22" s="1413">
        <f>IFERROR(IFERROR(1-VLOOKUP('Table 6-A| Controls &amp; Limits'!$K$21,'Emission Controls'!$A$20:$L$33,12,),1)*('Table 5-A| Primary MPTE'!O88*$C22/'Table 5-A| Primary MPTE'!$E88),0)</f>
        <v>0</v>
      </c>
    </row>
    <row r="23" spans="1:39" ht="18" customHeight="1" x14ac:dyDescent="0.25">
      <c r="A23" s="302">
        <f>IF('Table 3-A| Emission Units'!$B40=0,0,'Table 3-A| Emission Units'!$A40&amp;"-"&amp;'Table 3-A| Emission Units'!$B40)</f>
        <v>0</v>
      </c>
      <c r="B23" s="303">
        <f>'Table 3-A| Emission Units'!$C40</f>
        <v>30500213</v>
      </c>
      <c r="C23" s="305">
        <f>IF($A23=0,0,IF('Table 6-A| Controls &amp; Limits'!$C$21="Yes",('Table 5-A| Primary MPTE'!$E89*('Table 6-A| Controls &amp; Limits'!$E$21/'Table 6-A| Controls &amp; Limits'!$D$21)),'Table 5-A| Primary MPTE'!$E89))</f>
        <v>0</v>
      </c>
      <c r="D23" s="386" t="str">
        <f>'Table 5-A| Primary MPTE'!$D89</f>
        <v/>
      </c>
      <c r="E23" s="387">
        <f>IFERROR(IFERROR(1-VLOOKUP('Table 6-A| Controls &amp; Limits'!$K$21,'Emission Controls'!$A$20:$L$33,4,),1)*'Table 5-A| Primary MPTE'!G89*($C23/'Table 5-A| Primary MPTE'!$E89),0)</f>
        <v>0</v>
      </c>
      <c r="F23" s="388">
        <f>IFERROR(IFERROR(1-VLOOKUP('Table 6-A| Controls &amp; Limits'!$K$21,'Emission Controls'!$A$20:$L$33,5,),1)*'Table 5-A| Primary MPTE'!H89*($C23/'Table 5-A| Primary MPTE'!$E89),0)</f>
        <v>0</v>
      </c>
      <c r="G23" s="388">
        <f>IFERROR(IFERROR(1-VLOOKUP('Table 6-A| Controls &amp; Limits'!$K$21,'Emission Controls'!$A$20:$L$33,6,),1)*('Table 5-A| Primary MPTE'!I89*$C23/'Table 5-A| Primary MPTE'!$E89),0)</f>
        <v>0</v>
      </c>
      <c r="H23" s="388">
        <f>IFERROR(IFERROR(1-VLOOKUP('Table 6-A| Controls &amp; Limits'!$K$21,'Emission Controls'!$A$20:$L$33,7,),1)*('Table 5-A| Primary MPTE'!J89*$C23/'Table 5-A| Primary MPTE'!$E89),0)</f>
        <v>0</v>
      </c>
      <c r="I23" s="388">
        <f>IFERROR(IFERROR(1-VLOOKUP('Table 6-A| Controls &amp; Limits'!$K$21,'Emission Controls'!$A$20:$L$33,8,),1)*('Table 5-A| Primary MPTE'!K89*$C23/'Table 5-A| Primary MPTE'!$E89),0)</f>
        <v>0</v>
      </c>
      <c r="J23" s="388">
        <f>IFERROR(IFERROR(1-VLOOKUP('Table 6-A| Controls &amp; Limits'!$K$21,'Emission Controls'!$A$20:$L$33,9,),1)*('Table 5-A| Primary MPTE'!L89*$C23/'Table 5-A| Primary MPTE'!$E89),0)</f>
        <v>0</v>
      </c>
      <c r="K23" s="388">
        <f>IFERROR(IFERROR(1-VLOOKUP('Table 6-A| Controls &amp; Limits'!$K$21,'Emission Controls'!$A$20:$L$33,10,),1)*('Table 5-A| Primary MPTE'!M89*$C23/'Table 5-A| Primary MPTE'!$E89),0)</f>
        <v>0</v>
      </c>
      <c r="L23" s="388">
        <f>IFERROR(IFERROR(1-VLOOKUP('Table 6-A| Controls &amp; Limits'!$K$21,'Emission Controls'!$A$20:$L$33,11,),1)*('Table 5-A| Primary MPTE'!N89*$C23/'Table 5-A| Primary MPTE'!$E89),0)</f>
        <v>0</v>
      </c>
      <c r="M23" s="389">
        <f>IFERROR(IFERROR(1-VLOOKUP('Table 6-A| Controls &amp; Limits'!$K$21,'Emission Controls'!$A$20:$L$33,12,),1)*('Table 5-A| Primary MPTE'!O89*$C23/'Table 5-A| Primary MPTE'!$E89),0)</f>
        <v>0</v>
      </c>
    </row>
    <row r="24" spans="1:39" ht="18" customHeight="1" x14ac:dyDescent="0.25">
      <c r="A24" s="302">
        <f>IF('Table 3-A| Emission Units'!$B41=0,0,'Table 3-A| Emission Units'!$A41&amp;"-"&amp;'Table 3-A| Emission Units'!$B41)</f>
        <v>0</v>
      </c>
      <c r="B24" s="303">
        <f>'Table 3-A| Emission Units'!$C41</f>
        <v>30500214</v>
      </c>
      <c r="C24" s="305">
        <f>IF($A24=0,0,IF('Table 6-A| Controls &amp; Limits'!$C$21="Yes",('Table 5-A| Primary MPTE'!$E90*('Table 6-A| Controls &amp; Limits'!$E$21/'Table 6-A| Controls &amp; Limits'!$D$21)),'Table 5-A| Primary MPTE'!$E90))</f>
        <v>0</v>
      </c>
      <c r="D24" s="386" t="str">
        <f>'Table 5-A| Primary MPTE'!$D90</f>
        <v/>
      </c>
      <c r="E24" s="387">
        <f>IFERROR(IFERROR(1-VLOOKUP('Table 6-A| Controls &amp; Limits'!$K$21,'Emission Controls'!$A$20:$L$33,4,),1)*'Table 5-A| Primary MPTE'!G90*($C24/'Table 5-A| Primary MPTE'!$E90),0)</f>
        <v>0</v>
      </c>
      <c r="F24" s="388">
        <f>IFERROR(IFERROR(1-VLOOKUP('Table 6-A| Controls &amp; Limits'!$K$21,'Emission Controls'!$A$20:$L$33,5,),1)*'Table 5-A| Primary MPTE'!H90*($C24/'Table 5-A| Primary MPTE'!$E90),0)</f>
        <v>0</v>
      </c>
      <c r="G24" s="388">
        <f>IFERROR(IFERROR(1-VLOOKUP('Table 6-A| Controls &amp; Limits'!$K$21,'Emission Controls'!$A$20:$L$33,6,),1)*('Table 5-A| Primary MPTE'!I90*$C24/'Table 5-A| Primary MPTE'!$E90),0)</f>
        <v>0</v>
      </c>
      <c r="H24" s="388">
        <f>IFERROR(IFERROR(1-VLOOKUP('Table 6-A| Controls &amp; Limits'!$K$21,'Emission Controls'!$A$20:$L$33,7,),1)*('Table 5-A| Primary MPTE'!J90*$C24/'Table 5-A| Primary MPTE'!$E90),0)</f>
        <v>0</v>
      </c>
      <c r="I24" s="388">
        <f>IFERROR(IFERROR(1-VLOOKUP('Table 6-A| Controls &amp; Limits'!$K$21,'Emission Controls'!$A$20:$L$33,8,),1)*('Table 5-A| Primary MPTE'!K90*$C24/'Table 5-A| Primary MPTE'!$E90),0)</f>
        <v>0</v>
      </c>
      <c r="J24" s="388">
        <f>IFERROR(IFERROR(1-VLOOKUP('Table 6-A| Controls &amp; Limits'!$K$21,'Emission Controls'!$A$20:$L$33,9,),1)*('Table 5-A| Primary MPTE'!L90*$C24/'Table 5-A| Primary MPTE'!$E90),0)</f>
        <v>0</v>
      </c>
      <c r="K24" s="388">
        <f>IFERROR(IFERROR(1-VLOOKUP('Table 6-A| Controls &amp; Limits'!$K$21,'Emission Controls'!$A$20:$L$33,10,),1)*('Table 5-A| Primary MPTE'!M90*$C24/'Table 5-A| Primary MPTE'!$E90),0)</f>
        <v>0</v>
      </c>
      <c r="L24" s="388">
        <f>IFERROR(IFERROR(1-VLOOKUP('Table 6-A| Controls &amp; Limits'!$K$21,'Emission Controls'!$A$20:$L$33,11,),1)*('Table 5-A| Primary MPTE'!N90*$C24/'Table 5-A| Primary MPTE'!$E90),0)</f>
        <v>0</v>
      </c>
      <c r="M24" s="389">
        <f>IFERROR(IFERROR(1-VLOOKUP('Table 6-A| Controls &amp; Limits'!$K$21,'Emission Controls'!$A$20:$L$33,12,),1)*('Table 5-A| Primary MPTE'!O90*$C24/'Table 5-A| Primary MPTE'!$E90),0)</f>
        <v>0</v>
      </c>
      <c r="S24" s="1450" t="s">
        <v>2217</v>
      </c>
      <c r="T24" s="1451"/>
      <c r="U24" s="1451"/>
      <c r="V24" s="1451"/>
      <c r="W24" s="1451"/>
      <c r="X24" s="1452"/>
      <c r="Y24" s="1450" t="s">
        <v>2218</v>
      </c>
      <c r="Z24" s="1451"/>
      <c r="AA24" s="1451"/>
      <c r="AB24" s="1451"/>
      <c r="AC24" s="1451"/>
      <c r="AD24" s="1452"/>
    </row>
    <row r="25" spans="1:39" ht="18" customHeight="1" thickBot="1" x14ac:dyDescent="0.3">
      <c r="A25" s="309">
        <f>IF('Table 3-A| Emission Units'!$B42=0,0,'Table 3-A| Emission Units'!$A42&amp;"-"&amp;'Table 3-A| Emission Units'!$B42)</f>
        <v>0</v>
      </c>
      <c r="B25" s="310">
        <f>'Table 3-A| Emission Units'!$C42</f>
        <v>30500270</v>
      </c>
      <c r="C25" s="312">
        <f>IF($A25=0,0,IF('Table 6-A| Controls &amp; Limits'!$C$21="Yes",('Table 5-A| Primary MPTE'!$E91*('Table 6-A| Controls &amp; Limits'!$E$21/'Table 6-A| Controls &amp; Limits'!$D$21)),'Table 5-A| Primary MPTE'!$E91))</f>
        <v>0</v>
      </c>
      <c r="D25" s="390" t="str">
        <f>'Table 5-A| Primary MPTE'!$D91</f>
        <v/>
      </c>
      <c r="E25" s="391">
        <f>IFERROR(IFERROR(1-VLOOKUP('Table 6-A| Controls &amp; Limits'!$K$21,'Emission Controls'!$A$20:$L$33,4,),1)*'Table 5-A| Primary MPTE'!G91*($C25/'Table 5-A| Primary MPTE'!$E91),0)</f>
        <v>0</v>
      </c>
      <c r="F25" s="392">
        <f>IFERROR(IFERROR(1-VLOOKUP('Table 6-A| Controls &amp; Limits'!$K$21,'Emission Controls'!$A$20:$L$33,5,),1)*'Table 5-A| Primary MPTE'!H91*($C25/'Table 5-A| Primary MPTE'!$E91),0)</f>
        <v>0</v>
      </c>
      <c r="G25" s="392">
        <f>IFERROR(IFERROR(1-VLOOKUP('Table 6-A| Controls &amp; Limits'!$K$21,'Emission Controls'!$A$20:$L$33,6,),1)*('Table 5-A| Primary MPTE'!I91*$C25/'Table 5-A| Primary MPTE'!$E91),0)</f>
        <v>0</v>
      </c>
      <c r="H25" s="392">
        <f>IFERROR(IFERROR(1-VLOOKUP('Table 6-A| Controls &amp; Limits'!$K$21,'Emission Controls'!$A$20:$L$33,7,),1)*('Table 5-A| Primary MPTE'!J91*$C25/'Table 5-A| Primary MPTE'!$E91),0)</f>
        <v>0</v>
      </c>
      <c r="I25" s="392">
        <f>IFERROR(IFERROR(1-VLOOKUP('Table 6-A| Controls &amp; Limits'!$K$21,'Emission Controls'!$A$20:$L$33,8,),1)*('Table 5-A| Primary MPTE'!K91*$C25/'Table 5-A| Primary MPTE'!$E91),0)</f>
        <v>0</v>
      </c>
      <c r="J25" s="392">
        <f>IFERROR(IFERROR(1-VLOOKUP('Table 6-A| Controls &amp; Limits'!$K$21,'Emission Controls'!$A$20:$L$33,9,),1)*('Table 5-A| Primary MPTE'!L91*$C25/'Table 5-A| Primary MPTE'!$E91),0)</f>
        <v>0</v>
      </c>
      <c r="K25" s="392">
        <f>IFERROR(IFERROR(1-VLOOKUP('Table 6-A| Controls &amp; Limits'!$K$21,'Emission Controls'!$A$20:$L$33,10,),1)*('Table 5-A| Primary MPTE'!M91*$C25/'Table 5-A| Primary MPTE'!$E91),0)</f>
        <v>0</v>
      </c>
      <c r="L25" s="392">
        <f>IFERROR(IFERROR(1-VLOOKUP('Table 6-A| Controls &amp; Limits'!$K$21,'Emission Controls'!$A$20:$L$33,11,),1)*('Table 5-A| Primary MPTE'!N91*$C25/'Table 5-A| Primary MPTE'!$E91),0)</f>
        <v>0</v>
      </c>
      <c r="M25" s="393">
        <f>IFERROR(IFERROR(1-VLOOKUP('Table 6-A| Controls &amp; Limits'!$K$21,'Emission Controls'!$A$20:$L$33,12,),1)*('Table 5-A| Primary MPTE'!O91*$C25/'Table 5-A| Primary MPTE'!$E91),0)</f>
        <v>0</v>
      </c>
      <c r="S25" s="539" t="s">
        <v>2219</v>
      </c>
      <c r="T25" s="539" t="s">
        <v>2220</v>
      </c>
      <c r="U25" s="539" t="s">
        <v>2221</v>
      </c>
      <c r="V25" s="539" t="s">
        <v>2222</v>
      </c>
      <c r="W25" s="539" t="s">
        <v>2223</v>
      </c>
      <c r="X25" s="539" t="s">
        <v>2224</v>
      </c>
      <c r="Y25" s="539" t="s">
        <v>2219</v>
      </c>
      <c r="Z25" s="539" t="s">
        <v>2220</v>
      </c>
      <c r="AA25" s="539" t="s">
        <v>2221</v>
      </c>
      <c r="AB25" s="539" t="s">
        <v>2222</v>
      </c>
      <c r="AC25" s="539" t="s">
        <v>2223</v>
      </c>
      <c r="AD25" s="539" t="s">
        <v>2224</v>
      </c>
      <c r="AF25" s="64" t="s">
        <v>2227</v>
      </c>
      <c r="AG25" s="64"/>
      <c r="AH25" s="64"/>
      <c r="AI25" s="64"/>
      <c r="AJ25" s="64"/>
      <c r="AK25" s="124"/>
      <c r="AL25" s="124"/>
      <c r="AM25" s="124"/>
    </row>
    <row r="26" spans="1:39" ht="18" customHeight="1" x14ac:dyDescent="0.25">
      <c r="A26" s="633">
        <f>IF('Table 3-A| Emission Units'!$B43=0,0,'Table 3-A| Emission Units'!$A43&amp;"-"&amp;'Table 3-A| Emission Units'!$B43)</f>
        <v>0</v>
      </c>
      <c r="B26" s="628">
        <f>'Table 3-A| Emission Units'!$C43</f>
        <v>30502031</v>
      </c>
      <c r="C26" s="635">
        <f>IF($A26=0,0,IF('Table 6-A| Controls &amp; Limits'!$C$22="Yes",('Table 5-A| Primary MPTE'!$E92*('Table 6-A| Controls &amp; Limits'!$E$22/'Table 6-A| Controls &amp; Limits'!$D$22)),'Table 5-A| Primary MPTE'!$E92))</f>
        <v>0</v>
      </c>
      <c r="D26" s="627" t="str">
        <f>'Table 5-A| Primary MPTE'!$D92</f>
        <v/>
      </c>
      <c r="E26" s="636">
        <f>IFERROR(IFERROR(1-VLOOKUP('Table 6-A| Controls &amp; Limits'!$K$21,'Emission Controls'!$A$20:$L$33,4,),1)*'Table 5-A| Primary MPTE'!G92*($C26/'Table 5-A| Primary MPTE'!$E92),0)</f>
        <v>0</v>
      </c>
      <c r="F26" s="637">
        <f>IFERROR(IFERROR(1-VLOOKUP('Table 6-A| Controls &amp; Limits'!$K$21,'Emission Controls'!$A$20:$L$33,5,),1)*'Table 5-A| Primary MPTE'!H92*($C26/'Table 5-A| Primary MPTE'!$E92),0)</f>
        <v>0</v>
      </c>
      <c r="G26" s="637">
        <f>IFERROR(IFERROR(1-VLOOKUP('Table 6-A| Controls &amp; Limits'!$K$21,'Emission Controls'!$A$20:$L$33,6,),1)*('Table 5-A| Primary MPTE'!I92*$C26/'Table 5-A| Primary MPTE'!$E92),0)</f>
        <v>0</v>
      </c>
      <c r="H26" s="637">
        <f>IFERROR(IFERROR(1-VLOOKUP('Table 6-A| Controls &amp; Limits'!$K$21,'Emission Controls'!$A$20:$L$33,7,),1)*('Table 5-A| Primary MPTE'!J92*$C26/'Table 5-A| Primary MPTE'!$E92),0)</f>
        <v>0</v>
      </c>
      <c r="I26" s="637">
        <f>IFERROR(IFERROR(1-VLOOKUP('Table 6-A| Controls &amp; Limits'!$K$21,'Emission Controls'!$A$20:$L$33,8,),1)*('Table 5-A| Primary MPTE'!K92*$C26/'Table 5-A| Primary MPTE'!$E92),0)</f>
        <v>0</v>
      </c>
      <c r="J26" s="637">
        <f>IFERROR(IFERROR(1-VLOOKUP('Table 6-A| Controls &amp; Limits'!$K$21,'Emission Controls'!$A$20:$L$33,9,),1)*('Table 5-A| Primary MPTE'!L92*$C26/'Table 5-A| Primary MPTE'!$E92),0)</f>
        <v>0</v>
      </c>
      <c r="K26" s="637">
        <f>IFERROR(IFERROR(1-VLOOKUP('Table 6-A| Controls &amp; Limits'!$K$21,'Emission Controls'!$A$20:$L$33,10,),1)*('Table 5-A| Primary MPTE'!M92*$C26/'Table 5-A| Primary MPTE'!$E92),0)</f>
        <v>0</v>
      </c>
      <c r="L26" s="637">
        <f>IFERROR(IFERROR(1-VLOOKUP('Table 6-A| Controls &amp; Limits'!$K$21,'Emission Controls'!$A$20:$L$33,11,),1)*('Table 5-A| Primary MPTE'!N92*$C26/'Table 5-A| Primary MPTE'!$E92),0)</f>
        <v>0</v>
      </c>
      <c r="M26" s="638">
        <f>IFERROR(IFERROR(1-VLOOKUP('Table 6-A| Controls &amp; Limits'!$K$21,'Emission Controls'!$A$20:$L$33,12,),1)*('Table 5-A| Primary MPTE'!O92*$C26/'Table 5-A| Primary MPTE'!$E92),0)</f>
        <v>0</v>
      </c>
      <c r="Q26" s="1449" t="s">
        <v>2294</v>
      </c>
      <c r="R26" s="1385"/>
      <c r="S26" s="593">
        <f>IFERROR('Table 5-A| Primary MPTE'!$AE121*($C$24/'Table 5-A| Primary MPTE'!$E$90),0)</f>
        <v>0</v>
      </c>
      <c r="T26" s="593">
        <f>IFERROR('Table 5-A| Primary MPTE'!$AF121*($C$37/'Table 5-A| Primary MPTE'!$E$103),0)</f>
        <v>0</v>
      </c>
      <c r="U26" s="593">
        <f>IFERROR('Table 5-A| Primary MPTE'!$AG121*($C$50/'Table 5-A| Primary MPTE'!$E$116),0)</f>
        <v>0</v>
      </c>
      <c r="V26" s="712">
        <f t="shared" ref="V26:X31" si="0">S26</f>
        <v>0</v>
      </c>
      <c r="W26" s="712">
        <f t="shared" si="0"/>
        <v>0</v>
      </c>
      <c r="X26" s="712">
        <f t="shared" si="0"/>
        <v>0</v>
      </c>
      <c r="Y26" s="713"/>
      <c r="Z26" s="713"/>
      <c r="AA26" s="713"/>
      <c r="AB26" s="713"/>
      <c r="AC26" s="713"/>
      <c r="AD26" s="713"/>
      <c r="AF26" s="64"/>
      <c r="AG26" s="64"/>
      <c r="AH26" s="64"/>
      <c r="AI26" s="64"/>
      <c r="AJ26" s="64" t="s">
        <v>2228</v>
      </c>
      <c r="AK26" s="124"/>
      <c r="AL26" s="124"/>
      <c r="AM26" s="124"/>
    </row>
    <row r="27" spans="1:39" ht="18" customHeight="1" x14ac:dyDescent="0.25">
      <c r="A27" s="302">
        <f>IF('Table 3-A| Emission Units'!$B44=0,0,'Table 3-A| Emission Units'!$A44&amp;"-"&amp;'Table 3-A| Emission Units'!$B44)</f>
        <v>0</v>
      </c>
      <c r="B27" s="303">
        <f>'Table 3-A| Emission Units'!$C44</f>
        <v>30501123</v>
      </c>
      <c r="C27" s="305">
        <f>IF($A27=0,0,IF('Table 6-A| Controls &amp; Limits'!$C$22="Yes",('Table 5-A| Primary MPTE'!$E93*('Table 6-A| Controls &amp; Limits'!$E$22/'Table 6-A| Controls &amp; Limits'!$D$22)),'Table 5-A| Primary MPTE'!$E93))</f>
        <v>0</v>
      </c>
      <c r="D27" s="386" t="str">
        <f>'Table 5-A| Primary MPTE'!$D93</f>
        <v/>
      </c>
      <c r="E27" s="387">
        <f>IFERROR(IFERROR(1-VLOOKUP('Table 6-A| Controls &amp; Limits'!$K$21,'Emission Controls'!$A$20:$L$33,4,),1)*'Table 5-A| Primary MPTE'!G93*($C27/'Table 5-A| Primary MPTE'!$E93),0)</f>
        <v>0</v>
      </c>
      <c r="F27" s="388">
        <f>IFERROR(IFERROR(1-VLOOKUP('Table 6-A| Controls &amp; Limits'!$K$21,'Emission Controls'!$A$20:$L$33,5,),1)*'Table 5-A| Primary MPTE'!H93*($C27/'Table 5-A| Primary MPTE'!$E93),0)</f>
        <v>0</v>
      </c>
      <c r="G27" s="388">
        <f>IFERROR(IFERROR(1-VLOOKUP('Table 6-A| Controls &amp; Limits'!$K$21,'Emission Controls'!$A$20:$L$33,6,),1)*('Table 5-A| Primary MPTE'!I93*$C27/'Table 5-A| Primary MPTE'!$E93),0)</f>
        <v>0</v>
      </c>
      <c r="H27" s="388">
        <f>IFERROR(IFERROR(1-VLOOKUP('Table 6-A| Controls &amp; Limits'!$K$21,'Emission Controls'!$A$20:$L$33,7,),1)*('Table 5-A| Primary MPTE'!J93*$C27/'Table 5-A| Primary MPTE'!$E93),0)</f>
        <v>0</v>
      </c>
      <c r="I27" s="388">
        <f>IFERROR(IFERROR(1-VLOOKUP('Table 6-A| Controls &amp; Limits'!$K$21,'Emission Controls'!$A$20:$L$33,8,),1)*('Table 5-A| Primary MPTE'!K93*$C27/'Table 5-A| Primary MPTE'!$E93),0)</f>
        <v>0</v>
      </c>
      <c r="J27" s="388">
        <f>IFERROR(IFERROR(1-VLOOKUP('Table 6-A| Controls &amp; Limits'!$K$21,'Emission Controls'!$A$20:$L$33,9,),1)*('Table 5-A| Primary MPTE'!L93*$C27/'Table 5-A| Primary MPTE'!$E93),0)</f>
        <v>0</v>
      </c>
      <c r="K27" s="388">
        <f>IFERROR(IFERROR(1-VLOOKUP('Table 6-A| Controls &amp; Limits'!$K$21,'Emission Controls'!$A$20:$L$33,10,),1)*('Table 5-A| Primary MPTE'!M93*$C27/'Table 5-A| Primary MPTE'!$E93),0)</f>
        <v>0</v>
      </c>
      <c r="L27" s="388">
        <f>IFERROR(IFERROR(1-VLOOKUP('Table 6-A| Controls &amp; Limits'!$K$21,'Emission Controls'!$A$20:$L$33,11,),1)*('Table 5-A| Primary MPTE'!N93*$C27/'Table 5-A| Primary MPTE'!$E93),0)</f>
        <v>0</v>
      </c>
      <c r="M27" s="389">
        <f>IFERROR(IFERROR(1-VLOOKUP('Table 6-A| Controls &amp; Limits'!$K$21,'Emission Controls'!$A$20:$L$33,12,),1)*('Table 5-A| Primary MPTE'!O93*$C27/'Table 5-A| Primary MPTE'!$E93),0)</f>
        <v>0</v>
      </c>
      <c r="Q27" s="1449" t="s">
        <v>2295</v>
      </c>
      <c r="R27" s="1385"/>
      <c r="S27" s="593">
        <f>IFERROR('Table 5-A| Primary MPTE'!$AE122*($C$24/'Table 5-A| Primary MPTE'!$E$90),0)</f>
        <v>0</v>
      </c>
      <c r="T27" s="593">
        <f>IFERROR('Table 5-A| Primary MPTE'!$AF122*($C$37/'Table 5-A| Primary MPTE'!$E$103),0)</f>
        <v>0</v>
      </c>
      <c r="U27" s="593">
        <f>IFERROR('Table 5-A| Primary MPTE'!$AG122*($C$50/'Table 5-A| Primary MPTE'!$E$116),0)</f>
        <v>0</v>
      </c>
      <c r="V27" s="712">
        <f t="shared" si="0"/>
        <v>0</v>
      </c>
      <c r="W27" s="712">
        <f t="shared" si="0"/>
        <v>0</v>
      </c>
      <c r="X27" s="712">
        <f t="shared" si="0"/>
        <v>0</v>
      </c>
      <c r="Y27" s="713"/>
      <c r="Z27" s="713"/>
      <c r="AA27" s="713"/>
      <c r="AB27" s="713"/>
      <c r="AC27" s="713"/>
      <c r="AD27" s="713"/>
      <c r="AF27" s="659" t="s">
        <v>2229</v>
      </c>
      <c r="AG27" s="660"/>
      <c r="AH27" s="660"/>
      <c r="AI27" s="660"/>
      <c r="AJ27" s="660"/>
      <c r="AK27" s="661"/>
      <c r="AL27" s="661"/>
      <c r="AM27" s="661"/>
    </row>
    <row r="28" spans="1:39" ht="18" customHeight="1" x14ac:dyDescent="0.25">
      <c r="A28" s="633">
        <f>IF('Table 3-A| Emission Units'!$B45=0,0,'Table 3-A| Emission Units'!$A45&amp;"-"&amp;'Table 3-A| Emission Units'!$B45)</f>
        <v>0</v>
      </c>
      <c r="B28" s="628">
        <f>'Table 3-A| Emission Units'!$C45</f>
        <v>30501123</v>
      </c>
      <c r="C28" s="635">
        <f>IF($A28=0,0,IF('Table 6-A| Controls &amp; Limits'!$C$22="Yes",('Table 5-A| Primary MPTE'!$E94*('Table 6-A| Controls &amp; Limits'!$E$22/'Table 6-A| Controls &amp; Limits'!$D$22)),'Table 5-A| Primary MPTE'!$E94))</f>
        <v>0</v>
      </c>
      <c r="D28" s="627" t="str">
        <f>'Table 5-A| Primary MPTE'!$D94</f>
        <v/>
      </c>
      <c r="E28" s="636">
        <f>IFERROR(IFERROR(1-VLOOKUP('Table 6-A| Controls &amp; Limits'!$K$21,'Emission Controls'!$A$20:$L$33,4,),1)*'Table 5-A| Primary MPTE'!G94*($C28/'Table 5-A| Primary MPTE'!$E94),0)</f>
        <v>0</v>
      </c>
      <c r="F28" s="637">
        <f>IFERROR(IFERROR(1-VLOOKUP('Table 6-A| Controls &amp; Limits'!$K$21,'Emission Controls'!$A$20:$L$33,5,),1)*'Table 5-A| Primary MPTE'!H94*($C28/'Table 5-A| Primary MPTE'!$E94),0)</f>
        <v>0</v>
      </c>
      <c r="G28" s="637">
        <f>IFERROR(IFERROR(1-VLOOKUP('Table 6-A| Controls &amp; Limits'!$K$21,'Emission Controls'!$A$20:$L$33,6,),1)*('Table 5-A| Primary MPTE'!I94*$C28/'Table 5-A| Primary MPTE'!$E94),0)</f>
        <v>0</v>
      </c>
      <c r="H28" s="637">
        <f>IFERROR(IFERROR(1-VLOOKUP('Table 6-A| Controls &amp; Limits'!$K$21,'Emission Controls'!$A$20:$L$33,7,),1)*('Table 5-A| Primary MPTE'!J94*$C28/'Table 5-A| Primary MPTE'!$E94),0)</f>
        <v>0</v>
      </c>
      <c r="I28" s="637">
        <f>IFERROR(IFERROR(1-VLOOKUP('Table 6-A| Controls &amp; Limits'!$K$21,'Emission Controls'!$A$20:$L$33,8,),1)*('Table 5-A| Primary MPTE'!K94*$C28/'Table 5-A| Primary MPTE'!$E94),0)</f>
        <v>0</v>
      </c>
      <c r="J28" s="637">
        <f>IFERROR(IFERROR(1-VLOOKUP('Table 6-A| Controls &amp; Limits'!$K$21,'Emission Controls'!$A$20:$L$33,9,),1)*('Table 5-A| Primary MPTE'!L94*$C28/'Table 5-A| Primary MPTE'!$E94),0)</f>
        <v>0</v>
      </c>
      <c r="K28" s="637">
        <f>IFERROR(IFERROR(1-VLOOKUP('Table 6-A| Controls &amp; Limits'!$K$21,'Emission Controls'!$A$20:$L$33,10,),1)*('Table 5-A| Primary MPTE'!M94*$C28/'Table 5-A| Primary MPTE'!$E94),0)</f>
        <v>0</v>
      </c>
      <c r="L28" s="637">
        <f>IFERROR(IFERROR(1-VLOOKUP('Table 6-A| Controls &amp; Limits'!$K$21,'Emission Controls'!$A$20:$L$33,11,),1)*('Table 5-A| Primary MPTE'!N94*$C28/'Table 5-A| Primary MPTE'!$E94),0)</f>
        <v>0</v>
      </c>
      <c r="M28" s="638">
        <f>IFERROR(IFERROR(1-VLOOKUP('Table 6-A| Controls &amp; Limits'!$K$21,'Emission Controls'!$A$20:$L$33,12,),1)*('Table 5-A| Primary MPTE'!O94*$C28/'Table 5-A| Primary MPTE'!$E94),0)</f>
        <v>0</v>
      </c>
      <c r="Q28" s="1449" t="s">
        <v>2311</v>
      </c>
      <c r="R28" s="1385"/>
      <c r="S28" s="593">
        <f>IFERROR('Table 5-A| Primary MPTE'!$AE123*($C$24/'Table 5-A| Primary MPTE'!$E$90),0)</f>
        <v>0</v>
      </c>
      <c r="T28" s="593">
        <f>IFERROR('Table 5-A| Primary MPTE'!$AF123*($C$37/'Table 5-A| Primary MPTE'!$E$103),0)</f>
        <v>0</v>
      </c>
      <c r="U28" s="593">
        <f>IFERROR('Table 5-A| Primary MPTE'!$AG123*($C$50/'Table 5-A| Primary MPTE'!$E$116),0)</f>
        <v>0</v>
      </c>
      <c r="V28" s="712">
        <f t="shared" si="0"/>
        <v>0</v>
      </c>
      <c r="W28" s="712">
        <f t="shared" si="0"/>
        <v>0</v>
      </c>
      <c r="X28" s="712">
        <f t="shared" si="0"/>
        <v>0</v>
      </c>
      <c r="Y28" s="713"/>
      <c r="Z28" s="713"/>
      <c r="AA28" s="713"/>
      <c r="AB28" s="713"/>
      <c r="AC28" s="713"/>
      <c r="AD28" s="713"/>
      <c r="AF28" s="1563" t="s">
        <v>2238</v>
      </c>
      <c r="AG28" s="1564"/>
      <c r="AH28" s="1564"/>
      <c r="AI28" s="64"/>
      <c r="AJ28" s="124"/>
      <c r="AK28" s="124"/>
      <c r="AL28" s="124"/>
      <c r="AM28" s="124"/>
    </row>
    <row r="29" spans="1:39" ht="18" customHeight="1" x14ac:dyDescent="0.25">
      <c r="A29" s="302">
        <f>IF('Table 3-A| Emission Units'!$B46=0,0,'Table 3-A| Emission Units'!$A46&amp;"-"&amp;'Table 3-A| Emission Units'!$B46)</f>
        <v>0</v>
      </c>
      <c r="B29" s="303">
        <f>'Table 3-A| Emission Units'!$C46</f>
        <v>30502032</v>
      </c>
      <c r="C29" s="305">
        <f>IF($A29=0,0,IF('Table 6-A| Controls &amp; Limits'!$C$22="Yes",('Table 5-A| Primary MPTE'!$E95*('Table 6-A| Controls &amp; Limits'!$E$22/'Table 6-A| Controls &amp; Limits'!$D$22)),'Table 5-A| Primary MPTE'!$E95))</f>
        <v>0</v>
      </c>
      <c r="D29" s="386" t="str">
        <f>'Table 5-A| Primary MPTE'!$D95</f>
        <v/>
      </c>
      <c r="E29" s="387">
        <f>IFERROR(IFERROR(1-VLOOKUP('Table 6-A| Controls &amp; Limits'!$K$21,'Emission Controls'!$A$20:$L$33,4,),1)*'Table 5-A| Primary MPTE'!G95*($C29/'Table 5-A| Primary MPTE'!$E95),0)</f>
        <v>0</v>
      </c>
      <c r="F29" s="388">
        <f>IFERROR(IFERROR(1-VLOOKUP('Table 6-A| Controls &amp; Limits'!$K$21,'Emission Controls'!$A$20:$L$33,5,),1)*'Table 5-A| Primary MPTE'!H95*($C29/'Table 5-A| Primary MPTE'!$E95),0)</f>
        <v>0</v>
      </c>
      <c r="G29" s="388">
        <f>IFERROR(IFERROR(1-VLOOKUP('Table 6-A| Controls &amp; Limits'!$K$21,'Emission Controls'!$A$20:$L$33,6,),1)*('Table 5-A| Primary MPTE'!I95*$C29/'Table 5-A| Primary MPTE'!$E95),0)</f>
        <v>0</v>
      </c>
      <c r="H29" s="388">
        <f>IFERROR(IFERROR(1-VLOOKUP('Table 6-A| Controls &amp; Limits'!$K$21,'Emission Controls'!$A$20:$L$33,7,),1)*('Table 5-A| Primary MPTE'!J95*$C29/'Table 5-A| Primary MPTE'!$E95),0)</f>
        <v>0</v>
      </c>
      <c r="I29" s="388">
        <f>IFERROR(IFERROR(1-VLOOKUP('Table 6-A| Controls &amp; Limits'!$K$21,'Emission Controls'!$A$20:$L$33,8,),1)*('Table 5-A| Primary MPTE'!K95*$C29/'Table 5-A| Primary MPTE'!$E95),0)</f>
        <v>0</v>
      </c>
      <c r="J29" s="388">
        <f>IFERROR(IFERROR(1-VLOOKUP('Table 6-A| Controls &amp; Limits'!$K$21,'Emission Controls'!$A$20:$L$33,9,),1)*('Table 5-A| Primary MPTE'!L95*$C29/'Table 5-A| Primary MPTE'!$E95),0)</f>
        <v>0</v>
      </c>
      <c r="K29" s="388">
        <f>IFERROR(IFERROR(1-VLOOKUP('Table 6-A| Controls &amp; Limits'!$K$21,'Emission Controls'!$A$20:$L$33,10,),1)*('Table 5-A| Primary MPTE'!M95*$C29/'Table 5-A| Primary MPTE'!$E95),0)</f>
        <v>0</v>
      </c>
      <c r="L29" s="388">
        <f>IFERROR(IFERROR(1-VLOOKUP('Table 6-A| Controls &amp; Limits'!$K$21,'Emission Controls'!$A$20:$L$33,11,),1)*('Table 5-A| Primary MPTE'!N95*$C29/'Table 5-A| Primary MPTE'!$E95),0)</f>
        <v>0</v>
      </c>
      <c r="M29" s="389">
        <f>IFERROR(IFERROR(1-VLOOKUP('Table 6-A| Controls &amp; Limits'!$K$21,'Emission Controls'!$A$20:$L$33,12,),1)*('Table 5-A| Primary MPTE'!O95*$C29/'Table 5-A| Primary MPTE'!$E95),0)</f>
        <v>0</v>
      </c>
      <c r="Q29" s="1449" t="s">
        <v>2312</v>
      </c>
      <c r="R29" s="1385"/>
      <c r="S29" s="593">
        <f>IFERROR('Table 5-A| Primary MPTE'!$AE124*($C$24/'Table 5-A| Primary MPTE'!$E$90),0)</f>
        <v>0</v>
      </c>
      <c r="T29" s="593">
        <f>IFERROR('Table 5-A| Primary MPTE'!$AF124*($C$37/'Table 5-A| Primary MPTE'!$E$103),0)</f>
        <v>0</v>
      </c>
      <c r="U29" s="593">
        <f>IFERROR('Table 5-A| Primary MPTE'!$AG124*($C$50/'Table 5-A| Primary MPTE'!$E$116),0)</f>
        <v>0</v>
      </c>
      <c r="V29" s="712">
        <f t="shared" si="0"/>
        <v>0</v>
      </c>
      <c r="W29" s="712">
        <f t="shared" si="0"/>
        <v>0</v>
      </c>
      <c r="X29" s="712">
        <f t="shared" si="0"/>
        <v>0</v>
      </c>
      <c r="Y29" s="713"/>
      <c r="Z29" s="713"/>
      <c r="AA29" s="713"/>
      <c r="AB29" s="713"/>
      <c r="AC29" s="713"/>
      <c r="AD29" s="713"/>
      <c r="AF29" s="1424" t="s">
        <v>2231</v>
      </c>
      <c r="AG29" s="1424"/>
      <c r="AH29" s="1424"/>
      <c r="AI29" s="66" t="s">
        <v>2202</v>
      </c>
      <c r="AJ29" s="662">
        <v>2.2000000000000001E-3</v>
      </c>
      <c r="AK29" s="663" t="s">
        <v>2232</v>
      </c>
      <c r="AL29" s="124"/>
      <c r="AM29" s="124"/>
    </row>
    <row r="30" spans="1:39" ht="18" customHeight="1" x14ac:dyDescent="0.25">
      <c r="A30" s="302">
        <f>IF('Table 3-A| Emission Units'!$B47=0,0,'Table 3-A| Emission Units'!$A47&amp;"-"&amp;'Table 3-A| Emission Units'!$B47)</f>
        <v>0</v>
      </c>
      <c r="B30" s="303">
        <f>'Table 3-A| Emission Units'!$C47</f>
        <v>30502006</v>
      </c>
      <c r="C30" s="305">
        <f>IF($A30=0,0,IF('Table 6-A| Controls &amp; Limits'!$C$22="Yes",('Table 5-A| Primary MPTE'!$E96*('Table 6-A| Controls &amp; Limits'!$E$22/'Table 6-A| Controls &amp; Limits'!$D$22)),'Table 5-A| Primary MPTE'!$E96))</f>
        <v>0</v>
      </c>
      <c r="D30" s="386" t="str">
        <f>'Table 5-A| Primary MPTE'!$D96</f>
        <v/>
      </c>
      <c r="E30" s="387">
        <f>IFERROR(IFERROR(1-VLOOKUP('Table 6-A| Controls &amp; Limits'!$K$21,'Emission Controls'!$A$20:$L$33,4,),1)*'Table 5-A| Primary MPTE'!G96*($C30/'Table 5-A| Primary MPTE'!$E96),0)</f>
        <v>0</v>
      </c>
      <c r="F30" s="388">
        <f>IFERROR(IFERROR(1-VLOOKUP('Table 6-A| Controls &amp; Limits'!$K$21,'Emission Controls'!$A$20:$L$33,5,),1)*'Table 5-A| Primary MPTE'!H96*($C30/'Table 5-A| Primary MPTE'!$E96),0)</f>
        <v>0</v>
      </c>
      <c r="G30" s="388">
        <f>IFERROR(IFERROR(1-VLOOKUP('Table 6-A| Controls &amp; Limits'!$K$21,'Emission Controls'!$A$20:$L$33,6,),1)*('Table 5-A| Primary MPTE'!I96*$C30/'Table 5-A| Primary MPTE'!$E96),0)</f>
        <v>0</v>
      </c>
      <c r="H30" s="388">
        <f>IFERROR(IFERROR(1-VLOOKUP('Table 6-A| Controls &amp; Limits'!$K$21,'Emission Controls'!$A$20:$L$33,7,),1)*('Table 5-A| Primary MPTE'!J96*$C30/'Table 5-A| Primary MPTE'!$E96),0)</f>
        <v>0</v>
      </c>
      <c r="I30" s="388">
        <f>IFERROR(IFERROR(1-VLOOKUP('Table 6-A| Controls &amp; Limits'!$K$21,'Emission Controls'!$A$20:$L$33,8,),1)*('Table 5-A| Primary MPTE'!K96*$C30/'Table 5-A| Primary MPTE'!$E96),0)</f>
        <v>0</v>
      </c>
      <c r="J30" s="388">
        <f>IFERROR(IFERROR(1-VLOOKUP('Table 6-A| Controls &amp; Limits'!$K$21,'Emission Controls'!$A$20:$L$33,9,),1)*('Table 5-A| Primary MPTE'!L96*$C30/'Table 5-A| Primary MPTE'!$E96),0)</f>
        <v>0</v>
      </c>
      <c r="K30" s="388">
        <f>IFERROR(IFERROR(1-VLOOKUP('Table 6-A| Controls &amp; Limits'!$K$21,'Emission Controls'!$A$20:$L$33,10,),1)*('Table 5-A| Primary MPTE'!M96*$C30/'Table 5-A| Primary MPTE'!$E96),0)</f>
        <v>0</v>
      </c>
      <c r="L30" s="388">
        <f>IFERROR(IFERROR(1-VLOOKUP('Table 6-A| Controls &amp; Limits'!$K$21,'Emission Controls'!$A$20:$L$33,11,),1)*('Table 5-A| Primary MPTE'!N96*$C30/'Table 5-A| Primary MPTE'!$E96),0)</f>
        <v>0</v>
      </c>
      <c r="M30" s="389">
        <f>IFERROR(IFERROR(1-VLOOKUP('Table 6-A| Controls &amp; Limits'!$K$21,'Emission Controls'!$A$20:$L$33,12,),1)*('Table 5-A| Primary MPTE'!O96*$C30/'Table 5-A| Primary MPTE'!$E96),0)</f>
        <v>0</v>
      </c>
      <c r="Q30" s="1449" t="s">
        <v>2300</v>
      </c>
      <c r="R30" s="1385"/>
      <c r="S30" s="593">
        <f>IFERROR('Table 5-A| Primary MPTE'!$AE125*($C$24/'Table 5-A| Primary MPTE'!$E$90),0)</f>
        <v>0</v>
      </c>
      <c r="T30" s="593">
        <f>IFERROR('Table 5-A| Primary MPTE'!$AF125*($C$37/'Table 5-A| Primary MPTE'!$E$103),0)</f>
        <v>0</v>
      </c>
      <c r="U30" s="593">
        <f>IFERROR('Table 5-A| Primary MPTE'!$AG125*($C$50/'Table 5-A| Primary MPTE'!$E$116),0)</f>
        <v>0</v>
      </c>
      <c r="V30" s="712">
        <f t="shared" si="0"/>
        <v>0</v>
      </c>
      <c r="W30" s="712">
        <f t="shared" si="0"/>
        <v>0</v>
      </c>
      <c r="X30" s="712">
        <f t="shared" si="0"/>
        <v>0</v>
      </c>
      <c r="Y30" s="593">
        <f>IFERROR('Table 5-A| Primary MPTE'!$AK125*($C$24/'Table 5-A| Primary MPTE'!$E$90),0)</f>
        <v>0</v>
      </c>
      <c r="Z30" s="593">
        <f>IFERROR('Table 5-A| Primary MPTE'!$AL125*($C$37/'Table 5-A| Primary MPTE'!$E$103),0)</f>
        <v>0</v>
      </c>
      <c r="AA30" s="593">
        <f>IFERROR('Table 5-A| Primary MPTE'!$AM125*($C$50/'Table 5-A| Primary MPTE'!$E$116),0)</f>
        <v>0</v>
      </c>
      <c r="AB30" s="712">
        <f t="shared" ref="AB30:AD31" si="1">Y30</f>
        <v>0</v>
      </c>
      <c r="AC30" s="712">
        <f t="shared" si="1"/>
        <v>0</v>
      </c>
      <c r="AD30" s="712">
        <f t="shared" si="1"/>
        <v>0</v>
      </c>
      <c r="AJ30" s="662">
        <v>5.4000000000000001E-4</v>
      </c>
      <c r="AK30" s="663" t="s">
        <v>2248</v>
      </c>
      <c r="AL30" s="124"/>
      <c r="AM30" s="124"/>
    </row>
    <row r="31" spans="1:39" ht="18" customHeight="1" x14ac:dyDescent="0.25">
      <c r="A31" s="302">
        <f>IF('Table 3-A| Emission Units'!$B48=0,0,'Table 3-A| Emission Units'!$A48&amp;"-"&amp;'Table 3-A| Emission Units'!$B48)</f>
        <v>0</v>
      </c>
      <c r="B31" s="303">
        <f>'Table 3-A| Emission Units'!$C48</f>
        <v>30502003</v>
      </c>
      <c r="C31" s="305">
        <f>IF($A31=0,0,IF('Table 6-A| Controls &amp; Limits'!$C$22="Yes",('Table 5-A| Primary MPTE'!$E97*('Table 6-A| Controls &amp; Limits'!$E$22/'Table 6-A| Controls &amp; Limits'!$D$22)),'Table 5-A| Primary MPTE'!$E97))</f>
        <v>0</v>
      </c>
      <c r="D31" s="386" t="str">
        <f>'Table 5-A| Primary MPTE'!$D97</f>
        <v/>
      </c>
      <c r="E31" s="387">
        <f>IFERROR(IFERROR(1-VLOOKUP('Table 6-A| Controls &amp; Limits'!$K$21,'Emission Controls'!$A$20:$L$33,4,),1)*'Table 5-A| Primary MPTE'!G97*($C31/'Table 5-A| Primary MPTE'!$E97),0)</f>
        <v>0</v>
      </c>
      <c r="F31" s="388">
        <f>IFERROR(IFERROR(1-VLOOKUP('Table 6-A| Controls &amp; Limits'!$K$21,'Emission Controls'!$A$20:$L$33,5,),1)*'Table 5-A| Primary MPTE'!H97*($C31/'Table 5-A| Primary MPTE'!$E97),0)</f>
        <v>0</v>
      </c>
      <c r="G31" s="388">
        <f>IFERROR(IFERROR(1-VLOOKUP('Table 6-A| Controls &amp; Limits'!$K$21,'Emission Controls'!$A$20:$L$33,6,),1)*('Table 5-A| Primary MPTE'!I97*$C31/'Table 5-A| Primary MPTE'!$E97),0)</f>
        <v>0</v>
      </c>
      <c r="H31" s="388">
        <f>IFERROR(IFERROR(1-VLOOKUP('Table 6-A| Controls &amp; Limits'!$K$21,'Emission Controls'!$A$20:$L$33,7,),1)*('Table 5-A| Primary MPTE'!J97*$C31/'Table 5-A| Primary MPTE'!$E97),0)</f>
        <v>0</v>
      </c>
      <c r="I31" s="388">
        <f>IFERROR(IFERROR(1-VLOOKUP('Table 6-A| Controls &amp; Limits'!$K$21,'Emission Controls'!$A$20:$L$33,8,),1)*('Table 5-A| Primary MPTE'!K97*$C31/'Table 5-A| Primary MPTE'!$E97),0)</f>
        <v>0</v>
      </c>
      <c r="J31" s="388">
        <f>IFERROR(IFERROR(1-VLOOKUP('Table 6-A| Controls &amp; Limits'!$K$21,'Emission Controls'!$A$20:$L$33,9,),1)*('Table 5-A| Primary MPTE'!L97*$C31/'Table 5-A| Primary MPTE'!$E97),0)</f>
        <v>0</v>
      </c>
      <c r="K31" s="388">
        <f>IFERROR(IFERROR(1-VLOOKUP('Table 6-A| Controls &amp; Limits'!$K$21,'Emission Controls'!$A$20:$L$33,10,),1)*('Table 5-A| Primary MPTE'!M97*$C31/'Table 5-A| Primary MPTE'!$E97),0)</f>
        <v>0</v>
      </c>
      <c r="L31" s="388">
        <f>IFERROR(IFERROR(1-VLOOKUP('Table 6-A| Controls &amp; Limits'!$K$21,'Emission Controls'!$A$20:$L$33,11,),1)*('Table 5-A| Primary MPTE'!N97*$C31/'Table 5-A| Primary MPTE'!$E97),0)</f>
        <v>0</v>
      </c>
      <c r="M31" s="389">
        <f>IFERROR(IFERROR(1-VLOOKUP('Table 6-A| Controls &amp; Limits'!$K$21,'Emission Controls'!$A$20:$L$33,12,),1)*('Table 5-A| Primary MPTE'!O97*$C31/'Table 5-A| Primary MPTE'!$E97),0)</f>
        <v>0</v>
      </c>
      <c r="Q31" s="1449" t="s">
        <v>2301</v>
      </c>
      <c r="R31" s="1385"/>
      <c r="S31" s="593">
        <f>IFERROR('Table 5-A| Primary MPTE'!$AE126*($C$24/'Table 5-A| Primary MPTE'!$E$90),0)</f>
        <v>0</v>
      </c>
      <c r="T31" s="593">
        <f>IFERROR('Table 5-A| Primary MPTE'!$AF126*($C$37/'Table 5-A| Primary MPTE'!$E$103),0)</f>
        <v>0</v>
      </c>
      <c r="U31" s="593">
        <f>IFERROR('Table 5-A| Primary MPTE'!$AG126*($C$50/'Table 5-A| Primary MPTE'!$E$116),0)</f>
        <v>0</v>
      </c>
      <c r="V31" s="712">
        <f t="shared" si="0"/>
        <v>0</v>
      </c>
      <c r="W31" s="712">
        <f t="shared" si="0"/>
        <v>0</v>
      </c>
      <c r="X31" s="712">
        <f t="shared" si="0"/>
        <v>0</v>
      </c>
      <c r="Y31" s="593">
        <f>IFERROR('Table 5-A| Primary MPTE'!$AK126*($C$24/'Table 5-A| Primary MPTE'!$E$90),0)</f>
        <v>0</v>
      </c>
      <c r="Z31" s="593">
        <f>IFERROR('Table 5-A| Primary MPTE'!$AL126*($C$37/'Table 5-A| Primary MPTE'!$E$103),0)</f>
        <v>0</v>
      </c>
      <c r="AA31" s="593">
        <f>IFERROR('Table 5-A| Primary MPTE'!$AM126*($C$50/'Table 5-A| Primary MPTE'!$E$116),0)</f>
        <v>0</v>
      </c>
      <c r="AB31" s="712">
        <f t="shared" si="1"/>
        <v>0</v>
      </c>
      <c r="AC31" s="712">
        <f t="shared" si="1"/>
        <v>0</v>
      </c>
      <c r="AD31" s="712">
        <f t="shared" si="1"/>
        <v>0</v>
      </c>
      <c r="AF31" s="1423" t="s">
        <v>2233</v>
      </c>
      <c r="AG31" s="1423"/>
      <c r="AH31" s="1423"/>
      <c r="AI31" s="66" t="s">
        <v>2202</v>
      </c>
      <c r="AJ31" s="662">
        <v>12</v>
      </c>
      <c r="AK31" s="663" t="s">
        <v>2234</v>
      </c>
      <c r="AL31" s="124"/>
      <c r="AM31" s="124"/>
    </row>
    <row r="32" spans="1:39" ht="18" customHeight="1" x14ac:dyDescent="0.25">
      <c r="A32" s="302">
        <f>IF('Table 3-A| Emission Units'!$B49=0,0,'Table 3-A| Emission Units'!$A49&amp;"-"&amp;'Table 3-A| Emission Units'!$B49)</f>
        <v>0</v>
      </c>
      <c r="B32" s="303">
        <f ca="1">'Table 3-A| Emission Units'!$C49</f>
        <v>0</v>
      </c>
      <c r="C32" s="305">
        <f>IF($A32=0,0,IF('Table 6-A| Controls &amp; Limits'!$C$22="Yes",('Table 5-A| Primary MPTE'!$E98*('Table 6-A| Controls &amp; Limits'!$E$22/'Table 6-A| Controls &amp; Limits'!$D$22)),'Table 5-A| Primary MPTE'!$E98))</f>
        <v>0</v>
      </c>
      <c r="D32" s="386" t="str">
        <f>'Table 5-A| Primary MPTE'!$D98</f>
        <v/>
      </c>
      <c r="E32" s="387">
        <f>IFERROR(IFERROR(1-VLOOKUP('Table 6-A| Controls &amp; Limits'!$K$21,'Emission Controls'!$A$20:$L$33,4,),1)*'Table 5-A| Primary MPTE'!G98*($C32/'Table 5-A| Primary MPTE'!$E98),0)</f>
        <v>0</v>
      </c>
      <c r="F32" s="388">
        <f>IFERROR(IFERROR(1-VLOOKUP('Table 6-A| Controls &amp; Limits'!$K$21,'Emission Controls'!$A$20:$L$33,5,),1)*'Table 5-A| Primary MPTE'!H98*($C32/'Table 5-A| Primary MPTE'!$E98),0)</f>
        <v>0</v>
      </c>
      <c r="G32" s="388">
        <f>IFERROR(IFERROR(1-VLOOKUP('Table 6-A| Controls &amp; Limits'!$K$21,'Emission Controls'!$A$20:$L$33,6,),1)*('Table 5-A| Primary MPTE'!I98*$C32/'Table 5-A| Primary MPTE'!$E98),0)</f>
        <v>0</v>
      </c>
      <c r="H32" s="388">
        <f>IFERROR(IFERROR(1-VLOOKUP('Table 6-A| Controls &amp; Limits'!$K$21,'Emission Controls'!$A$20:$L$33,7,),1)*('Table 5-A| Primary MPTE'!J98*$C32/'Table 5-A| Primary MPTE'!$E98),0)</f>
        <v>0</v>
      </c>
      <c r="I32" s="388">
        <f>IFERROR(IFERROR(1-VLOOKUP('Table 6-A| Controls &amp; Limits'!$K$21,'Emission Controls'!$A$20:$L$33,8,),1)*('Table 5-A| Primary MPTE'!K98*$C32/'Table 5-A| Primary MPTE'!$E98),0)</f>
        <v>0</v>
      </c>
      <c r="J32" s="388">
        <f>IFERROR(IFERROR(1-VLOOKUP('Table 6-A| Controls &amp; Limits'!$K$21,'Emission Controls'!$A$20:$L$33,9,),1)*('Table 5-A| Primary MPTE'!L98*$C32/'Table 5-A| Primary MPTE'!$E98),0)</f>
        <v>0</v>
      </c>
      <c r="K32" s="388">
        <f>IFERROR(IFERROR(1-VLOOKUP('Table 6-A| Controls &amp; Limits'!$K$21,'Emission Controls'!$A$20:$L$33,10,),1)*('Table 5-A| Primary MPTE'!M98*$C32/'Table 5-A| Primary MPTE'!$E98),0)</f>
        <v>0</v>
      </c>
      <c r="L32" s="388">
        <f>IFERROR(IFERROR(1-VLOOKUP('Table 6-A| Controls &amp; Limits'!$K$21,'Emission Controls'!$A$20:$L$33,11,),1)*('Table 5-A| Primary MPTE'!N98*$C32/'Table 5-A| Primary MPTE'!$E98),0)</f>
        <v>0</v>
      </c>
      <c r="M32" s="389">
        <f>IFERROR(IFERROR(1-VLOOKUP('Table 6-A| Controls &amp; Limits'!$K$21,'Emission Controls'!$A$20:$L$33,12,),1)*('Table 5-A| Primary MPTE'!O98*$C32/'Table 5-A| Primary MPTE'!$E98),0)</f>
        <v>0</v>
      </c>
      <c r="AF32" s="1423" t="s">
        <v>2235</v>
      </c>
      <c r="AG32" s="1424"/>
      <c r="AH32" s="1424"/>
      <c r="AI32" s="66"/>
      <c r="AK32" s="663"/>
    </row>
    <row r="33" spans="1:37" ht="18" customHeight="1" x14ac:dyDescent="0.25">
      <c r="A33" s="302">
        <f>IF('Table 3-A| Emission Units'!$B50=0,0,'Table 3-A| Emission Units'!$A50&amp;"-"&amp;'Table 3-A| Emission Units'!$B50)</f>
        <v>0</v>
      </c>
      <c r="B33" s="303">
        <f ca="1">'Table 3-A| Emission Units'!$C50</f>
        <v>0</v>
      </c>
      <c r="C33" s="1414">
        <f>IF($A33=0,0,IF('Table 6-A| Controls &amp; Limits'!$C$22="Yes",('Table 5-A| Primary MPTE'!$E99*('Table 6-A| Controls &amp; Limits'!$E$22/'Table 6-A| Controls &amp; Limits'!$D$22)),'Table 5-A| Primary MPTE'!$E99))</f>
        <v>0</v>
      </c>
      <c r="D33" s="1417" t="str">
        <f>'Table 5-A| Primary MPTE'!$D99</f>
        <v/>
      </c>
      <c r="E33" s="1420">
        <f>IFERROR(IFERROR(1-VLOOKUP('Table 6-A| Controls &amp; Limits'!$K$21,'Emission Controls'!$A$20:$L$33,4,),1)*'Table 5-A| Primary MPTE'!G99*($C33/'Table 5-A| Primary MPTE'!$E99),0)</f>
        <v>0</v>
      </c>
      <c r="F33" s="1408">
        <f>IFERROR(IFERROR(1-VLOOKUP('Table 6-A| Controls &amp; Limits'!$K$21,'Emission Controls'!$A$20:$L$33,5,),1)*'Table 5-A| Primary MPTE'!H99*($C33/'Table 5-A| Primary MPTE'!$E99),0)</f>
        <v>0</v>
      </c>
      <c r="G33" s="1408">
        <f>IFERROR(IFERROR(1-VLOOKUP('Table 6-A| Controls &amp; Limits'!$K$21,'Emission Controls'!$A$20:$L$33,6,),1)*('Table 5-A| Primary MPTE'!I99*$C33/'Table 5-A| Primary MPTE'!$E99),0)</f>
        <v>0</v>
      </c>
      <c r="H33" s="1408">
        <f>IFERROR(IFERROR(1-VLOOKUP('Table 6-A| Controls &amp; Limits'!$K$21,'Emission Controls'!$A$20:$L$33,7,),1)*('Table 5-A| Primary MPTE'!J99*$C33/'Table 5-A| Primary MPTE'!$E99),0)</f>
        <v>0</v>
      </c>
      <c r="I33" s="1408">
        <f>IFERROR(IFERROR(1-VLOOKUP('Table 6-A| Controls &amp; Limits'!$K$21,'Emission Controls'!$A$20:$L$33,8,),1)*('Table 5-A| Primary MPTE'!K99*$C33/'Table 5-A| Primary MPTE'!$E99),0)</f>
        <v>0</v>
      </c>
      <c r="J33" s="1408">
        <f>IFERROR(IFERROR(1-VLOOKUP('Table 6-A| Controls &amp; Limits'!$K$21,'Emission Controls'!$A$20:$L$33,9,),1)*('Table 5-A| Primary MPTE'!L99*$C33/'Table 5-A| Primary MPTE'!$E99),0)</f>
        <v>0</v>
      </c>
      <c r="K33" s="1408">
        <f>IFERROR(IFERROR(1-VLOOKUP('Table 6-A| Controls &amp; Limits'!$K$21,'Emission Controls'!$A$20:$L$33,10,),1)*('Table 5-A| Primary MPTE'!M99*$C33/'Table 5-A| Primary MPTE'!$E99),0)</f>
        <v>0</v>
      </c>
      <c r="L33" s="1408">
        <f>IFERROR(IFERROR(1-VLOOKUP('Table 6-A| Controls &amp; Limits'!$K$21,'Emission Controls'!$A$20:$L$33,11,),1)*('Table 5-A| Primary MPTE'!N99*$C33/'Table 5-A| Primary MPTE'!$E99),0)</f>
        <v>0</v>
      </c>
      <c r="M33" s="1411">
        <f ca="1">IF(AND(SUM('Table 7-D| APTE HAP'!AK33:AU33)=0,SUM('Table 7-D| APTE HAP'!AK34:AU34)=0,SUM('Table 7-D| APTE HAP'!AK35:AU35)=0),0,IF(AND(SUM('Table 7-D| APTE HAP'!AK33:AU33)&gt;SUM('Table 7-D| APTE HAP'!AK34:AU34),SUM('Table 7-D| APTE HAP'!AK33:AU33)&gt;SUM('Table 7-D| APTE HAP'!AK35:AU35)),SUM('Table 7-D| APTE HAP'!AK33:AU33),IF(AND(SUM('Table 7-D| APTE HAP'!AK34:AU34)&gt;SUM('Table 7-D| APTE HAP'!AK33:AU33),SUM('Table 7-D| APTE HAP'!AK34:AU34)&gt;SUM('Table 7-D| APTE HAP'!AK35:AU35)),SUM('Table 7-D| APTE HAP'!AK34:AU34),SUM('Table 7-D| APTE HAP'!AK35:AU35))))</f>
        <v>0</v>
      </c>
      <c r="S33" s="1450" t="s">
        <v>2313</v>
      </c>
      <c r="T33" s="1451"/>
      <c r="U33" s="1451"/>
      <c r="V33" s="1451"/>
      <c r="W33" s="1451"/>
      <c r="X33" s="1452"/>
      <c r="Y33" s="1450" t="s">
        <v>2314</v>
      </c>
      <c r="Z33" s="1451"/>
      <c r="AA33" s="1451"/>
      <c r="AB33" s="1451"/>
      <c r="AC33" s="1451"/>
      <c r="AD33" s="1452"/>
    </row>
    <row r="34" spans="1:37" ht="18" customHeight="1" x14ac:dyDescent="0.25">
      <c r="A34" s="302">
        <f>IF('Table 3-A| Emission Units'!$B51=0,0,'Table 3-A| Emission Units'!$A51&amp;"-"&amp;'Table 3-A| Emission Units'!$B51)</f>
        <v>0</v>
      </c>
      <c r="B34" s="303">
        <f ca="1">'Table 3-A| Emission Units'!$C51</f>
        <v>0</v>
      </c>
      <c r="C34" s="1415">
        <f>IF($A34=0,0,IF('Table 6-A| Controls &amp; Limits'!$C$22="Yes",('Table 5-A| Primary MPTE'!$E100*('Table 6-A| Controls &amp; Limits'!$E$22/'Table 6-A| Controls &amp; Limits'!$D$22)),'Table 5-A| Primary MPTE'!$E100))</f>
        <v>0</v>
      </c>
      <c r="D34" s="1418"/>
      <c r="E34" s="1421">
        <f>IFERROR(IFERROR(1-VLOOKUP('Table 6-A| Controls &amp; Limits'!$K$21,'Emission Controls'!$A$20:$L$33,4,),1)*'Table 5-A| Primary MPTE'!G100*($C34/'Table 5-A| Primary MPTE'!$E100),0)</f>
        <v>0</v>
      </c>
      <c r="F34" s="1409">
        <f>IFERROR(IFERROR(1-VLOOKUP('Table 6-A| Controls &amp; Limits'!$K$21,'Emission Controls'!$A$20:$L$33,5,),1)*'Table 5-A| Primary MPTE'!H100*($C34/'Table 5-A| Primary MPTE'!$E100),0)</f>
        <v>0</v>
      </c>
      <c r="G34" s="1409">
        <f>IFERROR(IFERROR(1-VLOOKUP('Table 6-A| Controls &amp; Limits'!$K$21,'Emission Controls'!$A$20:$L$33,6,),1)*('Table 5-A| Primary MPTE'!I100*$C34/'Table 5-A| Primary MPTE'!$E100),0)</f>
        <v>0</v>
      </c>
      <c r="H34" s="1409">
        <f>IFERROR(IFERROR(1-VLOOKUP('Table 6-A| Controls &amp; Limits'!$K$21,'Emission Controls'!$A$20:$L$33,7,),1)*('Table 5-A| Primary MPTE'!J100*$C34/'Table 5-A| Primary MPTE'!$E100),0)</f>
        <v>0</v>
      </c>
      <c r="I34" s="1409">
        <f>IFERROR(IFERROR(1-VLOOKUP('Table 6-A| Controls &amp; Limits'!$K$21,'Emission Controls'!$A$20:$L$33,8,),1)*('Table 5-A| Primary MPTE'!K100*$C34/'Table 5-A| Primary MPTE'!$E100),0)</f>
        <v>0</v>
      </c>
      <c r="J34" s="1409">
        <f>IFERROR(IFERROR(1-VLOOKUP('Table 6-A| Controls &amp; Limits'!$K$21,'Emission Controls'!$A$20:$L$33,9,),1)*('Table 5-A| Primary MPTE'!L100*$C34/'Table 5-A| Primary MPTE'!$E100),0)</f>
        <v>0</v>
      </c>
      <c r="K34" s="1409">
        <f>IFERROR(IFERROR(1-VLOOKUP('Table 6-A| Controls &amp; Limits'!$K$21,'Emission Controls'!$A$20:$L$33,10,),1)*('Table 5-A| Primary MPTE'!M100*$C34/'Table 5-A| Primary MPTE'!$E100),0)</f>
        <v>0</v>
      </c>
      <c r="L34" s="1409">
        <f>IFERROR(IFERROR(1-VLOOKUP('Table 6-A| Controls &amp; Limits'!$K$21,'Emission Controls'!$A$20:$L$33,11,),1)*('Table 5-A| Primary MPTE'!N100*$C34/'Table 5-A| Primary MPTE'!$E100),0)</f>
        <v>0</v>
      </c>
      <c r="M34" s="1412">
        <f>IFERROR(IFERROR(1-VLOOKUP('Table 6-A| Controls &amp; Limits'!$K$21,'Emission Controls'!$A$20:$L$33,12,),1)*('Table 5-A| Primary MPTE'!O100*$C34/'Table 5-A| Primary MPTE'!$E100),0)</f>
        <v>0</v>
      </c>
      <c r="S34" s="539" t="s">
        <v>2219</v>
      </c>
      <c r="T34" s="539" t="s">
        <v>2220</v>
      </c>
      <c r="U34" s="539" t="s">
        <v>2221</v>
      </c>
      <c r="V34" s="539" t="s">
        <v>2222</v>
      </c>
      <c r="W34" s="539" t="s">
        <v>2223</v>
      </c>
      <c r="X34" s="539" t="s">
        <v>2224</v>
      </c>
      <c r="Y34" s="539" t="s">
        <v>2219</v>
      </c>
      <c r="Z34" s="539" t="s">
        <v>2220</v>
      </c>
      <c r="AA34" s="539" t="s">
        <v>2221</v>
      </c>
      <c r="AB34" s="539" t="s">
        <v>2222</v>
      </c>
      <c r="AC34" s="539" t="s">
        <v>2223</v>
      </c>
      <c r="AD34" s="539" t="s">
        <v>2224</v>
      </c>
      <c r="AF34" s="64" t="s">
        <v>2236</v>
      </c>
      <c r="AG34" s="64"/>
      <c r="AH34" s="64"/>
      <c r="AI34" s="64"/>
      <c r="AJ34" s="124"/>
      <c r="AK34" s="124"/>
    </row>
    <row r="35" spans="1:37" ht="18" customHeight="1" x14ac:dyDescent="0.25">
      <c r="A35" s="302">
        <f>IF('Table 3-A| Emission Units'!$B52=0,0,'Table 3-A| Emission Units'!$A52&amp;"-"&amp;'Table 3-A| Emission Units'!$B52)</f>
        <v>0</v>
      </c>
      <c r="B35" s="303">
        <f ca="1">'Table 3-A| Emission Units'!$C52</f>
        <v>0</v>
      </c>
      <c r="C35" s="1416">
        <f>IF($A35=0,0,IF('Table 6-A| Controls &amp; Limits'!$C$22="Yes",('Table 5-A| Primary MPTE'!$E101*('Table 6-A| Controls &amp; Limits'!$E$22/'Table 6-A| Controls &amp; Limits'!$D$22)),'Table 5-A| Primary MPTE'!$E101))</f>
        <v>0</v>
      </c>
      <c r="D35" s="1419"/>
      <c r="E35" s="1422">
        <f>IFERROR(IFERROR(1-VLOOKUP('Table 6-A| Controls &amp; Limits'!$K$21,'Emission Controls'!$A$20:$L$33,4,),1)*'Table 5-A| Primary MPTE'!G101*($C35/'Table 5-A| Primary MPTE'!$E101),0)</f>
        <v>0</v>
      </c>
      <c r="F35" s="1410">
        <f>IFERROR(IFERROR(1-VLOOKUP('Table 6-A| Controls &amp; Limits'!$K$21,'Emission Controls'!$A$20:$L$33,5,),1)*'Table 5-A| Primary MPTE'!H101*($C35/'Table 5-A| Primary MPTE'!$E101),0)</f>
        <v>0</v>
      </c>
      <c r="G35" s="1410">
        <f>IFERROR(IFERROR(1-VLOOKUP('Table 6-A| Controls &amp; Limits'!$K$21,'Emission Controls'!$A$20:$L$33,6,),1)*('Table 5-A| Primary MPTE'!I101*$C35/'Table 5-A| Primary MPTE'!$E101),0)</f>
        <v>0</v>
      </c>
      <c r="H35" s="1410">
        <f>IFERROR(IFERROR(1-VLOOKUP('Table 6-A| Controls &amp; Limits'!$K$21,'Emission Controls'!$A$20:$L$33,7,),1)*('Table 5-A| Primary MPTE'!J101*$C35/'Table 5-A| Primary MPTE'!$E101),0)</f>
        <v>0</v>
      </c>
      <c r="I35" s="1410">
        <f>IFERROR(IFERROR(1-VLOOKUP('Table 6-A| Controls &amp; Limits'!$K$21,'Emission Controls'!$A$20:$L$33,8,),1)*('Table 5-A| Primary MPTE'!K101*$C35/'Table 5-A| Primary MPTE'!$E101),0)</f>
        <v>0</v>
      </c>
      <c r="J35" s="1410">
        <f>IFERROR(IFERROR(1-VLOOKUP('Table 6-A| Controls &amp; Limits'!$K$21,'Emission Controls'!$A$20:$L$33,9,),1)*('Table 5-A| Primary MPTE'!L101*$C35/'Table 5-A| Primary MPTE'!$E101),0)</f>
        <v>0</v>
      </c>
      <c r="K35" s="1410">
        <f>IFERROR(IFERROR(1-VLOOKUP('Table 6-A| Controls &amp; Limits'!$K$21,'Emission Controls'!$A$20:$L$33,10,),1)*('Table 5-A| Primary MPTE'!M101*$C35/'Table 5-A| Primary MPTE'!$E101),0)</f>
        <v>0</v>
      </c>
      <c r="L35" s="1410">
        <f>IFERROR(IFERROR(1-VLOOKUP('Table 6-A| Controls &amp; Limits'!$K$21,'Emission Controls'!$A$20:$L$33,11,),1)*('Table 5-A| Primary MPTE'!N101*$C35/'Table 5-A| Primary MPTE'!$E101),0)</f>
        <v>0</v>
      </c>
      <c r="M35" s="1413">
        <f>IFERROR(IFERROR(1-VLOOKUP('Table 6-A| Controls &amp; Limits'!$K$21,'Emission Controls'!$A$20:$L$33,12,),1)*('Table 5-A| Primary MPTE'!O101*$C35/'Table 5-A| Primary MPTE'!$E101),0)</f>
        <v>0</v>
      </c>
      <c r="Q35" s="1449" t="s">
        <v>2294</v>
      </c>
      <c r="R35" s="1385"/>
      <c r="S35" s="593">
        <f>IFERROR('Table 5-A| Primary MPTE'!AE130*(S26/'Table 5-A| Primary MPTE'!AE121),0)</f>
        <v>0</v>
      </c>
      <c r="T35" s="593">
        <f>IFERROR('Table 5-A| Primary MPTE'!AF130*(T26/'Table 5-A| Primary MPTE'!AF121),0)</f>
        <v>0</v>
      </c>
      <c r="U35" s="593">
        <f>IFERROR('Table 5-A| Primary MPTE'!AG130*(U26/'Table 5-A| Primary MPTE'!AG121),0)</f>
        <v>0</v>
      </c>
      <c r="V35" s="593">
        <f>IFERROR('Table 5-A| Primary MPTE'!AH130*(V26/'Table 5-A| Primary MPTE'!AH121),0)</f>
        <v>0</v>
      </c>
      <c r="W35" s="593">
        <f>IFERROR('Table 5-A| Primary MPTE'!AI130*(W26/'Table 5-A| Primary MPTE'!AI121),0)</f>
        <v>0</v>
      </c>
      <c r="X35" s="593">
        <f>IFERROR('Table 5-A| Primary MPTE'!AJ130*(X26/'Table 5-A| Primary MPTE'!AJ121),0)</f>
        <v>0</v>
      </c>
      <c r="Y35" s="713"/>
      <c r="Z35" s="713"/>
      <c r="AA35" s="713"/>
      <c r="AB35" s="713"/>
      <c r="AC35" s="713"/>
      <c r="AD35" s="713"/>
      <c r="AF35" s="64"/>
      <c r="AG35" s="64"/>
      <c r="AH35" s="64"/>
      <c r="AI35" s="64"/>
      <c r="AJ35" s="64" t="s">
        <v>2237</v>
      </c>
      <c r="AK35" s="124"/>
    </row>
    <row r="36" spans="1:37" ht="18" customHeight="1" x14ac:dyDescent="0.25">
      <c r="A36" s="302">
        <f>IF('Table 3-A| Emission Units'!$B53=0,0,'Table 3-A| Emission Units'!$A53&amp;"-"&amp;'Table 3-A| Emission Units'!$B53)</f>
        <v>0</v>
      </c>
      <c r="B36" s="303">
        <f>'Table 3-A| Emission Units'!$C53</f>
        <v>30500213</v>
      </c>
      <c r="C36" s="305">
        <f>IF($A36=0,0,IF('Table 6-A| Controls &amp; Limits'!$C$22="Yes",('Table 5-A| Primary MPTE'!$E102*('Table 6-A| Controls &amp; Limits'!$E$22/'Table 6-A| Controls &amp; Limits'!$D$22)),'Table 5-A| Primary MPTE'!$E102))</f>
        <v>0</v>
      </c>
      <c r="D36" s="386" t="str">
        <f>'Table 5-A| Primary MPTE'!$D102</f>
        <v/>
      </c>
      <c r="E36" s="387">
        <f>IFERROR(IFERROR(1-VLOOKUP('Table 6-A| Controls &amp; Limits'!$K$21,'Emission Controls'!$A$20:$L$33,4,),1)*'Table 5-A| Primary MPTE'!G102*($C36/'Table 5-A| Primary MPTE'!$E102),0)</f>
        <v>0</v>
      </c>
      <c r="F36" s="388">
        <f>IFERROR(IFERROR(1-VLOOKUP('Table 6-A| Controls &amp; Limits'!$K$21,'Emission Controls'!$A$20:$L$33,5,),1)*'Table 5-A| Primary MPTE'!H102*($C36/'Table 5-A| Primary MPTE'!$E102),0)</f>
        <v>0</v>
      </c>
      <c r="G36" s="388">
        <f>IFERROR(IFERROR(1-VLOOKUP('Table 6-A| Controls &amp; Limits'!$K$21,'Emission Controls'!$A$20:$L$33,6,),1)*('Table 5-A| Primary MPTE'!I102*$C36/'Table 5-A| Primary MPTE'!$E102),0)</f>
        <v>0</v>
      </c>
      <c r="H36" s="388">
        <f>IFERROR(IFERROR(1-VLOOKUP('Table 6-A| Controls &amp; Limits'!$K$21,'Emission Controls'!$A$20:$L$33,7,),1)*('Table 5-A| Primary MPTE'!J102*$C36/'Table 5-A| Primary MPTE'!$E102),0)</f>
        <v>0</v>
      </c>
      <c r="I36" s="388">
        <f>IFERROR(IFERROR(1-VLOOKUP('Table 6-A| Controls &amp; Limits'!$K$21,'Emission Controls'!$A$20:$L$33,8,),1)*('Table 5-A| Primary MPTE'!K102*$C36/'Table 5-A| Primary MPTE'!$E102),0)</f>
        <v>0</v>
      </c>
      <c r="J36" s="388">
        <f>IFERROR(IFERROR(1-VLOOKUP('Table 6-A| Controls &amp; Limits'!$K$21,'Emission Controls'!$A$20:$L$33,9,),1)*('Table 5-A| Primary MPTE'!L102*$C36/'Table 5-A| Primary MPTE'!$E102),0)</f>
        <v>0</v>
      </c>
      <c r="K36" s="388">
        <f>IFERROR(IFERROR(1-VLOOKUP('Table 6-A| Controls &amp; Limits'!$K$21,'Emission Controls'!$A$20:$L$33,10,),1)*('Table 5-A| Primary MPTE'!M102*$C36/'Table 5-A| Primary MPTE'!$E102),0)</f>
        <v>0</v>
      </c>
      <c r="L36" s="388">
        <f>IFERROR(IFERROR(1-VLOOKUP('Table 6-A| Controls &amp; Limits'!$K$21,'Emission Controls'!$A$20:$L$33,11,),1)*('Table 5-A| Primary MPTE'!N102*$C36/'Table 5-A| Primary MPTE'!$E102),0)</f>
        <v>0</v>
      </c>
      <c r="M36" s="389">
        <f>IFERROR(IFERROR(1-VLOOKUP('Table 6-A| Controls &amp; Limits'!$K$21,'Emission Controls'!$A$20:$L$33,12,),1)*('Table 5-A| Primary MPTE'!O102*$C36/'Table 5-A| Primary MPTE'!$E102),0)</f>
        <v>0</v>
      </c>
      <c r="Q36" s="1449" t="s">
        <v>2295</v>
      </c>
      <c r="R36" s="1385"/>
      <c r="S36" s="593">
        <f>IFERROR('Table 5-A| Primary MPTE'!AE131*(S27/'Table 5-A| Primary MPTE'!AE122),0)</f>
        <v>0</v>
      </c>
      <c r="T36" s="593">
        <f>IFERROR('Table 5-A| Primary MPTE'!AF131*(T27/'Table 5-A| Primary MPTE'!AF122),0)</f>
        <v>0</v>
      </c>
      <c r="U36" s="593">
        <f>IFERROR('Table 5-A| Primary MPTE'!AG131*(U27/'Table 5-A| Primary MPTE'!AG122),0)</f>
        <v>0</v>
      </c>
      <c r="V36" s="593">
        <f>IFERROR('Table 5-A| Primary MPTE'!AH131*(V27/'Table 5-A| Primary MPTE'!AH122),0)</f>
        <v>0</v>
      </c>
      <c r="W36" s="593">
        <f>IFERROR('Table 5-A| Primary MPTE'!AI131*(W27/'Table 5-A| Primary MPTE'!AI122),0)</f>
        <v>0</v>
      </c>
      <c r="X36" s="593">
        <f>IFERROR('Table 5-A| Primary MPTE'!AJ131*(X27/'Table 5-A| Primary MPTE'!AJ122),0)</f>
        <v>0</v>
      </c>
      <c r="Y36" s="713"/>
      <c r="Z36" s="713"/>
      <c r="AA36" s="713"/>
      <c r="AB36" s="713"/>
      <c r="AC36" s="713"/>
      <c r="AD36" s="713"/>
      <c r="AF36" s="659"/>
      <c r="AG36" s="660"/>
      <c r="AH36" s="660"/>
      <c r="AI36" s="660"/>
      <c r="AJ36" s="660"/>
      <c r="AK36" s="661"/>
    </row>
    <row r="37" spans="1:37" ht="18" customHeight="1" x14ac:dyDescent="0.25">
      <c r="A37" s="302">
        <f>IF('Table 3-A| Emission Units'!$B54=0,0,'Table 3-A| Emission Units'!$A54&amp;"-"&amp;'Table 3-A| Emission Units'!$B54)</f>
        <v>0</v>
      </c>
      <c r="B37" s="303">
        <f>'Table 3-A| Emission Units'!$C54</f>
        <v>30500214</v>
      </c>
      <c r="C37" s="305">
        <f>IF($A37=0,0,IF('Table 6-A| Controls &amp; Limits'!$C$22="Yes",('Table 5-A| Primary MPTE'!$E103*('Table 6-A| Controls &amp; Limits'!$E$22/'Table 6-A| Controls &amp; Limits'!$D$22)),'Table 5-A| Primary MPTE'!$E103))</f>
        <v>0</v>
      </c>
      <c r="D37" s="386" t="str">
        <f>'Table 5-A| Primary MPTE'!$D103</f>
        <v/>
      </c>
      <c r="E37" s="387">
        <f>IFERROR(IFERROR(1-VLOOKUP('Table 6-A| Controls &amp; Limits'!$K$21,'Emission Controls'!$A$20:$L$33,4,),1)*'Table 5-A| Primary MPTE'!G103*($C37/'Table 5-A| Primary MPTE'!$E103),0)</f>
        <v>0</v>
      </c>
      <c r="F37" s="388">
        <f>IFERROR(IFERROR(1-VLOOKUP('Table 6-A| Controls &amp; Limits'!$K$21,'Emission Controls'!$A$20:$L$33,5,),1)*'Table 5-A| Primary MPTE'!H103*($C37/'Table 5-A| Primary MPTE'!$E103),0)</f>
        <v>0</v>
      </c>
      <c r="G37" s="388">
        <f>IFERROR(IFERROR(1-VLOOKUP('Table 6-A| Controls &amp; Limits'!$K$21,'Emission Controls'!$A$20:$L$33,6,),1)*('Table 5-A| Primary MPTE'!I103*$C37/'Table 5-A| Primary MPTE'!$E103),0)</f>
        <v>0</v>
      </c>
      <c r="H37" s="388">
        <f>IFERROR(IFERROR(1-VLOOKUP('Table 6-A| Controls &amp; Limits'!$K$21,'Emission Controls'!$A$20:$L$33,7,),1)*('Table 5-A| Primary MPTE'!J103*$C37/'Table 5-A| Primary MPTE'!$E103),0)</f>
        <v>0</v>
      </c>
      <c r="I37" s="388">
        <f>IFERROR(IFERROR(1-VLOOKUP('Table 6-A| Controls &amp; Limits'!$K$21,'Emission Controls'!$A$20:$L$33,8,),1)*('Table 5-A| Primary MPTE'!K103*$C37/'Table 5-A| Primary MPTE'!$E103),0)</f>
        <v>0</v>
      </c>
      <c r="J37" s="388">
        <f>IFERROR(IFERROR(1-VLOOKUP('Table 6-A| Controls &amp; Limits'!$K$21,'Emission Controls'!$A$20:$L$33,9,),1)*('Table 5-A| Primary MPTE'!L103*$C37/'Table 5-A| Primary MPTE'!$E103),0)</f>
        <v>0</v>
      </c>
      <c r="K37" s="388">
        <f>IFERROR(IFERROR(1-VLOOKUP('Table 6-A| Controls &amp; Limits'!$K$21,'Emission Controls'!$A$20:$L$33,10,),1)*('Table 5-A| Primary MPTE'!M103*$C37/'Table 5-A| Primary MPTE'!$E103),0)</f>
        <v>0</v>
      </c>
      <c r="L37" s="388">
        <f>IFERROR(IFERROR(1-VLOOKUP('Table 6-A| Controls &amp; Limits'!$K$21,'Emission Controls'!$A$20:$L$33,11,),1)*('Table 5-A| Primary MPTE'!N103*$C37/'Table 5-A| Primary MPTE'!$E103),0)</f>
        <v>0</v>
      </c>
      <c r="M37" s="389">
        <f>IFERROR(IFERROR(1-VLOOKUP('Table 6-A| Controls &amp; Limits'!$K$21,'Emission Controls'!$A$20:$L$33,12,),1)*('Table 5-A| Primary MPTE'!O103*$C37/'Table 5-A| Primary MPTE'!$E103),0)</f>
        <v>0</v>
      </c>
      <c r="Q37" s="1449" t="s">
        <v>2311</v>
      </c>
      <c r="R37" s="1385"/>
      <c r="S37" s="593">
        <f>IFERROR('Table 5-A| Primary MPTE'!AE132*(S28/'Table 5-A| Primary MPTE'!AE123),0)</f>
        <v>0</v>
      </c>
      <c r="T37" s="593">
        <f>IFERROR('Table 5-A| Primary MPTE'!AF132*(T28/'Table 5-A| Primary MPTE'!AF123),0)</f>
        <v>0</v>
      </c>
      <c r="U37" s="593">
        <f>IFERROR('Table 5-A| Primary MPTE'!AG132*(U28/'Table 5-A| Primary MPTE'!AG123),0)</f>
        <v>0</v>
      </c>
      <c r="V37" s="593">
        <f>IFERROR('Table 5-A| Primary MPTE'!AH132*(V28/'Table 5-A| Primary MPTE'!AH123),0)</f>
        <v>0</v>
      </c>
      <c r="W37" s="593">
        <f>IFERROR('Table 5-A| Primary MPTE'!AI132*(W28/'Table 5-A| Primary MPTE'!AI123),0)</f>
        <v>0</v>
      </c>
      <c r="X37" s="593">
        <f>IFERROR('Table 5-A| Primary MPTE'!AJ132*(X28/'Table 5-A| Primary MPTE'!AJ123),0)</f>
        <v>0</v>
      </c>
      <c r="Y37" s="713"/>
      <c r="Z37" s="713"/>
      <c r="AA37" s="713"/>
      <c r="AB37" s="713"/>
      <c r="AC37" s="713"/>
      <c r="AD37" s="713"/>
      <c r="AF37" s="1563" t="s">
        <v>2238</v>
      </c>
      <c r="AG37" s="1564"/>
      <c r="AH37" s="1564"/>
      <c r="AI37" s="64"/>
      <c r="AJ37" s="124"/>
      <c r="AK37" s="124"/>
    </row>
    <row r="38" spans="1:37" ht="18" customHeight="1" thickBot="1" x14ac:dyDescent="0.3">
      <c r="A38" s="309">
        <f>IF('Table 3-A| Emission Units'!$B55=0,0,'Table 3-A| Emission Units'!$A55&amp;"-"&amp;'Table 3-A| Emission Units'!$B55)</f>
        <v>0</v>
      </c>
      <c r="B38" s="310">
        <f>'Table 3-A| Emission Units'!$C55</f>
        <v>30500270</v>
      </c>
      <c r="C38" s="312">
        <f>IF($A38=0,0,IF('Table 6-A| Controls &amp; Limits'!$C$22="Yes",('Table 5-A| Primary MPTE'!$E104*('Table 6-A| Controls &amp; Limits'!$E$22/'Table 6-A| Controls &amp; Limits'!$D$22)),'Table 5-A| Primary MPTE'!$E104))</f>
        <v>0</v>
      </c>
      <c r="D38" s="390" t="str">
        <f>'Table 5-A| Primary MPTE'!$D104</f>
        <v/>
      </c>
      <c r="E38" s="391">
        <f>IFERROR(IFERROR(1-VLOOKUP('Table 6-A| Controls &amp; Limits'!$K$21,'Emission Controls'!$A$20:$L$33,4,),1)*'Table 5-A| Primary MPTE'!G104*($C38/'Table 5-A| Primary MPTE'!$E104),0)</f>
        <v>0</v>
      </c>
      <c r="F38" s="392">
        <f>IFERROR(IFERROR(1-VLOOKUP('Table 6-A| Controls &amp; Limits'!$K$21,'Emission Controls'!$A$20:$L$33,5,),1)*'Table 5-A| Primary MPTE'!H104*($C38/'Table 5-A| Primary MPTE'!$E104),0)</f>
        <v>0</v>
      </c>
      <c r="G38" s="392">
        <f>IFERROR(IFERROR(1-VLOOKUP('Table 6-A| Controls &amp; Limits'!$K$21,'Emission Controls'!$A$20:$L$33,6,),1)*('Table 5-A| Primary MPTE'!I104*$C38/'Table 5-A| Primary MPTE'!$E104),0)</f>
        <v>0</v>
      </c>
      <c r="H38" s="392">
        <f>IFERROR(IFERROR(1-VLOOKUP('Table 6-A| Controls &amp; Limits'!$K$21,'Emission Controls'!$A$20:$L$33,7,),1)*('Table 5-A| Primary MPTE'!J104*$C38/'Table 5-A| Primary MPTE'!$E104),0)</f>
        <v>0</v>
      </c>
      <c r="I38" s="392">
        <f>IFERROR(IFERROR(1-VLOOKUP('Table 6-A| Controls &amp; Limits'!$K$21,'Emission Controls'!$A$20:$L$33,8,),1)*('Table 5-A| Primary MPTE'!K104*$C38/'Table 5-A| Primary MPTE'!$E104),0)</f>
        <v>0</v>
      </c>
      <c r="J38" s="392">
        <f>IFERROR(IFERROR(1-VLOOKUP('Table 6-A| Controls &amp; Limits'!$K$21,'Emission Controls'!$A$20:$L$33,9,),1)*('Table 5-A| Primary MPTE'!L104*$C38/'Table 5-A| Primary MPTE'!$E104),0)</f>
        <v>0</v>
      </c>
      <c r="K38" s="392">
        <f>IFERROR(IFERROR(1-VLOOKUP('Table 6-A| Controls &amp; Limits'!$K$21,'Emission Controls'!$A$20:$L$33,10,),1)*('Table 5-A| Primary MPTE'!M104*$C38/'Table 5-A| Primary MPTE'!$E104),0)</f>
        <v>0</v>
      </c>
      <c r="L38" s="392">
        <f>IFERROR(IFERROR(1-VLOOKUP('Table 6-A| Controls &amp; Limits'!$K$21,'Emission Controls'!$A$20:$L$33,11,),1)*('Table 5-A| Primary MPTE'!N104*$C38/'Table 5-A| Primary MPTE'!$E104),0)</f>
        <v>0</v>
      </c>
      <c r="M38" s="393">
        <f>IFERROR(IFERROR(1-VLOOKUP('Table 6-A| Controls &amp; Limits'!$K$21,'Emission Controls'!$A$20:$L$33,12,),1)*('Table 5-A| Primary MPTE'!O104*$C38/'Table 5-A| Primary MPTE'!$E104),0)</f>
        <v>0</v>
      </c>
      <c r="Q38" s="1449" t="s">
        <v>2312</v>
      </c>
      <c r="R38" s="1385"/>
      <c r="S38" s="593">
        <f>IFERROR('Table 5-A| Primary MPTE'!AE133*(S29/'Table 5-A| Primary MPTE'!AE124),0)</f>
        <v>0</v>
      </c>
      <c r="T38" s="593">
        <f>IFERROR('Table 5-A| Primary MPTE'!AF133*(T29/'Table 5-A| Primary MPTE'!AF124),0)</f>
        <v>0</v>
      </c>
      <c r="U38" s="593">
        <f>IFERROR('Table 5-A| Primary MPTE'!AG133*(U29/'Table 5-A| Primary MPTE'!AG124),0)</f>
        <v>0</v>
      </c>
      <c r="V38" s="593">
        <f>IFERROR('Table 5-A| Primary MPTE'!AH133*(V29/'Table 5-A| Primary MPTE'!AH124),0)</f>
        <v>0</v>
      </c>
      <c r="W38" s="593">
        <f>IFERROR('Table 5-A| Primary MPTE'!AI133*(W29/'Table 5-A| Primary MPTE'!AI124),0)</f>
        <v>0</v>
      </c>
      <c r="X38" s="593">
        <f>IFERROR('Table 5-A| Primary MPTE'!AJ133*(X29/'Table 5-A| Primary MPTE'!AJ124),0)</f>
        <v>0</v>
      </c>
      <c r="Y38" s="713"/>
      <c r="Z38" s="713"/>
      <c r="AA38" s="713"/>
      <c r="AB38" s="713"/>
      <c r="AC38" s="713"/>
      <c r="AD38" s="713"/>
      <c r="AF38" s="1424" t="s">
        <v>2231</v>
      </c>
      <c r="AG38" s="1424"/>
      <c r="AH38" s="1424"/>
      <c r="AI38" s="66" t="s">
        <v>2202</v>
      </c>
      <c r="AJ38" s="662">
        <v>1.5</v>
      </c>
      <c r="AK38" s="663" t="s">
        <v>2239</v>
      </c>
    </row>
    <row r="39" spans="1:37" ht="18" customHeight="1" x14ac:dyDescent="0.25">
      <c r="A39" s="633">
        <f>IF('Table 3-A| Emission Units'!$B56=0,0,'Table 3-A| Emission Units'!$A56&amp;"-"&amp;'Table 3-A| Emission Units'!$B56)</f>
        <v>0</v>
      </c>
      <c r="B39" s="628">
        <f>'Table 3-A| Emission Units'!$C56</f>
        <v>30502031</v>
      </c>
      <c r="C39" s="635">
        <f>IF($A39=0,0,IF('Table 6-A| Controls &amp; Limits'!$C$23="Yes",('Table 5-A| Primary MPTE'!$E105*('Table 6-A| Controls &amp; Limits'!$E$23/'Table 6-A| Controls &amp; Limits'!$D$23)),'Table 5-A| Primary MPTE'!$E105))</f>
        <v>0</v>
      </c>
      <c r="D39" s="627" t="str">
        <f>'Table 5-A| Primary MPTE'!$D105</f>
        <v/>
      </c>
      <c r="E39" s="636">
        <f>IFERROR(IFERROR(1-VLOOKUP('Table 6-A| Controls &amp; Limits'!$K$21,'Emission Controls'!$A$20:$L$33,4,),1)*'Table 5-A| Primary MPTE'!G105*($C39/'Table 5-A| Primary MPTE'!$E105),0)</f>
        <v>0</v>
      </c>
      <c r="F39" s="637">
        <f>IFERROR(IFERROR(1-VLOOKUP('Table 6-A| Controls &amp; Limits'!$K$21,'Emission Controls'!$A$20:$L$33,5,),1)*'Table 5-A| Primary MPTE'!H105*($C39/'Table 5-A| Primary MPTE'!$E105),0)</f>
        <v>0</v>
      </c>
      <c r="G39" s="637">
        <f>IFERROR(IFERROR(1-VLOOKUP('Table 6-A| Controls &amp; Limits'!$K$21,'Emission Controls'!$A$20:$L$33,6,),1)*('Table 5-A| Primary MPTE'!I105*$C39/'Table 5-A| Primary MPTE'!$E105),0)</f>
        <v>0</v>
      </c>
      <c r="H39" s="637">
        <f>IFERROR(IFERROR(1-VLOOKUP('Table 6-A| Controls &amp; Limits'!$K$21,'Emission Controls'!$A$20:$L$33,7,),1)*('Table 5-A| Primary MPTE'!J105*$C39/'Table 5-A| Primary MPTE'!$E105),0)</f>
        <v>0</v>
      </c>
      <c r="I39" s="637">
        <f>IFERROR(IFERROR(1-VLOOKUP('Table 6-A| Controls &amp; Limits'!$K$21,'Emission Controls'!$A$20:$L$33,8,),1)*('Table 5-A| Primary MPTE'!K105*$C39/'Table 5-A| Primary MPTE'!$E105),0)</f>
        <v>0</v>
      </c>
      <c r="J39" s="637">
        <f>IFERROR(IFERROR(1-VLOOKUP('Table 6-A| Controls &amp; Limits'!$K$21,'Emission Controls'!$A$20:$L$33,9,),1)*('Table 5-A| Primary MPTE'!L105*$C39/'Table 5-A| Primary MPTE'!$E105),0)</f>
        <v>0</v>
      </c>
      <c r="K39" s="637">
        <f>IFERROR(IFERROR(1-VLOOKUP('Table 6-A| Controls &amp; Limits'!$K$21,'Emission Controls'!$A$20:$L$33,10,),1)*('Table 5-A| Primary MPTE'!M105*$C39/'Table 5-A| Primary MPTE'!$E105),0)</f>
        <v>0</v>
      </c>
      <c r="L39" s="637">
        <f>IFERROR(IFERROR(1-VLOOKUP('Table 6-A| Controls &amp; Limits'!$K$21,'Emission Controls'!$A$20:$L$33,11,),1)*('Table 5-A| Primary MPTE'!N105*$C39/'Table 5-A| Primary MPTE'!$E105),0)</f>
        <v>0</v>
      </c>
      <c r="M39" s="638">
        <f>IFERROR(IFERROR(1-VLOOKUP('Table 6-A| Controls &amp; Limits'!$K$21,'Emission Controls'!$A$20:$L$33,12,),1)*('Table 5-A| Primary MPTE'!O105*$C39/'Table 5-A| Primary MPTE'!$E105),0)</f>
        <v>0</v>
      </c>
      <c r="Q39" s="1449" t="s">
        <v>2300</v>
      </c>
      <c r="R39" s="1385"/>
      <c r="S39" s="593">
        <f>IFERROR('Table 5-A| Primary MPTE'!AE134*(S30/'Table 5-A| Primary MPTE'!AE125),0)</f>
        <v>0</v>
      </c>
      <c r="T39" s="593">
        <f>IFERROR('Table 5-A| Primary MPTE'!AF134*(T30/'Table 5-A| Primary MPTE'!AF125),0)</f>
        <v>0</v>
      </c>
      <c r="U39" s="593">
        <f>IFERROR('Table 5-A| Primary MPTE'!AG134*(U30/'Table 5-A| Primary MPTE'!AG125),0)</f>
        <v>0</v>
      </c>
      <c r="V39" s="593">
        <f>IFERROR('Table 5-A| Primary MPTE'!AH134*(V30/'Table 5-A| Primary MPTE'!AH125),0)</f>
        <v>0</v>
      </c>
      <c r="W39" s="593">
        <f>IFERROR('Table 5-A| Primary MPTE'!AI134*(W30/'Table 5-A| Primary MPTE'!AI125),0)</f>
        <v>0</v>
      </c>
      <c r="X39" s="593">
        <f>IFERROR('Table 5-A| Primary MPTE'!AJ134*(X30/'Table 5-A| Primary MPTE'!AJ125),0)</f>
        <v>0</v>
      </c>
      <c r="Y39" s="593">
        <f>IFERROR('Table 5-A| Primary MPTE'!AK134*(Y30/'Table 5-A| Primary MPTE'!AK125),0)</f>
        <v>0</v>
      </c>
      <c r="Z39" s="593">
        <f>IFERROR('Table 5-A| Primary MPTE'!AL134*(Z30/'Table 5-A| Primary MPTE'!AL125),0)</f>
        <v>0</v>
      </c>
      <c r="AA39" s="593">
        <f>IFERROR('Table 5-A| Primary MPTE'!AM134*(AA30/'Table 5-A| Primary MPTE'!AM125),0)</f>
        <v>0</v>
      </c>
      <c r="AB39" s="593">
        <f>IFERROR('Table 5-A| Primary MPTE'!AN134*(AB30/'Table 5-A| Primary MPTE'!AN125),0)</f>
        <v>0</v>
      </c>
      <c r="AC39" s="593">
        <f>IFERROR('Table 5-A| Primary MPTE'!AO134*(AC30/'Table 5-A| Primary MPTE'!AO125),0)</f>
        <v>0</v>
      </c>
      <c r="AD39" s="593">
        <f>IFERROR('Table 5-A| Primary MPTE'!AP134*(AD30/'Table 5-A| Primary MPTE'!AP125),0)</f>
        <v>0</v>
      </c>
      <c r="AJ39" s="662">
        <v>0.15</v>
      </c>
      <c r="AK39" s="663" t="s">
        <v>2247</v>
      </c>
    </row>
    <row r="40" spans="1:37" ht="18" customHeight="1" x14ac:dyDescent="0.25">
      <c r="A40" s="302">
        <f>IF('Table 3-A| Emission Units'!$B57=0,0,'Table 3-A| Emission Units'!$A57&amp;"-"&amp;'Table 3-A| Emission Units'!$B57)</f>
        <v>0</v>
      </c>
      <c r="B40" s="303">
        <f>'Table 3-A| Emission Units'!$C57</f>
        <v>30501123</v>
      </c>
      <c r="C40" s="305">
        <f>IF($A40=0,0,IF('Table 6-A| Controls &amp; Limits'!$C$23="Yes",('Table 5-A| Primary MPTE'!$E106*('Table 6-A| Controls &amp; Limits'!$E$23/'Table 6-A| Controls &amp; Limits'!$D$23)),'Table 5-A| Primary MPTE'!$E106))</f>
        <v>0</v>
      </c>
      <c r="D40" s="386" t="str">
        <f>'Table 5-A| Primary MPTE'!$D106</f>
        <v/>
      </c>
      <c r="E40" s="387">
        <f>IFERROR(IFERROR(1-VLOOKUP('Table 6-A| Controls &amp; Limits'!$K$21,'Emission Controls'!$A$20:$L$33,4,),1)*'Table 5-A| Primary MPTE'!G106*($C40/'Table 5-A| Primary MPTE'!$E106),0)</f>
        <v>0</v>
      </c>
      <c r="F40" s="388">
        <f>IFERROR(IFERROR(1-VLOOKUP('Table 6-A| Controls &amp; Limits'!$K$21,'Emission Controls'!$A$20:$L$33,5,),1)*'Table 5-A| Primary MPTE'!H106*($C40/'Table 5-A| Primary MPTE'!$E106),0)</f>
        <v>0</v>
      </c>
      <c r="G40" s="388">
        <f>IFERROR(IFERROR(1-VLOOKUP('Table 6-A| Controls &amp; Limits'!$K$21,'Emission Controls'!$A$20:$L$33,6,),1)*('Table 5-A| Primary MPTE'!I106*$C40/'Table 5-A| Primary MPTE'!$E106),0)</f>
        <v>0</v>
      </c>
      <c r="H40" s="388">
        <f>IFERROR(IFERROR(1-VLOOKUP('Table 6-A| Controls &amp; Limits'!$K$21,'Emission Controls'!$A$20:$L$33,7,),1)*('Table 5-A| Primary MPTE'!J106*$C40/'Table 5-A| Primary MPTE'!$E106),0)</f>
        <v>0</v>
      </c>
      <c r="I40" s="388">
        <f>IFERROR(IFERROR(1-VLOOKUP('Table 6-A| Controls &amp; Limits'!$K$21,'Emission Controls'!$A$20:$L$33,8,),1)*('Table 5-A| Primary MPTE'!K106*$C40/'Table 5-A| Primary MPTE'!$E106),0)</f>
        <v>0</v>
      </c>
      <c r="J40" s="388">
        <f>IFERROR(IFERROR(1-VLOOKUP('Table 6-A| Controls &amp; Limits'!$K$21,'Emission Controls'!$A$20:$L$33,9,),1)*('Table 5-A| Primary MPTE'!L106*$C40/'Table 5-A| Primary MPTE'!$E106),0)</f>
        <v>0</v>
      </c>
      <c r="K40" s="388">
        <f>IFERROR(IFERROR(1-VLOOKUP('Table 6-A| Controls &amp; Limits'!$K$21,'Emission Controls'!$A$20:$L$33,10,),1)*('Table 5-A| Primary MPTE'!M106*$C40/'Table 5-A| Primary MPTE'!$E106),0)</f>
        <v>0</v>
      </c>
      <c r="L40" s="388">
        <f>IFERROR(IFERROR(1-VLOOKUP('Table 6-A| Controls &amp; Limits'!$K$21,'Emission Controls'!$A$20:$L$33,11,),1)*('Table 5-A| Primary MPTE'!N106*$C40/'Table 5-A| Primary MPTE'!$E106),0)</f>
        <v>0</v>
      </c>
      <c r="M40" s="389">
        <f>IFERROR(IFERROR(1-VLOOKUP('Table 6-A| Controls &amp; Limits'!$K$21,'Emission Controls'!$A$20:$L$33,12,),1)*('Table 5-A| Primary MPTE'!O106*$C40/'Table 5-A| Primary MPTE'!$E106),0)</f>
        <v>0</v>
      </c>
      <c r="Q40" s="1449" t="s">
        <v>2301</v>
      </c>
      <c r="R40" s="1385"/>
      <c r="S40" s="593">
        <f>IFERROR('Table 5-A| Primary MPTE'!AE135*(S31/'Table 5-A| Primary MPTE'!AE126),0)</f>
        <v>0</v>
      </c>
      <c r="T40" s="593">
        <f>IFERROR('Table 5-A| Primary MPTE'!AF135*(T31/'Table 5-A| Primary MPTE'!AF126),0)</f>
        <v>0</v>
      </c>
      <c r="U40" s="593">
        <f>IFERROR('Table 5-A| Primary MPTE'!AG135*(U31/'Table 5-A| Primary MPTE'!AG126),0)</f>
        <v>0</v>
      </c>
      <c r="V40" s="593">
        <f>IFERROR('Table 5-A| Primary MPTE'!AH135*(V31/'Table 5-A| Primary MPTE'!AH126),0)</f>
        <v>0</v>
      </c>
      <c r="W40" s="593">
        <f>IFERROR('Table 5-A| Primary MPTE'!AI135*(W31/'Table 5-A| Primary MPTE'!AI126),0)</f>
        <v>0</v>
      </c>
      <c r="X40" s="593">
        <f>IFERROR('Table 5-A| Primary MPTE'!AJ135*(X31/'Table 5-A| Primary MPTE'!AJ126),0)</f>
        <v>0</v>
      </c>
      <c r="Y40" s="593">
        <f>IFERROR('Table 5-A| Primary MPTE'!AK135*(Y31/'Table 5-A| Primary MPTE'!AK126),0)</f>
        <v>0</v>
      </c>
      <c r="Z40" s="593">
        <f>IFERROR('Table 5-A| Primary MPTE'!AL135*(Z31/'Table 5-A| Primary MPTE'!AL126),0)</f>
        <v>0</v>
      </c>
      <c r="AA40" s="593">
        <f>IFERROR('Table 5-A| Primary MPTE'!AM135*(AA31/'Table 5-A| Primary MPTE'!AM126),0)</f>
        <v>0</v>
      </c>
      <c r="AB40" s="593">
        <f>IFERROR('Table 5-A| Primary MPTE'!AN135*(AB31/'Table 5-A| Primary MPTE'!AN126),0)</f>
        <v>0</v>
      </c>
      <c r="AC40" s="593">
        <f>IFERROR('Table 5-A| Primary MPTE'!AO135*(AC31/'Table 5-A| Primary MPTE'!AO126),0)</f>
        <v>0</v>
      </c>
      <c r="AD40" s="593">
        <f>IFERROR('Table 5-A| Primary MPTE'!AP135*(AD31/'Table 5-A| Primary MPTE'!AP126),0)</f>
        <v>0</v>
      </c>
      <c r="AF40" s="1423" t="s">
        <v>2240</v>
      </c>
      <c r="AG40" s="1423"/>
      <c r="AH40" s="1423"/>
      <c r="AI40" s="66" t="s">
        <v>2202</v>
      </c>
      <c r="AJ40" s="662">
        <v>10</v>
      </c>
      <c r="AK40" s="663" t="s">
        <v>2241</v>
      </c>
    </row>
    <row r="41" spans="1:37" ht="18" customHeight="1" x14ac:dyDescent="0.25">
      <c r="A41" s="302">
        <f>IF('Table 3-A| Emission Units'!$B58=0,0,'Table 3-A| Emission Units'!$A58&amp;"-"&amp;'Table 3-A| Emission Units'!$B58)</f>
        <v>0</v>
      </c>
      <c r="B41" s="303">
        <f>'Table 3-A| Emission Units'!$C58</f>
        <v>30501123</v>
      </c>
      <c r="C41" s="305">
        <f>IF($A41=0,0,IF('Table 6-A| Controls &amp; Limits'!$C$23="Yes",('Table 5-A| Primary MPTE'!$E107*('Table 6-A| Controls &amp; Limits'!$E$23/'Table 6-A| Controls &amp; Limits'!$D$23)),'Table 5-A| Primary MPTE'!$E107))</f>
        <v>0</v>
      </c>
      <c r="D41" s="386" t="str">
        <f>'Table 5-A| Primary MPTE'!$D107</f>
        <v/>
      </c>
      <c r="E41" s="387">
        <f>IFERROR(IFERROR(1-VLOOKUP('Table 6-A| Controls &amp; Limits'!$K$21,'Emission Controls'!$A$20:$L$33,4,),1)*'Table 5-A| Primary MPTE'!G107*($C41/'Table 5-A| Primary MPTE'!$E107),0)</f>
        <v>0</v>
      </c>
      <c r="F41" s="388">
        <f>IFERROR(IFERROR(1-VLOOKUP('Table 6-A| Controls &amp; Limits'!$K$21,'Emission Controls'!$A$20:$L$33,5,),1)*'Table 5-A| Primary MPTE'!H107*($C41/'Table 5-A| Primary MPTE'!$E107),0)</f>
        <v>0</v>
      </c>
      <c r="G41" s="388">
        <f>IFERROR(IFERROR(1-VLOOKUP('Table 6-A| Controls &amp; Limits'!$K$21,'Emission Controls'!$A$20:$L$33,6,),1)*('Table 5-A| Primary MPTE'!I107*$C41/'Table 5-A| Primary MPTE'!$E107),0)</f>
        <v>0</v>
      </c>
      <c r="H41" s="388">
        <f>IFERROR(IFERROR(1-VLOOKUP('Table 6-A| Controls &amp; Limits'!$K$21,'Emission Controls'!$A$20:$L$33,7,),1)*('Table 5-A| Primary MPTE'!J107*$C41/'Table 5-A| Primary MPTE'!$E107),0)</f>
        <v>0</v>
      </c>
      <c r="I41" s="388">
        <f>IFERROR(IFERROR(1-VLOOKUP('Table 6-A| Controls &amp; Limits'!$K$21,'Emission Controls'!$A$20:$L$33,8,),1)*('Table 5-A| Primary MPTE'!K107*$C41/'Table 5-A| Primary MPTE'!$E107),0)</f>
        <v>0</v>
      </c>
      <c r="J41" s="388">
        <f>IFERROR(IFERROR(1-VLOOKUP('Table 6-A| Controls &amp; Limits'!$K$21,'Emission Controls'!$A$20:$L$33,9,),1)*('Table 5-A| Primary MPTE'!L107*$C41/'Table 5-A| Primary MPTE'!$E107),0)</f>
        <v>0</v>
      </c>
      <c r="K41" s="388">
        <f>IFERROR(IFERROR(1-VLOOKUP('Table 6-A| Controls &amp; Limits'!$K$21,'Emission Controls'!$A$20:$L$33,10,),1)*('Table 5-A| Primary MPTE'!M107*$C41/'Table 5-A| Primary MPTE'!$E107),0)</f>
        <v>0</v>
      </c>
      <c r="L41" s="388">
        <f>IFERROR(IFERROR(1-VLOOKUP('Table 6-A| Controls &amp; Limits'!$K$21,'Emission Controls'!$A$20:$L$33,11,),1)*('Table 5-A| Primary MPTE'!N107*$C41/'Table 5-A| Primary MPTE'!$E107),0)</f>
        <v>0</v>
      </c>
      <c r="M41" s="389">
        <f>IFERROR(IFERROR(1-VLOOKUP('Table 6-A| Controls &amp; Limits'!$K$21,'Emission Controls'!$A$20:$L$33,12,),1)*('Table 5-A| Primary MPTE'!O107*$C41/'Table 5-A| Primary MPTE'!$E107),0)</f>
        <v>0</v>
      </c>
      <c r="AF41" s="1423" t="s">
        <v>2242</v>
      </c>
      <c r="AG41" s="1424"/>
      <c r="AH41" s="1424"/>
      <c r="AI41" s="66" t="s">
        <v>2202</v>
      </c>
      <c r="AJ41" s="662">
        <v>0.9</v>
      </c>
      <c r="AK41" s="663" t="s">
        <v>2243</v>
      </c>
    </row>
    <row r="42" spans="1:37" ht="18" customHeight="1" x14ac:dyDescent="0.25">
      <c r="A42" s="302">
        <f>IF('Table 3-A| Emission Units'!$B59=0,0,'Table 3-A| Emission Units'!$A59&amp;"-"&amp;'Table 3-A| Emission Units'!$B59)</f>
        <v>0</v>
      </c>
      <c r="B42" s="303">
        <f>'Table 3-A| Emission Units'!$C59</f>
        <v>30502032</v>
      </c>
      <c r="C42" s="305">
        <f>IF($A42=0,0,IF('Table 6-A| Controls &amp; Limits'!$C$23="Yes",('Table 5-A| Primary MPTE'!$E108*('Table 6-A| Controls &amp; Limits'!$E$23/'Table 6-A| Controls &amp; Limits'!$D$23)),'Table 5-A| Primary MPTE'!$E108))</f>
        <v>0</v>
      </c>
      <c r="D42" s="386" t="str">
        <f>'Table 5-A| Primary MPTE'!$D108</f>
        <v/>
      </c>
      <c r="E42" s="387">
        <f>IFERROR(IFERROR(1-VLOOKUP('Table 6-A| Controls &amp; Limits'!$K$21,'Emission Controls'!$A$20:$L$33,4,),1)*'Table 5-A| Primary MPTE'!G108*($C42/'Table 5-A| Primary MPTE'!$E108),0)</f>
        <v>0</v>
      </c>
      <c r="F42" s="388">
        <f>IFERROR(IFERROR(1-VLOOKUP('Table 6-A| Controls &amp; Limits'!$K$21,'Emission Controls'!$A$20:$L$33,5,),1)*'Table 5-A| Primary MPTE'!H108*($C42/'Table 5-A| Primary MPTE'!$E108),0)</f>
        <v>0</v>
      </c>
      <c r="G42" s="388">
        <f>IFERROR(IFERROR(1-VLOOKUP('Table 6-A| Controls &amp; Limits'!$K$21,'Emission Controls'!$A$20:$L$33,6,),1)*('Table 5-A| Primary MPTE'!I108*$C42/'Table 5-A| Primary MPTE'!$E108),0)</f>
        <v>0</v>
      </c>
      <c r="H42" s="388">
        <f>IFERROR(IFERROR(1-VLOOKUP('Table 6-A| Controls &amp; Limits'!$K$21,'Emission Controls'!$A$20:$L$33,7,),1)*('Table 5-A| Primary MPTE'!J108*$C42/'Table 5-A| Primary MPTE'!$E108),0)</f>
        <v>0</v>
      </c>
      <c r="I42" s="388">
        <f>IFERROR(IFERROR(1-VLOOKUP('Table 6-A| Controls &amp; Limits'!$K$21,'Emission Controls'!$A$20:$L$33,8,),1)*('Table 5-A| Primary MPTE'!K108*$C42/'Table 5-A| Primary MPTE'!$E108),0)</f>
        <v>0</v>
      </c>
      <c r="J42" s="388">
        <f>IFERROR(IFERROR(1-VLOOKUP('Table 6-A| Controls &amp; Limits'!$K$21,'Emission Controls'!$A$20:$L$33,9,),1)*('Table 5-A| Primary MPTE'!L108*$C42/'Table 5-A| Primary MPTE'!$E108),0)</f>
        <v>0</v>
      </c>
      <c r="K42" s="388">
        <f>IFERROR(IFERROR(1-VLOOKUP('Table 6-A| Controls &amp; Limits'!$K$21,'Emission Controls'!$A$20:$L$33,10,),1)*('Table 5-A| Primary MPTE'!M108*$C42/'Table 5-A| Primary MPTE'!$E108),0)</f>
        <v>0</v>
      </c>
      <c r="L42" s="388">
        <f>IFERROR(IFERROR(1-VLOOKUP('Table 6-A| Controls &amp; Limits'!$K$21,'Emission Controls'!$A$20:$L$33,11,),1)*('Table 5-A| Primary MPTE'!N108*$C42/'Table 5-A| Primary MPTE'!$E108),0)</f>
        <v>0</v>
      </c>
      <c r="M42" s="389">
        <f>IFERROR(IFERROR(1-VLOOKUP('Table 6-A| Controls &amp; Limits'!$K$21,'Emission Controls'!$A$20:$L$33,12,),1)*('Table 5-A| Primary MPTE'!O108*$C42/'Table 5-A| Primary MPTE'!$E108),0)</f>
        <v>0</v>
      </c>
      <c r="S42" s="1450" t="s">
        <v>2315</v>
      </c>
      <c r="T42" s="1451"/>
      <c r="U42" s="1451"/>
      <c r="V42" s="1451"/>
      <c r="W42" s="1451"/>
      <c r="X42" s="1452"/>
      <c r="Y42" s="1450" t="s">
        <v>2316</v>
      </c>
      <c r="Z42" s="1451"/>
      <c r="AA42" s="1451"/>
      <c r="AB42" s="1451"/>
      <c r="AC42" s="1451"/>
      <c r="AD42" s="1452"/>
      <c r="AF42" s="1423" t="s">
        <v>2235</v>
      </c>
      <c r="AG42" s="1424"/>
      <c r="AH42" s="1424"/>
      <c r="AI42" s="66"/>
      <c r="AJ42" s="124"/>
      <c r="AK42" s="124"/>
    </row>
    <row r="43" spans="1:37" ht="18" customHeight="1" x14ac:dyDescent="0.25">
      <c r="A43" s="633">
        <f>IF('Table 3-A| Emission Units'!$B60=0,0,'Table 3-A| Emission Units'!$A60&amp;"-"&amp;'Table 3-A| Emission Units'!$B60)</f>
        <v>0</v>
      </c>
      <c r="B43" s="628">
        <f>'Table 3-A| Emission Units'!$C60</f>
        <v>30502006</v>
      </c>
      <c r="C43" s="635">
        <f>IF($A43=0,0,IF('Table 6-A| Controls &amp; Limits'!$C$23="Yes",('Table 5-A| Primary MPTE'!$E109*('Table 6-A| Controls &amp; Limits'!$E$23/'Table 6-A| Controls &amp; Limits'!$D$23)),'Table 5-A| Primary MPTE'!$E109))</f>
        <v>0</v>
      </c>
      <c r="D43" s="627" t="str">
        <f>'Table 5-A| Primary MPTE'!$D109</f>
        <v/>
      </c>
      <c r="E43" s="636">
        <f>IFERROR(IFERROR(1-VLOOKUP('Table 6-A| Controls &amp; Limits'!$K$21,'Emission Controls'!$A$20:$L$33,4,),1)*'Table 5-A| Primary MPTE'!G109*($C43/'Table 5-A| Primary MPTE'!$E109),0)</f>
        <v>0</v>
      </c>
      <c r="F43" s="637">
        <f>IFERROR(IFERROR(1-VLOOKUP('Table 6-A| Controls &amp; Limits'!$K$21,'Emission Controls'!$A$20:$L$33,5,),1)*'Table 5-A| Primary MPTE'!H109*($C43/'Table 5-A| Primary MPTE'!$E109),0)</f>
        <v>0</v>
      </c>
      <c r="G43" s="637">
        <f>IFERROR(IFERROR(1-VLOOKUP('Table 6-A| Controls &amp; Limits'!$K$21,'Emission Controls'!$A$20:$L$33,6,),1)*('Table 5-A| Primary MPTE'!I109*$C43/'Table 5-A| Primary MPTE'!$E109),0)</f>
        <v>0</v>
      </c>
      <c r="H43" s="637">
        <f>IFERROR(IFERROR(1-VLOOKUP('Table 6-A| Controls &amp; Limits'!$K$21,'Emission Controls'!$A$20:$L$33,7,),1)*('Table 5-A| Primary MPTE'!J109*$C43/'Table 5-A| Primary MPTE'!$E109),0)</f>
        <v>0</v>
      </c>
      <c r="I43" s="637">
        <f>IFERROR(IFERROR(1-VLOOKUP('Table 6-A| Controls &amp; Limits'!$K$21,'Emission Controls'!$A$20:$L$33,8,),1)*('Table 5-A| Primary MPTE'!K109*$C43/'Table 5-A| Primary MPTE'!$E109),0)</f>
        <v>0</v>
      </c>
      <c r="J43" s="637">
        <f>IFERROR(IFERROR(1-VLOOKUP('Table 6-A| Controls &amp; Limits'!$K$21,'Emission Controls'!$A$20:$L$33,9,),1)*('Table 5-A| Primary MPTE'!L109*$C43/'Table 5-A| Primary MPTE'!$E109),0)</f>
        <v>0</v>
      </c>
      <c r="K43" s="637">
        <f>IFERROR(IFERROR(1-VLOOKUP('Table 6-A| Controls &amp; Limits'!$K$21,'Emission Controls'!$A$20:$L$33,10,),1)*('Table 5-A| Primary MPTE'!M109*$C43/'Table 5-A| Primary MPTE'!$E109),0)</f>
        <v>0</v>
      </c>
      <c r="L43" s="637">
        <f>IFERROR(IFERROR(1-VLOOKUP('Table 6-A| Controls &amp; Limits'!$K$21,'Emission Controls'!$A$20:$L$33,11,),1)*('Table 5-A| Primary MPTE'!N109*$C43/'Table 5-A| Primary MPTE'!$E109),0)</f>
        <v>0</v>
      </c>
      <c r="M43" s="638">
        <f>IFERROR(IFERROR(1-VLOOKUP('Table 6-A| Controls &amp; Limits'!$K$21,'Emission Controls'!$A$20:$L$33,12,),1)*('Table 5-A| Primary MPTE'!O109*$C43/'Table 5-A| Primary MPTE'!$E109),0)</f>
        <v>0</v>
      </c>
      <c r="S43" s="539" t="s">
        <v>2219</v>
      </c>
      <c r="T43" s="539" t="s">
        <v>2220</v>
      </c>
      <c r="U43" s="539" t="s">
        <v>2221</v>
      </c>
      <c r="V43" s="539" t="s">
        <v>2222</v>
      </c>
      <c r="W43" s="539" t="s">
        <v>2223</v>
      </c>
      <c r="X43" s="539" t="s">
        <v>2224</v>
      </c>
      <c r="Y43" s="539" t="s">
        <v>2219</v>
      </c>
      <c r="Z43" s="539" t="s">
        <v>2220</v>
      </c>
      <c r="AA43" s="539" t="s">
        <v>2221</v>
      </c>
      <c r="AB43" s="539" t="s">
        <v>2222</v>
      </c>
      <c r="AC43" s="539" t="s">
        <v>2223</v>
      </c>
      <c r="AD43" s="539" t="s">
        <v>2224</v>
      </c>
      <c r="AF43" s="1423" t="s">
        <v>2244</v>
      </c>
      <c r="AG43" s="1424"/>
      <c r="AH43" s="1424"/>
      <c r="AI43" s="66" t="s">
        <v>2202</v>
      </c>
      <c r="AJ43" s="662">
        <v>0.45</v>
      </c>
      <c r="AK43" s="663" t="s">
        <v>2243</v>
      </c>
    </row>
    <row r="44" spans="1:37" ht="18" customHeight="1" x14ac:dyDescent="0.25">
      <c r="A44" s="302">
        <f>IF('Table 3-A| Emission Units'!$B61=0,0,'Table 3-A| Emission Units'!$A61&amp;"-"&amp;'Table 3-A| Emission Units'!$B61)</f>
        <v>0</v>
      </c>
      <c r="B44" s="303">
        <f>'Table 3-A| Emission Units'!$C61</f>
        <v>30502003</v>
      </c>
      <c r="C44" s="305">
        <f>IF($A44=0,0,IF('Table 6-A| Controls &amp; Limits'!$C$23="Yes",('Table 5-A| Primary MPTE'!$E110*('Table 6-A| Controls &amp; Limits'!$E$23/'Table 6-A| Controls &amp; Limits'!$D$23)),'Table 5-A| Primary MPTE'!$E110))</f>
        <v>0</v>
      </c>
      <c r="D44" s="386" t="str">
        <f>'Table 5-A| Primary MPTE'!$D110</f>
        <v/>
      </c>
      <c r="E44" s="387">
        <f>IFERROR(IFERROR(1-VLOOKUP('Table 6-A| Controls &amp; Limits'!$K$21,'Emission Controls'!$A$20:$L$33,4,),1)*'Table 5-A| Primary MPTE'!G110*($C44/'Table 5-A| Primary MPTE'!$E110),0)</f>
        <v>0</v>
      </c>
      <c r="F44" s="388">
        <f>IFERROR(IFERROR(1-VLOOKUP('Table 6-A| Controls &amp; Limits'!$K$21,'Emission Controls'!$A$20:$L$33,5,),1)*'Table 5-A| Primary MPTE'!H110*($C44/'Table 5-A| Primary MPTE'!$E110),0)</f>
        <v>0</v>
      </c>
      <c r="G44" s="388">
        <f>IFERROR(IFERROR(1-VLOOKUP('Table 6-A| Controls &amp; Limits'!$K$21,'Emission Controls'!$A$20:$L$33,6,),1)*('Table 5-A| Primary MPTE'!I110*$C44/'Table 5-A| Primary MPTE'!$E110),0)</f>
        <v>0</v>
      </c>
      <c r="H44" s="388">
        <f>IFERROR(IFERROR(1-VLOOKUP('Table 6-A| Controls &amp; Limits'!$K$21,'Emission Controls'!$A$20:$L$33,7,),1)*('Table 5-A| Primary MPTE'!J110*$C44/'Table 5-A| Primary MPTE'!$E110),0)</f>
        <v>0</v>
      </c>
      <c r="I44" s="388">
        <f>IFERROR(IFERROR(1-VLOOKUP('Table 6-A| Controls &amp; Limits'!$K$21,'Emission Controls'!$A$20:$L$33,8,),1)*('Table 5-A| Primary MPTE'!K110*$C44/'Table 5-A| Primary MPTE'!$E110),0)</f>
        <v>0</v>
      </c>
      <c r="J44" s="388">
        <f>IFERROR(IFERROR(1-VLOOKUP('Table 6-A| Controls &amp; Limits'!$K$21,'Emission Controls'!$A$20:$L$33,9,),1)*('Table 5-A| Primary MPTE'!L110*$C44/'Table 5-A| Primary MPTE'!$E110),0)</f>
        <v>0</v>
      </c>
      <c r="K44" s="388">
        <f>IFERROR(IFERROR(1-VLOOKUP('Table 6-A| Controls &amp; Limits'!$K$21,'Emission Controls'!$A$20:$L$33,10,),1)*('Table 5-A| Primary MPTE'!M110*$C44/'Table 5-A| Primary MPTE'!$E110),0)</f>
        <v>0</v>
      </c>
      <c r="L44" s="388">
        <f>IFERROR(IFERROR(1-VLOOKUP('Table 6-A| Controls &amp; Limits'!$K$21,'Emission Controls'!$A$20:$L$33,11,),1)*('Table 5-A| Primary MPTE'!N110*$C44/'Table 5-A| Primary MPTE'!$E110),0)</f>
        <v>0</v>
      </c>
      <c r="M44" s="389">
        <f>IFERROR(IFERROR(1-VLOOKUP('Table 6-A| Controls &amp; Limits'!$K$21,'Emission Controls'!$A$20:$L$33,12,),1)*('Table 5-A| Primary MPTE'!O110*$C44/'Table 5-A| Primary MPTE'!$E110),0)</f>
        <v>0</v>
      </c>
      <c r="Q44" s="1449" t="s">
        <v>2294</v>
      </c>
      <c r="R44" s="1385"/>
      <c r="S44" s="593">
        <f>IFERROR('Table 5-A| Primary MPTE'!AE139*(S26/'Table 5-A| Primary MPTE'!AE121),0)</f>
        <v>0</v>
      </c>
      <c r="T44" s="593">
        <f>IFERROR('Table 5-A| Primary MPTE'!AF139*(T26/'Table 5-A| Primary MPTE'!AF121),0)</f>
        <v>0</v>
      </c>
      <c r="U44" s="593">
        <f>IFERROR('Table 5-A| Primary MPTE'!AG139*(U26/'Table 5-A| Primary MPTE'!AG121),0)</f>
        <v>0</v>
      </c>
      <c r="V44" s="593">
        <f>IFERROR('Table 5-A| Primary MPTE'!AH139*(V26/'Table 5-A| Primary MPTE'!AH121),0)</f>
        <v>0</v>
      </c>
      <c r="W44" s="593">
        <f>IFERROR('Table 5-A| Primary MPTE'!AI139*(W26/'Table 5-A| Primary MPTE'!AI121),0)</f>
        <v>0</v>
      </c>
      <c r="X44" s="593">
        <f>IFERROR('Table 5-A| Primary MPTE'!AJ139*(X26/'Table 5-A| Primary MPTE'!AJ121),0)</f>
        <v>0</v>
      </c>
      <c r="Y44" s="713"/>
      <c r="Z44" s="713"/>
      <c r="AA44" s="713"/>
      <c r="AB44" s="713"/>
      <c r="AC44" s="713"/>
      <c r="AD44" s="713"/>
    </row>
    <row r="45" spans="1:37" ht="18" customHeight="1" x14ac:dyDescent="0.25">
      <c r="A45" s="302">
        <f>IF('Table 3-A| Emission Units'!$B62=0,0,'Table 3-A| Emission Units'!$A62&amp;"-"&amp;'Table 3-A| Emission Units'!$B62)</f>
        <v>0</v>
      </c>
      <c r="B45" s="303">
        <f ca="1">'Table 3-A| Emission Units'!$C62</f>
        <v>0</v>
      </c>
      <c r="C45" s="305">
        <f>IF($A45=0,0,IF('Table 6-A| Controls &amp; Limits'!$C$23="Yes",('Table 5-A| Primary MPTE'!$E111*('Table 6-A| Controls &amp; Limits'!$E$23/'Table 6-A| Controls &amp; Limits'!$D$23)),'Table 5-A| Primary MPTE'!$E111))</f>
        <v>0</v>
      </c>
      <c r="D45" s="386" t="str">
        <f>'Table 5-A| Primary MPTE'!$D111</f>
        <v/>
      </c>
      <c r="E45" s="387">
        <f>IFERROR(IFERROR(1-VLOOKUP('Table 6-A| Controls &amp; Limits'!$K$21,'Emission Controls'!$A$20:$L$33,4,),1)*'Table 5-A| Primary MPTE'!G111*($C45/'Table 5-A| Primary MPTE'!$E111),0)</f>
        <v>0</v>
      </c>
      <c r="F45" s="388">
        <f>IFERROR(IFERROR(1-VLOOKUP('Table 6-A| Controls &amp; Limits'!$K$21,'Emission Controls'!$A$20:$L$33,5,),1)*'Table 5-A| Primary MPTE'!H111*($C45/'Table 5-A| Primary MPTE'!$E111),0)</f>
        <v>0</v>
      </c>
      <c r="G45" s="388">
        <f>IFERROR(IFERROR(1-VLOOKUP('Table 6-A| Controls &amp; Limits'!$K$21,'Emission Controls'!$A$20:$L$33,6,),1)*('Table 5-A| Primary MPTE'!I111*$C45/'Table 5-A| Primary MPTE'!$E111),0)</f>
        <v>0</v>
      </c>
      <c r="H45" s="388">
        <f>IFERROR(IFERROR(1-VLOOKUP('Table 6-A| Controls &amp; Limits'!$K$21,'Emission Controls'!$A$20:$L$33,7,),1)*('Table 5-A| Primary MPTE'!J111*$C45/'Table 5-A| Primary MPTE'!$E111),0)</f>
        <v>0</v>
      </c>
      <c r="I45" s="388">
        <f>IFERROR(IFERROR(1-VLOOKUP('Table 6-A| Controls &amp; Limits'!$K$21,'Emission Controls'!$A$20:$L$33,8,),1)*('Table 5-A| Primary MPTE'!K111*$C45/'Table 5-A| Primary MPTE'!$E111),0)</f>
        <v>0</v>
      </c>
      <c r="J45" s="388">
        <f>IFERROR(IFERROR(1-VLOOKUP('Table 6-A| Controls &amp; Limits'!$K$21,'Emission Controls'!$A$20:$L$33,9,),1)*('Table 5-A| Primary MPTE'!L111*$C45/'Table 5-A| Primary MPTE'!$E111),0)</f>
        <v>0</v>
      </c>
      <c r="K45" s="388">
        <f>IFERROR(IFERROR(1-VLOOKUP('Table 6-A| Controls &amp; Limits'!$K$21,'Emission Controls'!$A$20:$L$33,10,),1)*('Table 5-A| Primary MPTE'!M111*$C45/'Table 5-A| Primary MPTE'!$E111),0)</f>
        <v>0</v>
      </c>
      <c r="L45" s="388">
        <f>IFERROR(IFERROR(1-VLOOKUP('Table 6-A| Controls &amp; Limits'!$K$21,'Emission Controls'!$A$20:$L$33,11,),1)*('Table 5-A| Primary MPTE'!N111*$C45/'Table 5-A| Primary MPTE'!$E111),0)</f>
        <v>0</v>
      </c>
      <c r="M45" s="389">
        <f>IFERROR(IFERROR(1-VLOOKUP('Table 6-A| Controls &amp; Limits'!$K$21,'Emission Controls'!$A$20:$L$33,12,),1)*('Table 5-A| Primary MPTE'!O111*$C45/'Table 5-A| Primary MPTE'!$E111),0)</f>
        <v>0</v>
      </c>
      <c r="Q45" s="1449" t="s">
        <v>2295</v>
      </c>
      <c r="R45" s="1385"/>
      <c r="S45" s="593">
        <f>IFERROR('Table 5-A| Primary MPTE'!AE140*(S27/'Table 5-A| Primary MPTE'!AE122),0)</f>
        <v>0</v>
      </c>
      <c r="T45" s="593">
        <f>IFERROR('Table 5-A| Primary MPTE'!AF140*(T27/'Table 5-A| Primary MPTE'!AF122),0)</f>
        <v>0</v>
      </c>
      <c r="U45" s="593">
        <f>IFERROR('Table 5-A| Primary MPTE'!AG140*(U27/'Table 5-A| Primary MPTE'!AG122),0)</f>
        <v>0</v>
      </c>
      <c r="V45" s="593">
        <f>IFERROR('Table 5-A| Primary MPTE'!AH140*(V27/'Table 5-A| Primary MPTE'!AH122),0)</f>
        <v>0</v>
      </c>
      <c r="W45" s="593">
        <f>IFERROR('Table 5-A| Primary MPTE'!AI140*(W27/'Table 5-A| Primary MPTE'!AI122),0)</f>
        <v>0</v>
      </c>
      <c r="X45" s="593">
        <f>IFERROR('Table 5-A| Primary MPTE'!AJ140*(X27/'Table 5-A| Primary MPTE'!AJ122),0)</f>
        <v>0</v>
      </c>
      <c r="Y45" s="713"/>
      <c r="Z45" s="713"/>
      <c r="AA45" s="713"/>
      <c r="AB45" s="713"/>
      <c r="AC45" s="713"/>
      <c r="AD45" s="713"/>
    </row>
    <row r="46" spans="1:37" ht="18" customHeight="1" x14ac:dyDescent="0.25">
      <c r="A46" s="302">
        <f>IF('Table 3-A| Emission Units'!$B63=0,0,'Table 3-A| Emission Units'!$A63&amp;"-"&amp;'Table 3-A| Emission Units'!$B63)</f>
        <v>0</v>
      </c>
      <c r="B46" s="303">
        <f ca="1">'Table 3-A| Emission Units'!$C63</f>
        <v>0</v>
      </c>
      <c r="C46" s="1414">
        <f>IF($A46=0,0,IF('Table 6-A| Controls &amp; Limits'!$C$23="Yes",('Table 5-A| Primary MPTE'!$E112*('Table 6-A| Controls &amp; Limits'!$E$23/'Table 6-A| Controls &amp; Limits'!$D$23)),'Table 5-A| Primary MPTE'!$E112))</f>
        <v>0</v>
      </c>
      <c r="D46" s="1417" t="str">
        <f>'Table 5-A| Primary MPTE'!$D112</f>
        <v/>
      </c>
      <c r="E46" s="1420">
        <f>IFERROR(IFERROR(1-VLOOKUP('Table 6-A| Controls &amp; Limits'!$K$21,'Emission Controls'!$A$20:$L$33,4,),1)*'Table 5-A| Primary MPTE'!G112*($C46/'Table 5-A| Primary MPTE'!$E112),0)</f>
        <v>0</v>
      </c>
      <c r="F46" s="1408">
        <f>IFERROR(IFERROR(1-VLOOKUP('Table 6-A| Controls &amp; Limits'!$K$21,'Emission Controls'!$A$20:$L$33,5,),1)*'Table 5-A| Primary MPTE'!H112*($C46/'Table 5-A| Primary MPTE'!$E112),0)</f>
        <v>0</v>
      </c>
      <c r="G46" s="1408">
        <f>IFERROR(IFERROR(1-VLOOKUP('Table 6-A| Controls &amp; Limits'!$K$21,'Emission Controls'!$A$20:$L$33,6,),1)*('Table 5-A| Primary MPTE'!I112*$C46/'Table 5-A| Primary MPTE'!$E112),0)</f>
        <v>0</v>
      </c>
      <c r="H46" s="1408">
        <f>IFERROR(IFERROR(1-VLOOKUP('Table 6-A| Controls &amp; Limits'!$K$21,'Emission Controls'!$A$20:$L$33,7,),1)*('Table 5-A| Primary MPTE'!J112*$C46/'Table 5-A| Primary MPTE'!$E112),0)</f>
        <v>0</v>
      </c>
      <c r="I46" s="1408">
        <f>IFERROR(IFERROR(1-VLOOKUP('Table 6-A| Controls &amp; Limits'!$K$21,'Emission Controls'!$A$20:$L$33,8,),1)*('Table 5-A| Primary MPTE'!K112*$C46/'Table 5-A| Primary MPTE'!$E112),0)</f>
        <v>0</v>
      </c>
      <c r="J46" s="1408">
        <f>IFERROR(IFERROR(1-VLOOKUP('Table 6-A| Controls &amp; Limits'!$K$21,'Emission Controls'!$A$20:$L$33,9,),1)*('Table 5-A| Primary MPTE'!L112*$C46/'Table 5-A| Primary MPTE'!$E112),0)</f>
        <v>0</v>
      </c>
      <c r="K46" s="1408">
        <f>IFERROR(IFERROR(1-VLOOKUP('Table 6-A| Controls &amp; Limits'!$K$21,'Emission Controls'!$A$20:$L$33,10,),1)*('Table 5-A| Primary MPTE'!M112*$C46/'Table 5-A| Primary MPTE'!$E112),0)</f>
        <v>0</v>
      </c>
      <c r="L46" s="1408">
        <f>IFERROR(IFERROR(1-VLOOKUP('Table 6-A| Controls &amp; Limits'!$K$21,'Emission Controls'!$A$20:$L$33,11,),1)*('Table 5-A| Primary MPTE'!N112*$C46/'Table 5-A| Primary MPTE'!$E112),0)</f>
        <v>0</v>
      </c>
      <c r="M46" s="1411">
        <f ca="1">IF(AND(SUM('Table 7-D| APTE HAP'!AK37:AU37)=0,SUM('Table 7-D| APTE HAP'!AK38:AU38)=0,SUM('Table 7-D| APTE HAP'!AK39:AU39)=0),0,IF(AND(SUM('Table 7-D| APTE HAP'!AK37:AU37)&gt;SUM('Table 7-D| APTE HAP'!AK38:AU38),SUM('Table 7-D| APTE HAP'!AK37:AU37)&gt;SUM('Table 7-D| APTE HAP'!AK39:AU39)),SUM('Table 7-D| APTE HAP'!AK37:AU37),IF(AND(SUM('Table 7-D| APTE HAP'!AK38:AU38)&gt;SUM('Table 7-D| APTE HAP'!AK37:AU37),SUM('Table 7-D| APTE HAP'!AK38:AU38)&gt;SUM('Table 7-D| APTE HAP'!AK39:AU39)),SUM('Table 7-D| APTE HAP'!AK38:AU38),SUM('Table 7-D| APTE HAP'!AK39:AU39))))</f>
        <v>0</v>
      </c>
      <c r="Q46" s="1449" t="s">
        <v>2311</v>
      </c>
      <c r="R46" s="1385"/>
      <c r="S46" s="593">
        <f>IFERROR('Table 5-A| Primary MPTE'!AE141*(S28/'Table 5-A| Primary MPTE'!AE123),0)</f>
        <v>0</v>
      </c>
      <c r="T46" s="593">
        <f>IFERROR('Table 5-A| Primary MPTE'!AF141*(T28/'Table 5-A| Primary MPTE'!AF123),0)</f>
        <v>0</v>
      </c>
      <c r="U46" s="593">
        <f>IFERROR('Table 5-A| Primary MPTE'!AG141*(U28/'Table 5-A| Primary MPTE'!AG123),0)</f>
        <v>0</v>
      </c>
      <c r="V46" s="593">
        <f>IFERROR('Table 5-A| Primary MPTE'!AH141*(V28/'Table 5-A| Primary MPTE'!AH123),0)</f>
        <v>0</v>
      </c>
      <c r="W46" s="593">
        <f>IFERROR('Table 5-A| Primary MPTE'!AI141*(W28/'Table 5-A| Primary MPTE'!AI123),0)</f>
        <v>0</v>
      </c>
      <c r="X46" s="593">
        <f>IFERROR('Table 5-A| Primary MPTE'!AJ141*(X28/'Table 5-A| Primary MPTE'!AJ123),0)</f>
        <v>0</v>
      </c>
      <c r="Y46" s="713"/>
      <c r="Z46" s="713"/>
      <c r="AA46" s="713"/>
      <c r="AB46" s="713"/>
      <c r="AC46" s="713"/>
      <c r="AD46" s="713"/>
    </row>
    <row r="47" spans="1:37" ht="18" customHeight="1" x14ac:dyDescent="0.25">
      <c r="A47" s="302">
        <f>IF('Table 3-A| Emission Units'!$B64=0,0,'Table 3-A| Emission Units'!$A64&amp;"-"&amp;'Table 3-A| Emission Units'!$B64)</f>
        <v>0</v>
      </c>
      <c r="B47" s="303">
        <f ca="1">'Table 3-A| Emission Units'!$C64</f>
        <v>0</v>
      </c>
      <c r="C47" s="1415">
        <f>IF($A47=0,0,IF('Table 6-A| Controls &amp; Limits'!$C$23="Yes",('Table 5-A| Primary MPTE'!$E113*('Table 6-A| Controls &amp; Limits'!$E$23/'Table 6-A| Controls &amp; Limits'!$D$23)),'Table 5-A| Primary MPTE'!$E113))</f>
        <v>0</v>
      </c>
      <c r="D47" s="1418"/>
      <c r="E47" s="1421">
        <f>IFERROR(IFERROR(1-VLOOKUP('Table 6-A| Controls &amp; Limits'!$K$21,'Emission Controls'!$A$20:$L$33,4,),1)*'Table 5-A| Primary MPTE'!G113*($C47/'Table 5-A| Primary MPTE'!$E113),0)</f>
        <v>0</v>
      </c>
      <c r="F47" s="1409">
        <f>IFERROR(IFERROR(1-VLOOKUP('Table 6-A| Controls &amp; Limits'!$K$21,'Emission Controls'!$A$20:$L$33,5,),1)*'Table 5-A| Primary MPTE'!H113*($C47/'Table 5-A| Primary MPTE'!$E113),0)</f>
        <v>0</v>
      </c>
      <c r="G47" s="1409">
        <f>IFERROR(IFERROR(1-VLOOKUP('Table 6-A| Controls &amp; Limits'!$K$21,'Emission Controls'!$A$20:$L$33,6,),1)*('Table 5-A| Primary MPTE'!I113*$C47/'Table 5-A| Primary MPTE'!$E113),0)</f>
        <v>0</v>
      </c>
      <c r="H47" s="1409">
        <f>IFERROR(IFERROR(1-VLOOKUP('Table 6-A| Controls &amp; Limits'!$K$21,'Emission Controls'!$A$20:$L$33,7,),1)*('Table 5-A| Primary MPTE'!J113*$C47/'Table 5-A| Primary MPTE'!$E113),0)</f>
        <v>0</v>
      </c>
      <c r="I47" s="1409">
        <f>IFERROR(IFERROR(1-VLOOKUP('Table 6-A| Controls &amp; Limits'!$K$21,'Emission Controls'!$A$20:$L$33,8,),1)*('Table 5-A| Primary MPTE'!K113*$C47/'Table 5-A| Primary MPTE'!$E113),0)</f>
        <v>0</v>
      </c>
      <c r="J47" s="1409">
        <f>IFERROR(IFERROR(1-VLOOKUP('Table 6-A| Controls &amp; Limits'!$K$21,'Emission Controls'!$A$20:$L$33,9,),1)*('Table 5-A| Primary MPTE'!L113*$C47/'Table 5-A| Primary MPTE'!$E113),0)</f>
        <v>0</v>
      </c>
      <c r="K47" s="1409">
        <f>IFERROR(IFERROR(1-VLOOKUP('Table 6-A| Controls &amp; Limits'!$K$21,'Emission Controls'!$A$20:$L$33,10,),1)*('Table 5-A| Primary MPTE'!M113*$C47/'Table 5-A| Primary MPTE'!$E113),0)</f>
        <v>0</v>
      </c>
      <c r="L47" s="1409">
        <f>IFERROR(IFERROR(1-VLOOKUP('Table 6-A| Controls &amp; Limits'!$K$21,'Emission Controls'!$A$20:$L$33,11,),1)*('Table 5-A| Primary MPTE'!N113*$C47/'Table 5-A| Primary MPTE'!$E113),0)</f>
        <v>0</v>
      </c>
      <c r="M47" s="1412">
        <f>IFERROR(IFERROR(1-VLOOKUP('Table 6-A| Controls &amp; Limits'!$K$21,'Emission Controls'!$A$20:$L$33,12,),1)*('Table 5-A| Primary MPTE'!O113*$C47/'Table 5-A| Primary MPTE'!$E113),0)</f>
        <v>0</v>
      </c>
      <c r="Q47" s="1449" t="s">
        <v>2312</v>
      </c>
      <c r="R47" s="1385"/>
      <c r="S47" s="593">
        <f>IFERROR('Table 5-A| Primary MPTE'!AE142*(S29/'Table 5-A| Primary MPTE'!AE124),0)</f>
        <v>0</v>
      </c>
      <c r="T47" s="593">
        <f>IFERROR('Table 5-A| Primary MPTE'!AF142*(T29/'Table 5-A| Primary MPTE'!AF124),0)</f>
        <v>0</v>
      </c>
      <c r="U47" s="593">
        <f>IFERROR('Table 5-A| Primary MPTE'!AG142*(U29/'Table 5-A| Primary MPTE'!AG124),0)</f>
        <v>0</v>
      </c>
      <c r="V47" s="593">
        <f>IFERROR('Table 5-A| Primary MPTE'!AH142*(V29/'Table 5-A| Primary MPTE'!AH124),0)</f>
        <v>0</v>
      </c>
      <c r="W47" s="593">
        <f>IFERROR('Table 5-A| Primary MPTE'!AI142*(W29/'Table 5-A| Primary MPTE'!AI124),0)</f>
        <v>0</v>
      </c>
      <c r="X47" s="593">
        <f>IFERROR('Table 5-A| Primary MPTE'!AJ142*(X29/'Table 5-A| Primary MPTE'!AJ124),0)</f>
        <v>0</v>
      </c>
      <c r="Y47" s="713"/>
      <c r="Z47" s="713"/>
      <c r="AA47" s="713"/>
      <c r="AB47" s="713"/>
      <c r="AC47" s="713"/>
      <c r="AD47" s="713"/>
    </row>
    <row r="48" spans="1:37" ht="18" customHeight="1" x14ac:dyDescent="0.25">
      <c r="A48" s="302">
        <f>IF('Table 3-A| Emission Units'!$B65=0,0,'Table 3-A| Emission Units'!$A65&amp;"-"&amp;'Table 3-A| Emission Units'!$B65)</f>
        <v>0</v>
      </c>
      <c r="B48" s="303">
        <f ca="1">'Table 3-A| Emission Units'!$C65</f>
        <v>0</v>
      </c>
      <c r="C48" s="1416">
        <f>IF($A48=0,0,IF('Table 6-A| Controls &amp; Limits'!$C$23="Yes",('Table 5-A| Primary MPTE'!$E114*('Table 6-A| Controls &amp; Limits'!$E$23/'Table 6-A| Controls &amp; Limits'!$D$23)),'Table 5-A| Primary MPTE'!$E114))</f>
        <v>0</v>
      </c>
      <c r="D48" s="1419"/>
      <c r="E48" s="1422">
        <f>IFERROR(IFERROR(1-VLOOKUP('Table 6-A| Controls &amp; Limits'!$K$21,'Emission Controls'!$A$20:$L$33,4,),1)*'Table 5-A| Primary MPTE'!G114*($C48/'Table 5-A| Primary MPTE'!$E114),0)</f>
        <v>0</v>
      </c>
      <c r="F48" s="1410">
        <f>IFERROR(IFERROR(1-VLOOKUP('Table 6-A| Controls &amp; Limits'!$K$21,'Emission Controls'!$A$20:$L$33,5,),1)*'Table 5-A| Primary MPTE'!H114*($C48/'Table 5-A| Primary MPTE'!$E114),0)</f>
        <v>0</v>
      </c>
      <c r="G48" s="1410">
        <f>IFERROR(IFERROR(1-VLOOKUP('Table 6-A| Controls &amp; Limits'!$K$21,'Emission Controls'!$A$20:$L$33,6,),1)*('Table 5-A| Primary MPTE'!I114*$C48/'Table 5-A| Primary MPTE'!$E114),0)</f>
        <v>0</v>
      </c>
      <c r="H48" s="1410">
        <f>IFERROR(IFERROR(1-VLOOKUP('Table 6-A| Controls &amp; Limits'!$K$21,'Emission Controls'!$A$20:$L$33,7,),1)*('Table 5-A| Primary MPTE'!J114*$C48/'Table 5-A| Primary MPTE'!$E114),0)</f>
        <v>0</v>
      </c>
      <c r="I48" s="1410">
        <f>IFERROR(IFERROR(1-VLOOKUP('Table 6-A| Controls &amp; Limits'!$K$21,'Emission Controls'!$A$20:$L$33,8,),1)*('Table 5-A| Primary MPTE'!K114*$C48/'Table 5-A| Primary MPTE'!$E114),0)</f>
        <v>0</v>
      </c>
      <c r="J48" s="1410">
        <f>IFERROR(IFERROR(1-VLOOKUP('Table 6-A| Controls &amp; Limits'!$K$21,'Emission Controls'!$A$20:$L$33,9,),1)*('Table 5-A| Primary MPTE'!L114*$C48/'Table 5-A| Primary MPTE'!$E114),0)</f>
        <v>0</v>
      </c>
      <c r="K48" s="1410">
        <f>IFERROR(IFERROR(1-VLOOKUP('Table 6-A| Controls &amp; Limits'!$K$21,'Emission Controls'!$A$20:$L$33,10,),1)*('Table 5-A| Primary MPTE'!M114*$C48/'Table 5-A| Primary MPTE'!$E114),0)</f>
        <v>0</v>
      </c>
      <c r="L48" s="1410">
        <f>IFERROR(IFERROR(1-VLOOKUP('Table 6-A| Controls &amp; Limits'!$K$21,'Emission Controls'!$A$20:$L$33,11,),1)*('Table 5-A| Primary MPTE'!N114*$C48/'Table 5-A| Primary MPTE'!$E114),0)</f>
        <v>0</v>
      </c>
      <c r="M48" s="1413">
        <f>IFERROR(IFERROR(1-VLOOKUP('Table 6-A| Controls &amp; Limits'!$K$21,'Emission Controls'!$A$20:$L$33,12,),1)*('Table 5-A| Primary MPTE'!O114*$C48/'Table 5-A| Primary MPTE'!$E114),0)</f>
        <v>0</v>
      </c>
      <c r="Q48" s="1449" t="s">
        <v>2300</v>
      </c>
      <c r="R48" s="1385"/>
      <c r="S48" s="593">
        <f>IFERROR('Table 5-A| Primary MPTE'!AE143*(S30/'Table 5-A| Primary MPTE'!AE125),0)</f>
        <v>0</v>
      </c>
      <c r="T48" s="593">
        <f>IFERROR('Table 5-A| Primary MPTE'!AF143*(T30/'Table 5-A| Primary MPTE'!AF125),0)</f>
        <v>0</v>
      </c>
      <c r="U48" s="593">
        <f>IFERROR('Table 5-A| Primary MPTE'!AG143*(U30/'Table 5-A| Primary MPTE'!AG125),0)</f>
        <v>0</v>
      </c>
      <c r="V48" s="593">
        <f>IFERROR('Table 5-A| Primary MPTE'!AH143*(V30/'Table 5-A| Primary MPTE'!AH125),0)</f>
        <v>0</v>
      </c>
      <c r="W48" s="593">
        <f>IFERROR('Table 5-A| Primary MPTE'!AI143*(W30/'Table 5-A| Primary MPTE'!AI125),0)</f>
        <v>0</v>
      </c>
      <c r="X48" s="593">
        <f>IFERROR('Table 5-A| Primary MPTE'!AJ143*(X30/'Table 5-A| Primary MPTE'!AJ125),0)</f>
        <v>0</v>
      </c>
      <c r="Y48" s="593">
        <f>IFERROR('Table 5-A| Primary MPTE'!AK143*(Y30/'Table 5-A| Primary MPTE'!AK125),0)</f>
        <v>0</v>
      </c>
      <c r="Z48" s="593">
        <f>IFERROR('Table 5-A| Primary MPTE'!AL143*(Z30/'Table 5-A| Primary MPTE'!AL125),0)</f>
        <v>0</v>
      </c>
      <c r="AA48" s="593">
        <f>IFERROR('Table 5-A| Primary MPTE'!AM143*(AA30/'Table 5-A| Primary MPTE'!AM125),0)</f>
        <v>0</v>
      </c>
      <c r="AB48" s="593">
        <f>IFERROR('Table 5-A| Primary MPTE'!AN143*(AB30/'Table 5-A| Primary MPTE'!AN125),0)</f>
        <v>0</v>
      </c>
      <c r="AC48" s="593">
        <f>IFERROR('Table 5-A| Primary MPTE'!AO143*(AC30/'Table 5-A| Primary MPTE'!AO125),0)</f>
        <v>0</v>
      </c>
      <c r="AD48" s="593">
        <f>IFERROR('Table 5-A| Primary MPTE'!AP143*(AD30/'Table 5-A| Primary MPTE'!AP125),0)</f>
        <v>0</v>
      </c>
    </row>
    <row r="49" spans="1:30" ht="18" customHeight="1" x14ac:dyDescent="0.25">
      <c r="A49" s="302">
        <f>IF('Table 3-A| Emission Units'!$B66=0,0,'Table 3-A| Emission Units'!$A66&amp;"-"&amp;'Table 3-A| Emission Units'!$B66)</f>
        <v>0</v>
      </c>
      <c r="B49" s="303">
        <f>'Table 3-A| Emission Units'!$C66</f>
        <v>30500213</v>
      </c>
      <c r="C49" s="305">
        <f>IF($A49=0,0,IF('Table 6-A| Controls &amp; Limits'!$C$23="Yes",('Table 5-A| Primary MPTE'!$E115*('Table 6-A| Controls &amp; Limits'!$E$23/'Table 6-A| Controls &amp; Limits'!$D$23)),'Table 5-A| Primary MPTE'!$E115))</f>
        <v>0</v>
      </c>
      <c r="D49" s="386" t="str">
        <f>'Table 5-A| Primary MPTE'!$D115</f>
        <v/>
      </c>
      <c r="E49" s="387">
        <f>IFERROR(IFERROR(1-VLOOKUP('Table 6-A| Controls &amp; Limits'!$K$21,'Emission Controls'!$A$20:$L$33,4,),1)*'Table 5-A| Primary MPTE'!G115*($C49/'Table 5-A| Primary MPTE'!$E115),0)</f>
        <v>0</v>
      </c>
      <c r="F49" s="388">
        <f>IFERROR(IFERROR(1-VLOOKUP('Table 6-A| Controls &amp; Limits'!$K$21,'Emission Controls'!$A$20:$L$33,5,),1)*'Table 5-A| Primary MPTE'!H115*($C49/'Table 5-A| Primary MPTE'!$E115),0)</f>
        <v>0</v>
      </c>
      <c r="G49" s="388">
        <f>IFERROR(IFERROR(1-VLOOKUP('Table 6-A| Controls &amp; Limits'!$K$21,'Emission Controls'!$A$20:$L$33,6,),1)*('Table 5-A| Primary MPTE'!I115*$C49/'Table 5-A| Primary MPTE'!$E115),0)</f>
        <v>0</v>
      </c>
      <c r="H49" s="388">
        <f>IFERROR(IFERROR(1-VLOOKUP('Table 6-A| Controls &amp; Limits'!$K$21,'Emission Controls'!$A$20:$L$33,7,),1)*('Table 5-A| Primary MPTE'!J115*$C49/'Table 5-A| Primary MPTE'!$E115),0)</f>
        <v>0</v>
      </c>
      <c r="I49" s="388">
        <f>IFERROR(IFERROR(1-VLOOKUP('Table 6-A| Controls &amp; Limits'!$K$21,'Emission Controls'!$A$20:$L$33,8,),1)*('Table 5-A| Primary MPTE'!K115*$C49/'Table 5-A| Primary MPTE'!$E115),0)</f>
        <v>0</v>
      </c>
      <c r="J49" s="388">
        <f>IFERROR(IFERROR(1-VLOOKUP('Table 6-A| Controls &amp; Limits'!$K$21,'Emission Controls'!$A$20:$L$33,9,),1)*('Table 5-A| Primary MPTE'!L115*$C49/'Table 5-A| Primary MPTE'!$E115),0)</f>
        <v>0</v>
      </c>
      <c r="K49" s="388">
        <f>IFERROR(IFERROR(1-VLOOKUP('Table 6-A| Controls &amp; Limits'!$K$21,'Emission Controls'!$A$20:$L$33,10,),1)*('Table 5-A| Primary MPTE'!M115*$C49/'Table 5-A| Primary MPTE'!$E115),0)</f>
        <v>0</v>
      </c>
      <c r="L49" s="388">
        <f>IFERROR(IFERROR(1-VLOOKUP('Table 6-A| Controls &amp; Limits'!$K$21,'Emission Controls'!$A$20:$L$33,11,),1)*('Table 5-A| Primary MPTE'!N115*$C49/'Table 5-A| Primary MPTE'!$E115),0)</f>
        <v>0</v>
      </c>
      <c r="M49" s="389">
        <f>IFERROR(IFERROR(1-VLOOKUP('Table 6-A| Controls &amp; Limits'!$K$21,'Emission Controls'!$A$20:$L$33,12,),1)*('Table 5-A| Primary MPTE'!O115*$C49/'Table 5-A| Primary MPTE'!$E115),0)</f>
        <v>0</v>
      </c>
      <c r="Q49" s="1449" t="s">
        <v>2301</v>
      </c>
      <c r="R49" s="1385"/>
      <c r="S49" s="593">
        <f>IFERROR('Table 5-A| Primary MPTE'!AE144*(S31/'Table 5-A| Primary MPTE'!AE126),0)</f>
        <v>0</v>
      </c>
      <c r="T49" s="593">
        <f>IFERROR('Table 5-A| Primary MPTE'!AF144*(T31/'Table 5-A| Primary MPTE'!AF126),0)</f>
        <v>0</v>
      </c>
      <c r="U49" s="593">
        <f>IFERROR('Table 5-A| Primary MPTE'!AG144*(U31/'Table 5-A| Primary MPTE'!AG126),0)</f>
        <v>0</v>
      </c>
      <c r="V49" s="593">
        <f>IFERROR('Table 5-A| Primary MPTE'!AH144*(V31/'Table 5-A| Primary MPTE'!AH126),0)</f>
        <v>0</v>
      </c>
      <c r="W49" s="593">
        <f>IFERROR('Table 5-A| Primary MPTE'!AI144*(W31/'Table 5-A| Primary MPTE'!AI126),0)</f>
        <v>0</v>
      </c>
      <c r="X49" s="593">
        <f>IFERROR('Table 5-A| Primary MPTE'!AJ144*(X31/'Table 5-A| Primary MPTE'!AJ126),0)</f>
        <v>0</v>
      </c>
      <c r="Y49" s="593">
        <f>IFERROR('Table 5-A| Primary MPTE'!AK144*(Y31/'Table 5-A| Primary MPTE'!AK126),0)</f>
        <v>0</v>
      </c>
      <c r="Z49" s="593">
        <f>IFERROR('Table 5-A| Primary MPTE'!AL144*(Z31/'Table 5-A| Primary MPTE'!AL126),0)</f>
        <v>0</v>
      </c>
      <c r="AA49" s="593">
        <f>IFERROR('Table 5-A| Primary MPTE'!AM144*(AA31/'Table 5-A| Primary MPTE'!AM126),0)</f>
        <v>0</v>
      </c>
      <c r="AB49" s="593">
        <f>IFERROR('Table 5-A| Primary MPTE'!AN144*(AB31/'Table 5-A| Primary MPTE'!AN126),0)</f>
        <v>0</v>
      </c>
      <c r="AC49" s="593">
        <f>IFERROR('Table 5-A| Primary MPTE'!AO144*(AC31/'Table 5-A| Primary MPTE'!AO126),0)</f>
        <v>0</v>
      </c>
      <c r="AD49" s="593">
        <f>IFERROR('Table 5-A| Primary MPTE'!AP144*(AD31/'Table 5-A| Primary MPTE'!AP126),0)</f>
        <v>0</v>
      </c>
    </row>
    <row r="50" spans="1:30" ht="18" customHeight="1" x14ac:dyDescent="0.25">
      <c r="A50" s="302">
        <f>IF('Table 3-A| Emission Units'!$B67=0,0,'Table 3-A| Emission Units'!$A67&amp;"-"&amp;'Table 3-A| Emission Units'!$B67)</f>
        <v>0</v>
      </c>
      <c r="B50" s="303">
        <f>'Table 3-A| Emission Units'!$C67</f>
        <v>30500214</v>
      </c>
      <c r="C50" s="305">
        <f>IF($A50=0,0,IF('Table 6-A| Controls &amp; Limits'!$C$23="Yes",('Table 5-A| Primary MPTE'!$E116*('Table 6-A| Controls &amp; Limits'!$E$23/'Table 6-A| Controls &amp; Limits'!$D$23)),'Table 5-A| Primary MPTE'!$E116))</f>
        <v>0</v>
      </c>
      <c r="D50" s="386" t="str">
        <f>'Table 5-A| Primary MPTE'!$D116</f>
        <v/>
      </c>
      <c r="E50" s="387">
        <f>IFERROR(IFERROR(1-VLOOKUP('Table 6-A| Controls &amp; Limits'!$K$21,'Emission Controls'!$A$20:$L$33,4,),1)*'Table 5-A| Primary MPTE'!G116*($C50/'Table 5-A| Primary MPTE'!$E116),0)</f>
        <v>0</v>
      </c>
      <c r="F50" s="388">
        <f>IFERROR(IFERROR(1-VLOOKUP('Table 6-A| Controls &amp; Limits'!$K$21,'Emission Controls'!$A$20:$L$33,5,),1)*'Table 5-A| Primary MPTE'!H116*($C50/'Table 5-A| Primary MPTE'!$E116),0)</f>
        <v>0</v>
      </c>
      <c r="G50" s="388">
        <f>IFERROR(IFERROR(1-VLOOKUP('Table 6-A| Controls &amp; Limits'!$K$21,'Emission Controls'!$A$20:$L$33,6,),1)*('Table 5-A| Primary MPTE'!I116*$C50/'Table 5-A| Primary MPTE'!$E116),0)</f>
        <v>0</v>
      </c>
      <c r="H50" s="388">
        <f>IFERROR(IFERROR(1-VLOOKUP('Table 6-A| Controls &amp; Limits'!$K$21,'Emission Controls'!$A$20:$L$33,7,),1)*('Table 5-A| Primary MPTE'!J116*$C50/'Table 5-A| Primary MPTE'!$E116),0)</f>
        <v>0</v>
      </c>
      <c r="I50" s="388">
        <f>IFERROR(IFERROR(1-VLOOKUP('Table 6-A| Controls &amp; Limits'!$K$21,'Emission Controls'!$A$20:$L$33,8,),1)*('Table 5-A| Primary MPTE'!K116*$C50/'Table 5-A| Primary MPTE'!$E116),0)</f>
        <v>0</v>
      </c>
      <c r="J50" s="388">
        <f>IFERROR(IFERROR(1-VLOOKUP('Table 6-A| Controls &amp; Limits'!$K$21,'Emission Controls'!$A$20:$L$33,9,),1)*('Table 5-A| Primary MPTE'!L116*$C50/'Table 5-A| Primary MPTE'!$E116),0)</f>
        <v>0</v>
      </c>
      <c r="K50" s="388">
        <f>IFERROR(IFERROR(1-VLOOKUP('Table 6-A| Controls &amp; Limits'!$K$21,'Emission Controls'!$A$20:$L$33,10,),1)*('Table 5-A| Primary MPTE'!M116*$C50/'Table 5-A| Primary MPTE'!$E116),0)</f>
        <v>0</v>
      </c>
      <c r="L50" s="388">
        <f>IFERROR(IFERROR(1-VLOOKUP('Table 6-A| Controls &amp; Limits'!$K$21,'Emission Controls'!$A$20:$L$33,11,),1)*('Table 5-A| Primary MPTE'!N116*$C50/'Table 5-A| Primary MPTE'!$E116),0)</f>
        <v>0</v>
      </c>
      <c r="M50" s="389">
        <f>IFERROR(IFERROR(1-VLOOKUP('Table 6-A| Controls &amp; Limits'!$K$21,'Emission Controls'!$A$20:$L$33,12,),1)*('Table 5-A| Primary MPTE'!O116*$C50/'Table 5-A| Primary MPTE'!$E116),0)</f>
        <v>0</v>
      </c>
    </row>
    <row r="51" spans="1:30" ht="18" customHeight="1" thickBot="1" x14ac:dyDescent="0.3">
      <c r="A51" s="302">
        <f>IF('Table 3-A| Emission Units'!$B68=0,0,'Table 3-A| Emission Units'!$A68&amp;"-"&amp;'Table 3-A| Emission Units'!$B68)</f>
        <v>0</v>
      </c>
      <c r="B51" s="303">
        <f>'Table 3-A| Emission Units'!$C68</f>
        <v>30500270</v>
      </c>
      <c r="C51" s="305">
        <f>IF($A51=0,0,IF('Table 6-A| Controls &amp; Limits'!$C$23="Yes",('Table 5-A| Primary MPTE'!$E117*('Table 6-A| Controls &amp; Limits'!$E$23/'Table 6-A| Controls &amp; Limits'!$D$23)),'Table 5-A| Primary MPTE'!$E117))</f>
        <v>0</v>
      </c>
      <c r="D51" s="386" t="str">
        <f>'Table 5-A| Primary MPTE'!$D117</f>
        <v/>
      </c>
      <c r="E51" s="387">
        <f>IFERROR(IFERROR(1-VLOOKUP('Table 6-A| Controls &amp; Limits'!$K$21,'Emission Controls'!$A$20:$L$33,4,),1)*'Table 5-A| Primary MPTE'!G117*($C51/'Table 5-A| Primary MPTE'!$E117),0)</f>
        <v>0</v>
      </c>
      <c r="F51" s="388">
        <f>IFERROR(IFERROR(1-VLOOKUP('Table 6-A| Controls &amp; Limits'!$K$21,'Emission Controls'!$A$20:$L$33,5,),1)*'Table 5-A| Primary MPTE'!H117*($C51/'Table 5-A| Primary MPTE'!$E117),0)</f>
        <v>0</v>
      </c>
      <c r="G51" s="388">
        <f>IFERROR(IFERROR(1-VLOOKUP('Table 6-A| Controls &amp; Limits'!$K$21,'Emission Controls'!$A$20:$L$33,6,),1)*('Table 5-A| Primary MPTE'!I117*$C51/'Table 5-A| Primary MPTE'!$E117),0)</f>
        <v>0</v>
      </c>
      <c r="H51" s="388">
        <f>IFERROR(IFERROR(1-VLOOKUP('Table 6-A| Controls &amp; Limits'!$K$21,'Emission Controls'!$A$20:$L$33,7,),1)*('Table 5-A| Primary MPTE'!J117*$C51/'Table 5-A| Primary MPTE'!$E117),0)</f>
        <v>0</v>
      </c>
      <c r="I51" s="388">
        <f>IFERROR(IFERROR(1-VLOOKUP('Table 6-A| Controls &amp; Limits'!$K$21,'Emission Controls'!$A$20:$L$33,8,),1)*('Table 5-A| Primary MPTE'!K117*$C51/'Table 5-A| Primary MPTE'!$E117),0)</f>
        <v>0</v>
      </c>
      <c r="J51" s="388">
        <f>IFERROR(IFERROR(1-VLOOKUP('Table 6-A| Controls &amp; Limits'!$K$21,'Emission Controls'!$A$20:$L$33,9,),1)*('Table 5-A| Primary MPTE'!L117*$C51/'Table 5-A| Primary MPTE'!$E117),0)</f>
        <v>0</v>
      </c>
      <c r="K51" s="388">
        <f>IFERROR(IFERROR(1-VLOOKUP('Table 6-A| Controls &amp; Limits'!$K$21,'Emission Controls'!$A$20:$L$33,10,),1)*('Table 5-A| Primary MPTE'!M117*$C51/'Table 5-A| Primary MPTE'!$E117),0)</f>
        <v>0</v>
      </c>
      <c r="L51" s="388">
        <f>IFERROR(IFERROR(1-VLOOKUP('Table 6-A| Controls &amp; Limits'!$K$21,'Emission Controls'!$A$20:$L$33,11,),1)*('Table 5-A| Primary MPTE'!N117*$C51/'Table 5-A| Primary MPTE'!$E117),0)</f>
        <v>0</v>
      </c>
      <c r="M51" s="389">
        <f>IFERROR(IFERROR(1-VLOOKUP('Table 6-A| Controls &amp; Limits'!$K$21,'Emission Controls'!$A$20:$L$33,12,),1)*('Table 5-A| Primary MPTE'!O117*$C51/'Table 5-A| Primary MPTE'!$E117),0)</f>
        <v>0</v>
      </c>
    </row>
    <row r="52" spans="1:30" ht="18" customHeight="1" x14ac:dyDescent="0.25">
      <c r="A52" s="1539" t="str">
        <f>'Table 5-A| Primary MPTE'!A118</f>
        <v>Haul Road Emission Units</v>
      </c>
      <c r="B52" s="1540"/>
      <c r="C52" s="1540"/>
      <c r="D52" s="1540"/>
      <c r="E52" s="1540"/>
      <c r="F52" s="1540"/>
      <c r="G52" s="1540"/>
      <c r="H52" s="1540"/>
      <c r="I52" s="1540"/>
      <c r="J52" s="1540"/>
      <c r="K52" s="1540"/>
      <c r="L52" s="1540"/>
      <c r="M52" s="1541"/>
      <c r="Q52" s="1391" t="str">
        <f>'Table 5-A| Primary MPTE'!S118</f>
        <v>Haul Road Emission Totals for Concrete Batch Plant(s)</v>
      </c>
      <c r="R52" s="1392">
        <f>'Table 5-A| Primary MPTE'!T118</f>
        <v>0</v>
      </c>
      <c r="S52" s="1392">
        <f>'Table 5-A| Primary MPTE'!U118</f>
        <v>0</v>
      </c>
      <c r="T52" s="1392">
        <f>'Table 5-A| Primary MPTE'!V118</f>
        <v>0</v>
      </c>
      <c r="U52" s="1392">
        <f>'Table 5-A| Primary MPTE'!W118</f>
        <v>0</v>
      </c>
      <c r="V52" s="1392">
        <f>'Table 5-A| Primary MPTE'!X118</f>
        <v>0</v>
      </c>
      <c r="W52" s="1392">
        <f>'Table 5-A| Primary MPTE'!Y118</f>
        <v>0</v>
      </c>
      <c r="X52" s="1392">
        <f>'Table 5-A| Primary MPTE'!Z118</f>
        <v>0</v>
      </c>
      <c r="Y52" s="1393">
        <f>'Table 5-A| Primary MPTE'!AA118</f>
        <v>0</v>
      </c>
    </row>
    <row r="53" spans="1:30" ht="18" customHeight="1" x14ac:dyDescent="0.25">
      <c r="A53" s="302">
        <f>IF('Table 3-A| Emission Units'!$A108=0,0,'Table 3-A| Emission Units'!$A108&amp;"-"&amp;'Table 3-A| Emission Units'!$B108)</f>
        <v>0</v>
      </c>
      <c r="B53" s="303">
        <f>'Table 3-A| Emission Units'!$C108</f>
        <v>2294000000</v>
      </c>
      <c r="C53" s="305">
        <f>IFERROR(SUM(W53,'Table 7-B| Reclaim APTE'!W34),0)</f>
        <v>0</v>
      </c>
      <c r="D53" s="386" t="str">
        <f>'Table 5-A| Primary MPTE'!$D119</f>
        <v>VMT</v>
      </c>
      <c r="E53" s="387">
        <f>IFERROR(IFERROR(1-VLOOKUP('Table 6-A| Controls &amp; Limits'!$K33,'Emission Controls'!$A$20:$L$33,4,),1)*R53+'Table 7-B| Reclaim APTE'!R34,0)</f>
        <v>0</v>
      </c>
      <c r="F53" s="388">
        <f>IFERROR(IFERROR(1-VLOOKUP('Table 6-A| Controls &amp; Limits'!$K33,'Emission Controls'!$A$20:$L$33,5,),1)*T53+'Table 7-B| Reclaim APTE'!T34,0)</f>
        <v>0</v>
      </c>
      <c r="G53" s="388">
        <f>IFERROR(IFERROR(1-VLOOKUP('Table 6-A| Controls &amp; Limits'!$K33,'Emission Controls'!$A$20:$L$33,6,),1)*('Table 5-A| Primary MPTE'!$I119*$C53/'Table 5-A| Primary MPTE'!$E119),0)</f>
        <v>0</v>
      </c>
      <c r="H53" s="388">
        <f>IFERROR(IFERROR(1-VLOOKUP('Table 6-A| Controls &amp; Limits'!$K33,'Emission Controls'!$A$20:$L$33,7,),1)*('Table 5-A| Primary MPTE'!$I119*$C53/'Table 5-A| Primary MPTE'!$E119),0)</f>
        <v>0</v>
      </c>
      <c r="I53" s="388">
        <f>IFERROR(IFERROR(1-VLOOKUP('Table 6-A| Controls &amp; Limits'!$K33,'Emission Controls'!$A$20:$L$33,8,),1)*('Table 5-A| Primary MPTE'!$I119*$C53/'Table 5-A| Primary MPTE'!$E119),0)</f>
        <v>0</v>
      </c>
      <c r="J53" s="388">
        <f>IFERROR(IFERROR(1-VLOOKUP('Table 6-A| Controls &amp; Limits'!$K33,'Emission Controls'!$A$20:$L$33,9,),1)*('Table 5-A| Primary MPTE'!$I119*$C53/'Table 5-A| Primary MPTE'!$E119),0)</f>
        <v>0</v>
      </c>
      <c r="K53" s="388">
        <f>IFERROR(IFERROR(1-VLOOKUP('Table 6-A| Controls &amp; Limits'!$K33,'Emission Controls'!$A$20:$L$33,10,),1)*('Table 5-A| Primary MPTE'!$I119*$C53/'Table 5-A| Primary MPTE'!$E119),0)</f>
        <v>0</v>
      </c>
      <c r="L53" s="388">
        <f>IFERROR(IFERROR(1-VLOOKUP('Table 6-A| Controls &amp; Limits'!$K33,'Emission Controls'!$A$20:$L$33,11,),1)*('Table 5-A| Primary MPTE'!$I119*$C53/'Table 5-A| Primary MPTE'!$E119),0)</f>
        <v>0</v>
      </c>
      <c r="M53" s="389">
        <f>IFERROR(IFERROR(1-VLOOKUP('Table 6-A| Controls &amp; Limits'!$K33,'Emission Controls'!$A$20:$L$33,12,),1)*('Table 5-A| Primary MPTE'!$I119*$C53/'Table 5-A| Primary MPTE'!$E119),0)</f>
        <v>0</v>
      </c>
      <c r="N53" s="1375" t="s">
        <v>2317</v>
      </c>
      <c r="O53" s="1376"/>
      <c r="P53" s="725" t="str">
        <f>'Table 5-A| Primary MPTE'!R119</f>
        <v>Trucks-&gt;</v>
      </c>
      <c r="Q53" s="679" t="str">
        <f>'Table 5-A| Primary MPTE'!S119</f>
        <v>PM10 =</v>
      </c>
      <c r="R53" s="665">
        <f>SUM(S35:X35,S37:X37,S39:X39)</f>
        <v>0</v>
      </c>
      <c r="S53" s="585" t="str">
        <f>'Table 5-A| Primary MPTE'!U119</f>
        <v>PM2.5=</v>
      </c>
      <c r="T53" s="668">
        <f>SUM(S44:X44,S46:X46,S48:X48)</f>
        <v>0</v>
      </c>
      <c r="U53" s="666"/>
      <c r="V53" s="580" t="s">
        <v>2349</v>
      </c>
      <c r="W53" s="666">
        <f>SUM(S26:X26,S28:X28,S30:X30)</f>
        <v>0</v>
      </c>
      <c r="X53" s="580"/>
      <c r="Y53" s="667"/>
    </row>
    <row r="54" spans="1:30" ht="18" customHeight="1" x14ac:dyDescent="0.25">
      <c r="A54" s="302">
        <f>IF('Table 3-A| Emission Units'!$A109=0,0,'Table 3-A| Emission Units'!$A109&amp;"-"&amp;'Table 3-A| Emission Units'!$B109)</f>
        <v>0</v>
      </c>
      <c r="B54" s="303">
        <f>'Table 3-A| Emission Units'!$C109</f>
        <v>2294000000</v>
      </c>
      <c r="C54" s="305">
        <f>IFERROR(SUM(W54,'Table 7-B| Reclaim APTE'!W35),0)</f>
        <v>0</v>
      </c>
      <c r="D54" s="386" t="str">
        <f>'Table 5-A| Primary MPTE'!$D120</f>
        <v>VMT</v>
      </c>
      <c r="E54" s="387">
        <f>IFERROR(IFERROR(1-VLOOKUP('Table 6-A| Controls &amp; Limits'!$K34,'Emission Controls'!$A$20:$L$33,4,),1)*R54+'Table 7-B| Reclaim APTE'!R35,0)</f>
        <v>0</v>
      </c>
      <c r="F54" s="388">
        <f>IFERROR(IFERROR(1-VLOOKUP('Table 6-A| Controls &amp; Limits'!$K34,'Emission Controls'!$A$20:$L$33,5,),1)*T54+'Table 7-B| Reclaim APTE'!T35,0)</f>
        <v>0</v>
      </c>
      <c r="G54" s="388">
        <f>IFERROR(IFERROR(1-VLOOKUP('Table 6-A| Controls &amp; Limits'!$K34,'Emission Controls'!$A$20:$L$33,6,),1)*('Table 5-A| Primary MPTE'!$I120*$C54/'Table 5-A| Primary MPTE'!$E120),0)</f>
        <v>0</v>
      </c>
      <c r="H54" s="388">
        <f>IFERROR(IFERROR(1-VLOOKUP('Table 6-A| Controls &amp; Limits'!$K34,'Emission Controls'!$A$20:$L$33,7,),1)*('Table 5-A| Primary MPTE'!$I120*$C54/'Table 5-A| Primary MPTE'!$E120),0)</f>
        <v>0</v>
      </c>
      <c r="I54" s="388">
        <f>IFERROR(IFERROR(1-VLOOKUP('Table 6-A| Controls &amp; Limits'!$K34,'Emission Controls'!$A$20:$L$33,8,),1)*('Table 5-A| Primary MPTE'!$I120*$C54/'Table 5-A| Primary MPTE'!$E120),0)</f>
        <v>0</v>
      </c>
      <c r="J54" s="388">
        <f>IFERROR(IFERROR(1-VLOOKUP('Table 6-A| Controls &amp; Limits'!$K34,'Emission Controls'!$A$20:$L$33,9,),1)*('Table 5-A| Primary MPTE'!$I120*$C54/'Table 5-A| Primary MPTE'!$E120),0)</f>
        <v>0</v>
      </c>
      <c r="K54" s="388">
        <f>IFERROR(IFERROR(1-VLOOKUP('Table 6-A| Controls &amp; Limits'!$K34,'Emission Controls'!$A$20:$L$33,10,),1)*('Table 5-A| Primary MPTE'!$I120*$C54/'Table 5-A| Primary MPTE'!$E120),0)</f>
        <v>0</v>
      </c>
      <c r="L54" s="388">
        <f>IFERROR(IFERROR(1-VLOOKUP('Table 6-A| Controls &amp; Limits'!$K34,'Emission Controls'!$A$20:$L$33,11,),1)*('Table 5-A| Primary MPTE'!$I120*$C54/'Table 5-A| Primary MPTE'!$E120),0)</f>
        <v>0</v>
      </c>
      <c r="M54" s="389">
        <f>IFERROR(IFERROR(1-VLOOKUP('Table 6-A| Controls &amp; Limits'!$K34,'Emission Controls'!$A$20:$L$33,12,),1)*('Table 5-A| Primary MPTE'!$I120*$C54/'Table 5-A| Primary MPTE'!$E120),0)</f>
        <v>0</v>
      </c>
      <c r="N54" s="1375"/>
      <c r="O54" s="1376"/>
      <c r="P54" s="726" t="str">
        <f>'Table 5-A| Primary MPTE'!R120</f>
        <v>Loaders-&gt;</v>
      </c>
      <c r="Q54" s="584" t="str">
        <f>'Table 5-A| Primary MPTE'!S120</f>
        <v>PM10 =</v>
      </c>
      <c r="R54" s="665">
        <f>SUM(Y39:AD39)</f>
        <v>0</v>
      </c>
      <c r="S54" s="585" t="str">
        <f>'Table 5-A| Primary MPTE'!U120</f>
        <v>PM2.5=</v>
      </c>
      <c r="T54" s="668">
        <f>SUM(Y48:AD48)</f>
        <v>0</v>
      </c>
      <c r="U54" s="666"/>
      <c r="V54" s="580" t="s">
        <v>2349</v>
      </c>
      <c r="W54" s="666">
        <f>SUM(Y30:AD30)</f>
        <v>0</v>
      </c>
      <c r="X54" s="580"/>
      <c r="Y54" s="667"/>
    </row>
    <row r="55" spans="1:30" ht="18" customHeight="1" x14ac:dyDescent="0.25">
      <c r="A55" s="302">
        <f>IF('Table 3-A| Emission Units'!$A110=0,0,'Table 3-A| Emission Units'!$A110&amp;"-"&amp;'Table 3-A| Emission Units'!$B110)</f>
        <v>0</v>
      </c>
      <c r="B55" s="303">
        <f>'Table 3-A| Emission Units'!$C110</f>
        <v>2296000000</v>
      </c>
      <c r="C55" s="305">
        <f>IFERROR(SUM(W55,'Table 7-B| Reclaim APTE'!W36),0)</f>
        <v>0</v>
      </c>
      <c r="D55" s="386" t="str">
        <f>'Table 5-A| Primary MPTE'!$D121</f>
        <v>VMT</v>
      </c>
      <c r="E55" s="387">
        <f>IFERROR(IFERROR(1-VLOOKUP('Table 6-A| Controls &amp; Limits'!$K35,'Emission Controls'!$A$20:$L$33,4,),1)*R55+'Table 7-B| Reclaim APTE'!R36,0)</f>
        <v>0</v>
      </c>
      <c r="F55" s="388">
        <f>IFERROR(IFERROR(1-VLOOKUP('Table 6-A| Controls &amp; Limits'!$K35,'Emission Controls'!$A$20:$L$33,5,),1)*T55+'Table 7-B| Reclaim APTE'!T36,0)</f>
        <v>0</v>
      </c>
      <c r="G55" s="388">
        <f>IFERROR(IFERROR(1-VLOOKUP('Table 6-A| Controls &amp; Limits'!$K35,'Emission Controls'!$A$20:$L$33,6,),1)*('Table 5-A| Primary MPTE'!$I121*$C55/'Table 5-A| Primary MPTE'!$E121),0)</f>
        <v>0</v>
      </c>
      <c r="H55" s="388">
        <f>IFERROR(IFERROR(1-VLOOKUP('Table 6-A| Controls &amp; Limits'!$K35,'Emission Controls'!$A$20:$L$33,7,),1)*('Table 5-A| Primary MPTE'!$I121*$C55/'Table 5-A| Primary MPTE'!$E121),0)</f>
        <v>0</v>
      </c>
      <c r="I55" s="388">
        <f>IFERROR(IFERROR(1-VLOOKUP('Table 6-A| Controls &amp; Limits'!$K35,'Emission Controls'!$A$20:$L$33,8,),1)*('Table 5-A| Primary MPTE'!$I121*$C55/'Table 5-A| Primary MPTE'!$E121),0)</f>
        <v>0</v>
      </c>
      <c r="J55" s="388">
        <f>IFERROR(IFERROR(1-VLOOKUP('Table 6-A| Controls &amp; Limits'!$K35,'Emission Controls'!$A$20:$L$33,9,),1)*('Table 5-A| Primary MPTE'!$I121*$C55/'Table 5-A| Primary MPTE'!$E121),0)</f>
        <v>0</v>
      </c>
      <c r="K55" s="388">
        <f>IFERROR(IFERROR(1-VLOOKUP('Table 6-A| Controls &amp; Limits'!$K35,'Emission Controls'!$A$20:$L$33,10,),1)*('Table 5-A| Primary MPTE'!$I121*$C55/'Table 5-A| Primary MPTE'!$E121),0)</f>
        <v>0</v>
      </c>
      <c r="L55" s="388">
        <f>IFERROR(IFERROR(1-VLOOKUP('Table 6-A| Controls &amp; Limits'!$K35,'Emission Controls'!$A$20:$L$33,11,),1)*('Table 5-A| Primary MPTE'!$I121*$C55/'Table 5-A| Primary MPTE'!$E121),0)</f>
        <v>0</v>
      </c>
      <c r="M55" s="389">
        <f>IFERROR(IFERROR(1-VLOOKUP('Table 6-A| Controls &amp; Limits'!$K35,'Emission Controls'!$A$20:$L$33,12,),1)*('Table 5-A| Primary MPTE'!$I121*$C55/'Table 5-A| Primary MPTE'!$E121),0)</f>
        <v>0</v>
      </c>
      <c r="N55" s="1375" t="s">
        <v>2318</v>
      </c>
      <c r="O55" s="1376"/>
      <c r="P55" s="726" t="str">
        <f>'Table 5-A| Primary MPTE'!R121</f>
        <v>Trucks-&gt;</v>
      </c>
      <c r="Q55" s="582" t="str">
        <f>'Table 5-A| Primary MPTE'!S121</f>
        <v>PM10 =</v>
      </c>
      <c r="R55" s="666">
        <f>SUM(S36:X36,S38:X38,S40:X40)</f>
        <v>0</v>
      </c>
      <c r="S55" s="580" t="str">
        <f>'Table 5-A| Primary MPTE'!U121</f>
        <v>PM2.5=</v>
      </c>
      <c r="T55" s="668">
        <f>SUM(S45:X45,S47:X47,S49:X49)</f>
        <v>0</v>
      </c>
      <c r="U55" s="666"/>
      <c r="V55" s="580" t="s">
        <v>2349</v>
      </c>
      <c r="W55" s="666">
        <f>SUM(S27:X27,S29:X29,S31:X31)</f>
        <v>0</v>
      </c>
      <c r="X55" s="580"/>
      <c r="Y55" s="667"/>
    </row>
    <row r="56" spans="1:30" ht="18" customHeight="1" thickBot="1" x14ac:dyDescent="0.3">
      <c r="A56" s="302">
        <f>IF('Table 3-A| Emission Units'!$A111=0,0,'Table 3-A| Emission Units'!$A111&amp;"-"&amp;'Table 3-A| Emission Units'!$B111)</f>
        <v>0</v>
      </c>
      <c r="B56" s="303">
        <f>'Table 3-A| Emission Units'!$C111</f>
        <v>2296000000</v>
      </c>
      <c r="C56" s="305">
        <f>IFERROR(SUM(W56,'Table 7-B| Reclaim APTE'!W37),0)</f>
        <v>0</v>
      </c>
      <c r="D56" s="386" t="str">
        <f>'Table 5-A| Primary MPTE'!$D122</f>
        <v>VMT</v>
      </c>
      <c r="E56" s="387">
        <f>IFERROR(IFERROR(1-VLOOKUP('Table 6-A| Controls &amp; Limits'!$K36,'Emission Controls'!$A$20:$L$33,4,),1)*R56+'Table 7-B| Reclaim APTE'!R37,0)</f>
        <v>0</v>
      </c>
      <c r="F56" s="388">
        <f>IFERROR(IFERROR(1-VLOOKUP('Table 6-A| Controls &amp; Limits'!$K36,'Emission Controls'!$A$20:$L$33,5,),1)*T56+'Table 7-B| Reclaim APTE'!T37,0)</f>
        <v>0</v>
      </c>
      <c r="G56" s="388">
        <f>IFERROR(IFERROR(1-VLOOKUP('Table 6-A| Controls &amp; Limits'!$K36,'Emission Controls'!$A$20:$L$33,6,),1)*('Table 5-A| Primary MPTE'!$I122*$C56/'Table 5-A| Primary MPTE'!$E122),0)</f>
        <v>0</v>
      </c>
      <c r="H56" s="388">
        <f>IFERROR(IFERROR(1-VLOOKUP('Table 6-A| Controls &amp; Limits'!$K36,'Emission Controls'!$A$20:$L$33,7,),1)*('Table 5-A| Primary MPTE'!$I122*$C56/'Table 5-A| Primary MPTE'!$E122),0)</f>
        <v>0</v>
      </c>
      <c r="I56" s="388">
        <f>IFERROR(IFERROR(1-VLOOKUP('Table 6-A| Controls &amp; Limits'!$K36,'Emission Controls'!$A$20:$L$33,8,),1)*('Table 5-A| Primary MPTE'!$I122*$C56/'Table 5-A| Primary MPTE'!$E122),0)</f>
        <v>0</v>
      </c>
      <c r="J56" s="388">
        <f>IFERROR(IFERROR(1-VLOOKUP('Table 6-A| Controls &amp; Limits'!$K36,'Emission Controls'!$A$20:$L$33,9,),1)*('Table 5-A| Primary MPTE'!$I122*$C56/'Table 5-A| Primary MPTE'!$E122),0)</f>
        <v>0</v>
      </c>
      <c r="K56" s="388">
        <f>IFERROR(IFERROR(1-VLOOKUP('Table 6-A| Controls &amp; Limits'!$K36,'Emission Controls'!$A$20:$L$33,10,),1)*('Table 5-A| Primary MPTE'!$I122*$C56/'Table 5-A| Primary MPTE'!$E122),0)</f>
        <v>0</v>
      </c>
      <c r="L56" s="388">
        <f>IFERROR(IFERROR(1-VLOOKUP('Table 6-A| Controls &amp; Limits'!$K36,'Emission Controls'!$A$20:$L$33,11,),1)*('Table 5-A| Primary MPTE'!$I122*$C56/'Table 5-A| Primary MPTE'!$E122),0)</f>
        <v>0</v>
      </c>
      <c r="M56" s="389">
        <f>IFERROR(IFERROR(1-VLOOKUP('Table 6-A| Controls &amp; Limits'!$K36,'Emission Controls'!$A$20:$L$33,12,),1)*('Table 5-A| Primary MPTE'!$I122*$C56/'Table 5-A| Primary MPTE'!$E122),0)</f>
        <v>0</v>
      </c>
      <c r="N56" s="1375"/>
      <c r="O56" s="1376"/>
      <c r="P56" s="726" t="str">
        <f>'Table 5-A| Primary MPTE'!R122</f>
        <v>Loaders-&gt;</v>
      </c>
      <c r="Q56" s="586" t="str">
        <f>'Table 5-A| Primary MPTE'!S122</f>
        <v>PM10 =</v>
      </c>
      <c r="R56" s="680">
        <f>SUM(Y40:AD40)</f>
        <v>0</v>
      </c>
      <c r="S56" s="587" t="str">
        <f>'Table 5-A| Primary MPTE'!U122</f>
        <v>PM2.5=</v>
      </c>
      <c r="T56" s="681">
        <f>SUM(Y49:AD49)</f>
        <v>0</v>
      </c>
      <c r="U56" s="680"/>
      <c r="V56" s="587" t="s">
        <v>2349</v>
      </c>
      <c r="W56" s="680">
        <f>SUM(Y31:AD31)</f>
        <v>0</v>
      </c>
      <c r="X56" s="587"/>
      <c r="Y56" s="682"/>
    </row>
    <row r="57" spans="1:30" ht="18" customHeight="1" x14ac:dyDescent="0.25">
      <c r="A57" s="1539" t="str">
        <f>'Table 5-A| Primary MPTE'!A123</f>
        <v>Material Storage Pile Emission Units</v>
      </c>
      <c r="B57" s="1540"/>
      <c r="C57" s="1540"/>
      <c r="D57" s="1540"/>
      <c r="E57" s="1540"/>
      <c r="F57" s="1540"/>
      <c r="G57" s="1540"/>
      <c r="H57" s="1540"/>
      <c r="I57" s="1540"/>
      <c r="J57" s="1540"/>
      <c r="K57" s="1540"/>
      <c r="L57" s="1540"/>
      <c r="M57" s="1541"/>
    </row>
    <row r="58" spans="1:30" ht="18" customHeight="1" thickBot="1" x14ac:dyDescent="0.3">
      <c r="A58" s="302" t="str">
        <f>IF('Table 3-A| Emission Units'!$A113=0,"",'Table 3-A| Emission Units'!$A113&amp;"-"&amp;'Table 3-A| Emission Units'!$B113)</f>
        <v>1-1</v>
      </c>
      <c r="B58" s="303">
        <f>'Table 3-A| Emission Units'!$C113</f>
        <v>30502502</v>
      </c>
      <c r="C58" s="305">
        <f>'Table 5-A| Primary MPTE'!$E$124</f>
        <v>0</v>
      </c>
      <c r="D58" s="386" t="str">
        <f>'Table 5-A| Primary MPTE'!$D124</f>
        <v>Acre-days</v>
      </c>
      <c r="E58" s="387">
        <f>'Table 5-A| Primary MPTE'!G$124</f>
        <v>0</v>
      </c>
      <c r="F58" s="388">
        <f>'Table 5-A| Primary MPTE'!H$124</f>
        <v>0</v>
      </c>
      <c r="G58" s="388" t="str">
        <f>IFERROR(IFERROR(1-VLOOKUP('Table 6-A| Controls &amp; Limits'!$K38,'Emission Controls'!$A$20:$L$33,6,),1)*('Table 5-A| Primary MPTE'!$I124*$C58/'Table 5-A| Primary MPTE'!$E124),"")</f>
        <v/>
      </c>
      <c r="H58" s="388">
        <f>'Table 5-A| Primary MPTE'!J$124</f>
        <v>0</v>
      </c>
      <c r="I58" s="388">
        <f>'Table 5-A| Primary MPTE'!K$124</f>
        <v>0</v>
      </c>
      <c r="J58" s="388">
        <f>'Table 5-A| Primary MPTE'!L$124</f>
        <v>0</v>
      </c>
      <c r="K58" s="388">
        <f>'Table 5-A| Primary MPTE'!M$124</f>
        <v>0</v>
      </c>
      <c r="L58" s="388">
        <f>'Table 5-A| Primary MPTE'!N$124</f>
        <v>0</v>
      </c>
      <c r="M58" s="389">
        <f>'Table 5-A| Primary MPTE'!O$124</f>
        <v>0</v>
      </c>
    </row>
    <row r="59" spans="1:30" ht="18" customHeight="1" x14ac:dyDescent="0.25">
      <c r="A59" s="1539" t="str">
        <f>'Table 5-A| Primary MPTE'!A125</f>
        <v>Stationary Engines - Screening and/or Crushing Power Units</v>
      </c>
      <c r="B59" s="1540"/>
      <c r="C59" s="1540"/>
      <c r="D59" s="1540"/>
      <c r="E59" s="1540"/>
      <c r="F59" s="1540"/>
      <c r="G59" s="1540"/>
      <c r="H59" s="1540"/>
      <c r="I59" s="1540"/>
      <c r="J59" s="1540"/>
      <c r="K59" s="1540"/>
      <c r="L59" s="1540"/>
      <c r="M59" s="1541"/>
    </row>
    <row r="60" spans="1:30" ht="18" customHeight="1" x14ac:dyDescent="0.25">
      <c r="A60" s="302">
        <f>IF('Table 3-A| Emission Units'!$A115=0,0,'Table 3-A| Emission Units'!$A115&amp;"-"&amp;'Table 3-A| Emission Units'!$B115)</f>
        <v>0</v>
      </c>
      <c r="B60" s="303">
        <f ca="1">'Table 3-A| Emission Units'!$C115</f>
        <v>0</v>
      </c>
      <c r="C60" s="305">
        <f>IF($A60="",0,IF('Table 6-A| Controls &amp; Limits'!$C38="Yes",('Table 5-A| Primary MPTE'!$E126*('Table 6-A| Controls &amp; Limits'!$E38/'Table 6-A| Controls &amp; Limits'!$D38)),'Table 5-A| Primary MPTE'!$E126))</f>
        <v>0</v>
      </c>
      <c r="D60" s="386" t="str">
        <f>'Table 5-A| Primary MPTE'!$D126</f>
        <v/>
      </c>
      <c r="E60" s="387">
        <f>IFERROR(IFERROR(1-VLOOKUP('Table 6-A| Controls &amp; Limits'!$K38,'Emission Controls'!$A$20:$L$33,4,),1)*('Table 5-A| Primary MPTE'!$G126*$C60/'Table 5-A| Primary MPTE'!$E126),0)</f>
        <v>0</v>
      </c>
      <c r="F60" s="388">
        <f>IFERROR(IFERROR(1-VLOOKUP('Table 6-A| Controls &amp; Limits'!$K38,'Emission Controls'!$A$20:$L$33,5,),1)*('Table 5-A| Primary MPTE'!$H126*$C60/'Table 5-A| Primary MPTE'!$E126),0)</f>
        <v>0</v>
      </c>
      <c r="G60" s="388">
        <f>IFERROR(IFERROR(1-VLOOKUP('Table 6-A| Controls &amp; Limits'!$K38,'Emission Controls'!$A$20:$L$33,6,),1)*('Table 5-A| Primary MPTE'!$I126*$C60/'Table 5-A| Primary MPTE'!$E126),0)</f>
        <v>0</v>
      </c>
      <c r="H60" s="388">
        <f>IFERROR(IFERROR(1-VLOOKUP('Table 6-A| Controls &amp; Limits'!$K38,'Emission Controls'!$A$20:$L$33,7,),1)*('Table 5-A| Primary MPTE'!$J126*$C60/'Table 5-A| Primary MPTE'!$E126),0)</f>
        <v>0</v>
      </c>
      <c r="I60" s="388">
        <f>IFERROR(IFERROR(1-VLOOKUP('Table 6-A| Controls &amp; Limits'!$K38,'Emission Controls'!$A$20:$L$33,8,),1)*('Table 5-A| Primary MPTE'!$K126*$C60/'Table 5-A| Primary MPTE'!$E126),0)</f>
        <v>0</v>
      </c>
      <c r="J60" s="388">
        <f>IFERROR(IFERROR(1-VLOOKUP('Table 6-A| Controls &amp; Limits'!$K38,'Emission Controls'!$A$20:$L$33,9,),1)*('Table 5-A| Primary MPTE'!$L126*$C60/'Table 5-A| Primary MPTE'!$E126),0)</f>
        <v>0</v>
      </c>
      <c r="K60" s="388">
        <f>IFERROR(IFERROR(1-VLOOKUP('Table 6-A| Controls &amp; Limits'!$K38,'Emission Controls'!$A$20:$L$33,10,),1)*('Table 5-A| Primary MPTE'!$M126*$C60/'Table 5-A| Primary MPTE'!$E126),0)</f>
        <v>0</v>
      </c>
      <c r="L60" s="388">
        <f>IFERROR(IFERROR(1-VLOOKUP('Table 6-A| Controls &amp; Limits'!$K38,'Emission Controls'!$A$20:$L$33,11,),1)*('Table 5-A| Primary MPTE'!$N126*$C60/'Table 5-A| Primary MPTE'!$E126),0)</f>
        <v>0</v>
      </c>
      <c r="M60" s="389">
        <f>IFERROR(IFERROR(1-VLOOKUP('Table 6-A| Controls &amp; Limits'!$K38,'Emission Controls'!$A$20:$L$33,12,),1)*('Table 5-A| Primary MPTE'!$O126*$C60/'Table 5-A| Primary MPTE'!$E126),0)</f>
        <v>0</v>
      </c>
    </row>
    <row r="61" spans="1:30" ht="18" customHeight="1" x14ac:dyDescent="0.25">
      <c r="A61" s="302">
        <f>IF('Table 3-A| Emission Units'!$A116=0,0,'Table 3-A| Emission Units'!$A116&amp;"-"&amp;'Table 3-A| Emission Units'!$B116)</f>
        <v>0</v>
      </c>
      <c r="B61" s="303">
        <f ca="1">'Table 3-A| Emission Units'!$C116</f>
        <v>0</v>
      </c>
      <c r="C61" s="305">
        <f>IF($A61="",0,IF('Table 6-A| Controls &amp; Limits'!$C39="Yes",('Table 5-A| Primary MPTE'!$E127*('Table 6-A| Controls &amp; Limits'!$E39/'Table 6-A| Controls &amp; Limits'!$D39)),'Table 5-A| Primary MPTE'!$E127))</f>
        <v>0</v>
      </c>
      <c r="D61" s="386" t="str">
        <f>'Table 5-A| Primary MPTE'!$D127</f>
        <v/>
      </c>
      <c r="E61" s="387">
        <f>IFERROR(IFERROR(1-VLOOKUP('Table 6-A| Controls &amp; Limits'!$K39,'Emission Controls'!$A$20:$L$33,4,),1)*('Table 5-A| Primary MPTE'!$G127*$C61/'Table 5-A| Primary MPTE'!$E127),0)</f>
        <v>0</v>
      </c>
      <c r="F61" s="388">
        <f>IFERROR(IFERROR(1-VLOOKUP('Table 6-A| Controls &amp; Limits'!$K39,'Emission Controls'!$A$20:$L$33,5,),1)*('Table 5-A| Primary MPTE'!$H127*$C61/'Table 5-A| Primary MPTE'!$E127),0)</f>
        <v>0</v>
      </c>
      <c r="G61" s="388">
        <f>IFERROR(IFERROR(1-VLOOKUP('Table 6-A| Controls &amp; Limits'!$K39,'Emission Controls'!$A$20:$L$33,6,),1)*('Table 5-A| Primary MPTE'!$I127*$C61/'Table 5-A| Primary MPTE'!$E127),0)</f>
        <v>0</v>
      </c>
      <c r="H61" s="388">
        <f>IFERROR(IFERROR(1-VLOOKUP('Table 6-A| Controls &amp; Limits'!$K39,'Emission Controls'!$A$20:$L$33,7,),1)*('Table 5-A| Primary MPTE'!$J127*$C61/'Table 5-A| Primary MPTE'!$E127),0)</f>
        <v>0</v>
      </c>
      <c r="I61" s="388">
        <f>IFERROR(IFERROR(1-VLOOKUP('Table 6-A| Controls &amp; Limits'!$K39,'Emission Controls'!$A$20:$L$33,8,),1)*('Table 5-A| Primary MPTE'!$K127*$C61/'Table 5-A| Primary MPTE'!$E127),0)</f>
        <v>0</v>
      </c>
      <c r="J61" s="388">
        <f>IFERROR(IFERROR(1-VLOOKUP('Table 6-A| Controls &amp; Limits'!$K39,'Emission Controls'!$A$20:$L$33,9,),1)*('Table 5-A| Primary MPTE'!$L127*$C61/'Table 5-A| Primary MPTE'!$E127),0)</f>
        <v>0</v>
      </c>
      <c r="K61" s="388">
        <f>IFERROR(IFERROR(1-VLOOKUP('Table 6-A| Controls &amp; Limits'!$K39,'Emission Controls'!$A$20:$L$33,10,),1)*('Table 5-A| Primary MPTE'!$M127*$C61/'Table 5-A| Primary MPTE'!$E127),0)</f>
        <v>0</v>
      </c>
      <c r="L61" s="388">
        <f>IFERROR(IFERROR(1-VLOOKUP('Table 6-A| Controls &amp; Limits'!$K39,'Emission Controls'!$A$20:$L$33,11,),1)*('Table 5-A| Primary MPTE'!$N127*$C61/'Table 5-A| Primary MPTE'!$E127),0)</f>
        <v>0</v>
      </c>
      <c r="M61" s="389">
        <f>IFERROR(IFERROR(1-VLOOKUP('Table 6-A| Controls &amp; Limits'!$K39,'Emission Controls'!$A$20:$L$33,12,),1)*('Table 5-A| Primary MPTE'!$O127*$C61/'Table 5-A| Primary MPTE'!$E127),0)</f>
        <v>0</v>
      </c>
    </row>
    <row r="62" spans="1:30" ht="18" customHeight="1" x14ac:dyDescent="0.25">
      <c r="A62" s="302">
        <f>IF('Table 3-A| Emission Units'!$A117=0,0,'Table 3-A| Emission Units'!$A117&amp;"-"&amp;'Table 3-A| Emission Units'!$B117)</f>
        <v>0</v>
      </c>
      <c r="B62" s="303">
        <f ca="1">'Table 3-A| Emission Units'!$C117</f>
        <v>0</v>
      </c>
      <c r="C62" s="305">
        <f>IF($A62="",0,IF('Table 6-A| Controls &amp; Limits'!$C40="Yes",('Table 5-A| Primary MPTE'!$E128*('Table 6-A| Controls &amp; Limits'!$E40/'Table 6-A| Controls &amp; Limits'!$D40)),'Table 5-A| Primary MPTE'!$E128))</f>
        <v>0</v>
      </c>
      <c r="D62" s="386" t="str">
        <f>'Table 5-A| Primary MPTE'!$D128</f>
        <v/>
      </c>
      <c r="E62" s="387">
        <f>IFERROR(IFERROR(1-VLOOKUP('Table 6-A| Controls &amp; Limits'!$K40,'Emission Controls'!$A$20:$L$33,4,),1)*('Table 5-A| Primary MPTE'!$G128*$C62/'Table 5-A| Primary MPTE'!$E128),0)</f>
        <v>0</v>
      </c>
      <c r="F62" s="388">
        <f>IFERROR(IFERROR(1-VLOOKUP('Table 6-A| Controls &amp; Limits'!$K40,'Emission Controls'!$A$20:$L$33,5,),1)*('Table 5-A| Primary MPTE'!$H128*$C62/'Table 5-A| Primary MPTE'!$E128),0)</f>
        <v>0</v>
      </c>
      <c r="G62" s="388">
        <f>IFERROR(IFERROR(1-VLOOKUP('Table 6-A| Controls &amp; Limits'!$K40,'Emission Controls'!$A$20:$L$33,6,),1)*('Table 5-A| Primary MPTE'!$I128*$C62/'Table 5-A| Primary MPTE'!$E128),0)</f>
        <v>0</v>
      </c>
      <c r="H62" s="388">
        <f>IFERROR(IFERROR(1-VLOOKUP('Table 6-A| Controls &amp; Limits'!$K40,'Emission Controls'!$A$20:$L$33,7,),1)*('Table 5-A| Primary MPTE'!$J128*$C62/'Table 5-A| Primary MPTE'!$E128),0)</f>
        <v>0</v>
      </c>
      <c r="I62" s="388">
        <f>IFERROR(IFERROR(1-VLOOKUP('Table 6-A| Controls &amp; Limits'!$K40,'Emission Controls'!$A$20:$L$33,8,),1)*('Table 5-A| Primary MPTE'!$K128*$C62/'Table 5-A| Primary MPTE'!$E128),0)</f>
        <v>0</v>
      </c>
      <c r="J62" s="388">
        <f>IFERROR(IFERROR(1-VLOOKUP('Table 6-A| Controls &amp; Limits'!$K40,'Emission Controls'!$A$20:$L$33,9,),1)*('Table 5-A| Primary MPTE'!$L128*$C62/'Table 5-A| Primary MPTE'!$E128),0)</f>
        <v>0</v>
      </c>
      <c r="K62" s="388">
        <f>IFERROR(IFERROR(1-VLOOKUP('Table 6-A| Controls &amp; Limits'!$K40,'Emission Controls'!$A$20:$L$33,10,),1)*('Table 5-A| Primary MPTE'!$M128*$C62/'Table 5-A| Primary MPTE'!$E128),0)</f>
        <v>0</v>
      </c>
      <c r="L62" s="388">
        <f>IFERROR(IFERROR(1-VLOOKUP('Table 6-A| Controls &amp; Limits'!$K40,'Emission Controls'!$A$20:$L$33,11,),1)*('Table 5-A| Primary MPTE'!$N128*$C62/'Table 5-A| Primary MPTE'!$E128),0)</f>
        <v>0</v>
      </c>
      <c r="M62" s="389">
        <f>IFERROR(IFERROR(1-VLOOKUP('Table 6-A| Controls &amp; Limits'!$K40,'Emission Controls'!$A$20:$L$33,12,),1)*('Table 5-A| Primary MPTE'!$O128*$C62/'Table 5-A| Primary MPTE'!$E128),0)</f>
        <v>0</v>
      </c>
    </row>
    <row r="63" spans="1:30" ht="18" customHeight="1" thickBot="1" x14ac:dyDescent="0.3">
      <c r="A63" s="302">
        <f>IF('Table 3-A| Emission Units'!$A118=0,0,'Table 3-A| Emission Units'!$A118&amp;"-"&amp;'Table 3-A| Emission Units'!$B118)</f>
        <v>0</v>
      </c>
      <c r="B63" s="303">
        <f ca="1">'Table 3-A| Emission Units'!$C118</f>
        <v>0</v>
      </c>
      <c r="C63" s="305">
        <f>IF($A63="",0,IF('Table 6-A| Controls &amp; Limits'!$C41="Yes",('Table 5-A| Primary MPTE'!$E129*('Table 6-A| Controls &amp; Limits'!$E41/'Table 6-A| Controls &amp; Limits'!$D41)),'Table 5-A| Primary MPTE'!$E129))</f>
        <v>0</v>
      </c>
      <c r="D63" s="386" t="str">
        <f>'Table 5-A| Primary MPTE'!$D129</f>
        <v/>
      </c>
      <c r="E63" s="387">
        <f>IFERROR(IFERROR(1-VLOOKUP('Table 6-A| Controls &amp; Limits'!$K41,'Emission Controls'!$A$20:$L$33,4,),1)*('Table 5-A| Primary MPTE'!$G129*$C63/'Table 5-A| Primary MPTE'!$E129),0)</f>
        <v>0</v>
      </c>
      <c r="F63" s="388">
        <f>IFERROR(IFERROR(1-VLOOKUP('Table 6-A| Controls &amp; Limits'!$K41,'Emission Controls'!$A$20:$L$33,5,),1)*('Table 5-A| Primary MPTE'!$H129*$C63/'Table 5-A| Primary MPTE'!$E129),0)</f>
        <v>0</v>
      </c>
      <c r="G63" s="388">
        <f>IFERROR(IFERROR(1-VLOOKUP('Table 6-A| Controls &amp; Limits'!$K41,'Emission Controls'!$A$20:$L$33,6,),1)*('Table 5-A| Primary MPTE'!$I129*$C63/'Table 5-A| Primary MPTE'!$E129),0)</f>
        <v>0</v>
      </c>
      <c r="H63" s="388">
        <f>IFERROR(IFERROR(1-VLOOKUP('Table 6-A| Controls &amp; Limits'!$K41,'Emission Controls'!$A$20:$L$33,7,),1)*('Table 5-A| Primary MPTE'!$J129*$C63/'Table 5-A| Primary MPTE'!$E129),0)</f>
        <v>0</v>
      </c>
      <c r="I63" s="388">
        <f>IFERROR(IFERROR(1-VLOOKUP('Table 6-A| Controls &amp; Limits'!$K41,'Emission Controls'!$A$20:$L$33,8,),1)*('Table 5-A| Primary MPTE'!$K129*$C63/'Table 5-A| Primary MPTE'!$E129),0)</f>
        <v>0</v>
      </c>
      <c r="J63" s="388">
        <f>IFERROR(IFERROR(1-VLOOKUP('Table 6-A| Controls &amp; Limits'!$K41,'Emission Controls'!$A$20:$L$33,9,),1)*('Table 5-A| Primary MPTE'!$L129*$C63/'Table 5-A| Primary MPTE'!$E129),0)</f>
        <v>0</v>
      </c>
      <c r="K63" s="388">
        <f>IFERROR(IFERROR(1-VLOOKUP('Table 6-A| Controls &amp; Limits'!$K41,'Emission Controls'!$A$20:$L$33,10,),1)*('Table 5-A| Primary MPTE'!$M129*$C63/'Table 5-A| Primary MPTE'!$E129),0)</f>
        <v>0</v>
      </c>
      <c r="L63" s="388">
        <f>IFERROR(IFERROR(1-VLOOKUP('Table 6-A| Controls &amp; Limits'!$K41,'Emission Controls'!$A$20:$L$33,11,),1)*('Table 5-A| Primary MPTE'!$N129*$C63/'Table 5-A| Primary MPTE'!$E129),0)</f>
        <v>0</v>
      </c>
      <c r="M63" s="389">
        <f>IFERROR(IFERROR(1-VLOOKUP('Table 6-A| Controls &amp; Limits'!$K41,'Emission Controls'!$A$20:$L$33,12,),1)*('Table 5-A| Primary MPTE'!$O129*$C63/'Table 5-A| Primary MPTE'!$E129),0)</f>
        <v>0</v>
      </c>
    </row>
    <row r="64" spans="1:30" ht="18" customHeight="1" x14ac:dyDescent="0.25">
      <c r="A64" s="1539" t="str">
        <f>'Table 5-A| Primary MPTE'!A130</f>
        <v>Miscellaneous Emission Units</v>
      </c>
      <c r="B64" s="1540"/>
      <c r="C64" s="1540"/>
      <c r="D64" s="1540"/>
      <c r="E64" s="1540"/>
      <c r="F64" s="1540"/>
      <c r="G64" s="1540"/>
      <c r="H64" s="1540"/>
      <c r="I64" s="1540"/>
      <c r="J64" s="1540"/>
      <c r="K64" s="1540"/>
      <c r="L64" s="1540"/>
      <c r="M64" s="1541"/>
    </row>
    <row r="65" spans="1:13" ht="18" customHeight="1" x14ac:dyDescent="0.25">
      <c r="A65" s="386">
        <f>IF(ISBLANK('Table 3-A| Emission Units'!A120),0,'Table 3-A| Emission Units'!A120&amp;"-"&amp;'Table 3-A| Emission Units'!B120)</f>
        <v>0</v>
      </c>
      <c r="B65" s="303">
        <f>IF(OR(ISBLANK('Table 3-A| Emission Units'!C120),ISTEXT('Table 3-A| Emission Units'!C120)),0,'Table 3-A| Emission Units'!C120)</f>
        <v>0</v>
      </c>
      <c r="C65" s="305">
        <f>IF(ISBLANK('Table 6-A| Controls &amp; Limits'!C43),0,IF('Table 6-A| Controls &amp; Limits'!C43="No",'Table 6-A| Controls &amp; Limits'!D43,'Table 6-A| Controls &amp; Limits'!E43))</f>
        <v>0</v>
      </c>
      <c r="D65" s="386">
        <f>IF(C65=0,0,'Table 6-A| Controls &amp; Limits'!F43)</f>
        <v>0</v>
      </c>
      <c r="E65" s="387">
        <f>IF('Table 6-B| Emission Limits'!E35=0,IFERROR(IFERROR(1-VLOOKUP('Table 6-A| Controls &amp; Limits'!$K43,'Emission Controls'!$A$20:$L$33,4,FALSE),1)*('Table 5-A| Primary MPTE'!G131*$C65/'Table 5-A| Primary MPTE'!$E131),0),'Table 6-B| Emission Limits'!E35)</f>
        <v>0</v>
      </c>
      <c r="F65" s="388">
        <f>IF('Table 6-B| Emission Limits'!F35=0,IFERROR(IFERROR(1-VLOOKUP('Table 6-A| Controls &amp; Limits'!$K43,'Emission Controls'!$A$20:$L$33,5,FALSE),1)*('Table 5-A| Primary MPTE'!H131*$C65/'Table 5-A| Primary MPTE'!$E131),0),'Table 6-B| Emission Limits'!F35)</f>
        <v>0</v>
      </c>
      <c r="G65" s="388">
        <f>IF('Table 6-B| Emission Limits'!G35=0,IFERROR(IFERROR(1-VLOOKUP('Table 6-A| Controls &amp; Limits'!$K43,'Emission Controls'!$A$20:$L$33,6,FALSE),1)*('Table 5-A| Primary MPTE'!I131*$C65/'Table 5-A| Primary MPTE'!$E131),0),'Table 6-B| Emission Limits'!G35)</f>
        <v>0</v>
      </c>
      <c r="H65" s="388">
        <f>IF('Table 6-B| Emission Limits'!H35=0,IFERROR(IFERROR(1-VLOOKUP('Table 6-A| Controls &amp; Limits'!$K43,'Emission Controls'!$A$20:$L$33,7,FALSE),1)*('Table 5-A| Primary MPTE'!J131*$C65/'Table 5-A| Primary MPTE'!$E131),0),'Table 6-B| Emission Limits'!H35)</f>
        <v>0</v>
      </c>
      <c r="I65" s="388">
        <f>IF('Table 6-B| Emission Limits'!I35=0,IFERROR(IFERROR(1-VLOOKUP('Table 6-A| Controls &amp; Limits'!$K43,'Emission Controls'!$A$20:$L$33,8,FALSE),1)*('Table 5-A| Primary MPTE'!K131*$C65/'Table 5-A| Primary MPTE'!$E131),0),'Table 6-B| Emission Limits'!I35)</f>
        <v>0</v>
      </c>
      <c r="J65" s="388">
        <f>IF('Table 6-B| Emission Limits'!J35=0,IFERROR(IFERROR(1-VLOOKUP('Table 6-A| Controls &amp; Limits'!$K43,'Emission Controls'!$A$20:$L$33,9,FALSE),1)*('Table 5-A| Primary MPTE'!L131*$C65/'Table 5-A| Primary MPTE'!$E131),0),'Table 6-B| Emission Limits'!J35)</f>
        <v>0</v>
      </c>
      <c r="K65" s="388">
        <f>IF('Table 6-B| Emission Limits'!K35=0,IFERROR(IFERROR(1-VLOOKUP('Table 6-A| Controls &amp; Limits'!$K43,'Emission Controls'!$A$20:$L$33,10,FALSE),1)*('Table 5-A| Primary MPTE'!M131*$C65/'Table 5-A| Primary MPTE'!$E131),0),'Table 6-B| Emission Limits'!K35)</f>
        <v>0</v>
      </c>
      <c r="L65" s="388">
        <f>IF('Table 6-B| Emission Limits'!L35=0,IFERROR(IFERROR(1-VLOOKUP('Table 6-A| Controls &amp; Limits'!$K43,'Emission Controls'!$A$20:$L$33,11,FALSE),1)*('Table 5-A| Primary MPTE'!N131*$C65/'Table 5-A| Primary MPTE'!$E131),0),'Table 6-B| Emission Limits'!L35)</f>
        <v>0</v>
      </c>
      <c r="M65" s="389">
        <f>IF('Table 6-B| Emission Limits'!M35=0,IFERROR(IFERROR(1-VLOOKUP('Table 6-A| Controls &amp; Limits'!$K43,'Emission Controls'!$A$20:$L$33,12,FALSE),1)*('Table 5-A| Primary MPTE'!O131*$C65/'Table 5-A| Primary MPTE'!$E131),0),'Table 6-B| Emission Limits'!M35)</f>
        <v>0</v>
      </c>
    </row>
    <row r="66" spans="1:13" ht="18" customHeight="1" x14ac:dyDescent="0.25">
      <c r="A66" s="386">
        <f>IF(ISBLANK('Table 3-A| Emission Units'!A121),0,'Table 3-A| Emission Units'!A121&amp;"-"&amp;'Table 3-A| Emission Units'!B121)</f>
        <v>0</v>
      </c>
      <c r="B66" s="303">
        <f>IF(OR(ISBLANK('Table 3-A| Emission Units'!C121),ISTEXT('Table 3-A| Emission Units'!C121)),0,'Table 3-A| Emission Units'!C121)</f>
        <v>0</v>
      </c>
      <c r="C66" s="305">
        <f>IF(ISBLANK('Table 6-A| Controls &amp; Limits'!C44),0,IF('Table 6-A| Controls &amp; Limits'!C44="No",'Table 6-A| Controls &amp; Limits'!D44,'Table 6-A| Controls &amp; Limits'!E44))</f>
        <v>0</v>
      </c>
      <c r="D66" s="386">
        <f>IF(C66=0,0,'Table 6-A| Controls &amp; Limits'!F44)</f>
        <v>0</v>
      </c>
      <c r="E66" s="387">
        <f>IF('Table 6-B| Emission Limits'!E36=0,IFERROR(IFERROR(1-VLOOKUP('Table 6-A| Controls &amp; Limits'!$K44,'Emission Controls'!$A$20:$L$33,4,FALSE),1)*('Table 5-A| Primary MPTE'!G132*$C66/'Table 5-A| Primary MPTE'!$E132),0),'Table 6-B| Emission Limits'!E36)</f>
        <v>0</v>
      </c>
      <c r="F66" s="388">
        <f>IF('Table 6-B| Emission Limits'!F36=0,IFERROR(IFERROR(1-VLOOKUP('Table 6-A| Controls &amp; Limits'!$K44,'Emission Controls'!$A$20:$L$33,5,FALSE),1)*('Table 5-A| Primary MPTE'!H132*$C66/'Table 5-A| Primary MPTE'!$E132),0),'Table 6-B| Emission Limits'!F36)</f>
        <v>0</v>
      </c>
      <c r="G66" s="388">
        <f>IF('Table 6-B| Emission Limits'!G36=0,IFERROR(IFERROR(1-VLOOKUP('Table 6-A| Controls &amp; Limits'!$K44,'Emission Controls'!$A$20:$L$33,6,FALSE),1)*('Table 5-A| Primary MPTE'!I132*$C66/'Table 5-A| Primary MPTE'!$E132),0),'Table 6-B| Emission Limits'!G36)</f>
        <v>0</v>
      </c>
      <c r="H66" s="388">
        <f>IF('Table 6-B| Emission Limits'!H36=0,IFERROR(IFERROR(1-VLOOKUP('Table 6-A| Controls &amp; Limits'!$K44,'Emission Controls'!$A$20:$L$33,7,FALSE),1)*('Table 5-A| Primary MPTE'!J132*$C66/'Table 5-A| Primary MPTE'!$E132),0),'Table 6-B| Emission Limits'!H36)</f>
        <v>0</v>
      </c>
      <c r="I66" s="388">
        <f>IF('Table 6-B| Emission Limits'!I36=0,IFERROR(IFERROR(1-VLOOKUP('Table 6-A| Controls &amp; Limits'!$K44,'Emission Controls'!$A$20:$L$33,8,FALSE),1)*('Table 5-A| Primary MPTE'!K132*$C66/'Table 5-A| Primary MPTE'!$E132),0),'Table 6-B| Emission Limits'!I36)</f>
        <v>0</v>
      </c>
      <c r="J66" s="388">
        <f>IF('Table 6-B| Emission Limits'!J36=0,IFERROR(IFERROR(1-VLOOKUP('Table 6-A| Controls &amp; Limits'!$K44,'Emission Controls'!$A$20:$L$33,9,FALSE),1)*('Table 5-A| Primary MPTE'!L132*$C66/'Table 5-A| Primary MPTE'!$E132),0),'Table 6-B| Emission Limits'!J36)</f>
        <v>0</v>
      </c>
      <c r="K66" s="388">
        <f>IF('Table 6-B| Emission Limits'!K36=0,IFERROR(IFERROR(1-VLOOKUP('Table 6-A| Controls &amp; Limits'!$K44,'Emission Controls'!$A$20:$L$33,10,FALSE),1)*('Table 5-A| Primary MPTE'!M132*$C66/'Table 5-A| Primary MPTE'!$E132),0),'Table 6-B| Emission Limits'!K36)</f>
        <v>0</v>
      </c>
      <c r="L66" s="388">
        <f>IF('Table 6-B| Emission Limits'!L36=0,IFERROR(IFERROR(1-VLOOKUP('Table 6-A| Controls &amp; Limits'!$K44,'Emission Controls'!$A$20:$L$33,11,FALSE),1)*('Table 5-A| Primary MPTE'!N132*$C66/'Table 5-A| Primary MPTE'!$E132),0),'Table 6-B| Emission Limits'!L36)</f>
        <v>0</v>
      </c>
      <c r="M66" s="389">
        <f>IF('Table 6-B| Emission Limits'!M36=0,IFERROR(IFERROR(1-VLOOKUP('Table 6-A| Controls &amp; Limits'!$K44,'Emission Controls'!$A$20:$L$33,12,FALSE),1)*('Table 5-A| Primary MPTE'!O132*$C66/'Table 5-A| Primary MPTE'!$E132),0),'Table 6-B| Emission Limits'!M36)</f>
        <v>0</v>
      </c>
    </row>
    <row r="67" spans="1:13" ht="18" customHeight="1" x14ac:dyDescent="0.25">
      <c r="A67" s="386">
        <f>IF(ISBLANK('Table 3-A| Emission Units'!A122),0,'Table 3-A| Emission Units'!A122&amp;"-"&amp;'Table 3-A| Emission Units'!B122)</f>
        <v>0</v>
      </c>
      <c r="B67" s="303">
        <f>IF(OR(ISBLANK('Table 3-A| Emission Units'!C122),ISTEXT('Table 3-A| Emission Units'!C122)),0,'Table 3-A| Emission Units'!C122)</f>
        <v>0</v>
      </c>
      <c r="C67" s="305">
        <f>IF(ISBLANK('Table 6-A| Controls &amp; Limits'!C45),0,IF('Table 6-A| Controls &amp; Limits'!C45="No",'Table 6-A| Controls &amp; Limits'!D45,'Table 6-A| Controls &amp; Limits'!E45))</f>
        <v>0</v>
      </c>
      <c r="D67" s="386">
        <f>IF(C67=0,0,'Table 6-A| Controls &amp; Limits'!F45)</f>
        <v>0</v>
      </c>
      <c r="E67" s="387">
        <f>IF('Table 6-B| Emission Limits'!E37=0,IFERROR(IFERROR(1-VLOOKUP('Table 6-A| Controls &amp; Limits'!$K45,'Emission Controls'!$A$20:$L$33,4,FALSE),1)*('Table 5-A| Primary MPTE'!G133*$C67/'Table 5-A| Primary MPTE'!$E133),0),'Table 6-B| Emission Limits'!E37)</f>
        <v>0</v>
      </c>
      <c r="F67" s="388">
        <f>IF('Table 6-B| Emission Limits'!F37=0,IFERROR(IFERROR(1-VLOOKUP('Table 6-A| Controls &amp; Limits'!$K45,'Emission Controls'!$A$20:$L$33,5,FALSE),1)*('Table 5-A| Primary MPTE'!H133*$C67/'Table 5-A| Primary MPTE'!$E133),0),'Table 6-B| Emission Limits'!F37)</f>
        <v>0</v>
      </c>
      <c r="G67" s="388">
        <f>IF('Table 6-B| Emission Limits'!G37=0,IFERROR(IFERROR(1-VLOOKUP('Table 6-A| Controls &amp; Limits'!$K45,'Emission Controls'!$A$20:$L$33,6,FALSE),1)*('Table 5-A| Primary MPTE'!I133*$C67/'Table 5-A| Primary MPTE'!$E133),0),'Table 6-B| Emission Limits'!G37)</f>
        <v>0</v>
      </c>
      <c r="H67" s="388">
        <f>IF('Table 6-B| Emission Limits'!H37=0,IFERROR(IFERROR(1-VLOOKUP('Table 6-A| Controls &amp; Limits'!$K45,'Emission Controls'!$A$20:$L$33,7,FALSE),1)*('Table 5-A| Primary MPTE'!J133*$C67/'Table 5-A| Primary MPTE'!$E133),0),'Table 6-B| Emission Limits'!H37)</f>
        <v>0</v>
      </c>
      <c r="I67" s="388">
        <f>IF('Table 6-B| Emission Limits'!I37=0,IFERROR(IFERROR(1-VLOOKUP('Table 6-A| Controls &amp; Limits'!$K45,'Emission Controls'!$A$20:$L$33,8,FALSE),1)*('Table 5-A| Primary MPTE'!K133*$C67/'Table 5-A| Primary MPTE'!$E133),0),'Table 6-B| Emission Limits'!I37)</f>
        <v>0</v>
      </c>
      <c r="J67" s="388">
        <f>IF('Table 6-B| Emission Limits'!J37=0,IFERROR(IFERROR(1-VLOOKUP('Table 6-A| Controls &amp; Limits'!$K45,'Emission Controls'!$A$20:$L$33,9,FALSE),1)*('Table 5-A| Primary MPTE'!L133*$C67/'Table 5-A| Primary MPTE'!$E133),0),'Table 6-B| Emission Limits'!J37)</f>
        <v>0</v>
      </c>
      <c r="K67" s="388">
        <f>IF('Table 6-B| Emission Limits'!K37=0,IFERROR(IFERROR(1-VLOOKUP('Table 6-A| Controls &amp; Limits'!$K45,'Emission Controls'!$A$20:$L$33,10,FALSE),1)*('Table 5-A| Primary MPTE'!M133*$C67/'Table 5-A| Primary MPTE'!$E133),0),'Table 6-B| Emission Limits'!K37)</f>
        <v>0</v>
      </c>
      <c r="L67" s="388">
        <f>IF('Table 6-B| Emission Limits'!L37=0,IFERROR(IFERROR(1-VLOOKUP('Table 6-A| Controls &amp; Limits'!$K45,'Emission Controls'!$A$20:$L$33,11,FALSE),1)*('Table 5-A| Primary MPTE'!N133*$C67/'Table 5-A| Primary MPTE'!$E133),0),'Table 6-B| Emission Limits'!L37)</f>
        <v>0</v>
      </c>
      <c r="M67" s="389">
        <f>IF('Table 6-B| Emission Limits'!M37=0,IFERROR(IFERROR(1-VLOOKUP('Table 6-A| Controls &amp; Limits'!$K45,'Emission Controls'!$A$20:$L$33,12,FALSE),1)*('Table 5-A| Primary MPTE'!O133*$C67/'Table 5-A| Primary MPTE'!$E133),0),'Table 6-B| Emission Limits'!M37)</f>
        <v>0</v>
      </c>
    </row>
    <row r="68" spans="1:13" ht="18" customHeight="1" x14ac:dyDescent="0.25">
      <c r="A68" s="386">
        <f>IF(ISBLANK('Table 3-A| Emission Units'!A123),0,'Table 3-A| Emission Units'!A123&amp;"-"&amp;'Table 3-A| Emission Units'!B123)</f>
        <v>0</v>
      </c>
      <c r="B68" s="303">
        <f>IF(OR(ISBLANK('Table 3-A| Emission Units'!C123),ISTEXT('Table 3-A| Emission Units'!C123)),0,'Table 3-A| Emission Units'!C123)</f>
        <v>0</v>
      </c>
      <c r="C68" s="305">
        <f>IF(ISBLANK('Table 6-A| Controls &amp; Limits'!C46),0,IF('Table 6-A| Controls &amp; Limits'!C46="No",'Table 6-A| Controls &amp; Limits'!D46,'Table 6-A| Controls &amp; Limits'!E46))</f>
        <v>0</v>
      </c>
      <c r="D68" s="386">
        <f>IF(C68=0,0,'Table 6-A| Controls &amp; Limits'!F46)</f>
        <v>0</v>
      </c>
      <c r="E68" s="387">
        <f>IF('Table 6-B| Emission Limits'!E38=0,IFERROR(IFERROR(1-VLOOKUP('Table 6-A| Controls &amp; Limits'!$K46,'Emission Controls'!$A$20:$L$33,4,FALSE),1)*('Table 5-A| Primary MPTE'!G134*$C68/'Table 5-A| Primary MPTE'!$E134),0),'Table 6-B| Emission Limits'!E38)</f>
        <v>0</v>
      </c>
      <c r="F68" s="388">
        <f>IF('Table 6-B| Emission Limits'!F38=0,IFERROR(IFERROR(1-VLOOKUP('Table 6-A| Controls &amp; Limits'!$K46,'Emission Controls'!$A$20:$L$33,5,FALSE),1)*('Table 5-A| Primary MPTE'!H134*$C68/'Table 5-A| Primary MPTE'!$E134),0),'Table 6-B| Emission Limits'!F38)</f>
        <v>0</v>
      </c>
      <c r="G68" s="388">
        <f>IF('Table 6-B| Emission Limits'!G38=0,IFERROR(IFERROR(1-VLOOKUP('Table 6-A| Controls &amp; Limits'!$K46,'Emission Controls'!$A$20:$L$33,6,FALSE),1)*('Table 5-A| Primary MPTE'!I134*$C68/'Table 5-A| Primary MPTE'!$E134),0),'Table 6-B| Emission Limits'!G38)</f>
        <v>0</v>
      </c>
      <c r="H68" s="388">
        <f>IF('Table 6-B| Emission Limits'!H38=0,IFERROR(IFERROR(1-VLOOKUP('Table 6-A| Controls &amp; Limits'!$K46,'Emission Controls'!$A$20:$L$33,7,FALSE),1)*('Table 5-A| Primary MPTE'!J134*$C68/'Table 5-A| Primary MPTE'!$E134),0),'Table 6-B| Emission Limits'!H38)</f>
        <v>0</v>
      </c>
      <c r="I68" s="388">
        <f>IF('Table 6-B| Emission Limits'!I38=0,IFERROR(IFERROR(1-VLOOKUP('Table 6-A| Controls &amp; Limits'!$K46,'Emission Controls'!$A$20:$L$33,8,FALSE),1)*('Table 5-A| Primary MPTE'!K134*$C68/'Table 5-A| Primary MPTE'!$E134),0),'Table 6-B| Emission Limits'!I38)</f>
        <v>0</v>
      </c>
      <c r="J68" s="388">
        <f>IF('Table 6-B| Emission Limits'!J38=0,IFERROR(IFERROR(1-VLOOKUP('Table 6-A| Controls &amp; Limits'!$K46,'Emission Controls'!$A$20:$L$33,9,FALSE),1)*('Table 5-A| Primary MPTE'!L134*$C68/'Table 5-A| Primary MPTE'!$E134),0),'Table 6-B| Emission Limits'!J38)</f>
        <v>0</v>
      </c>
      <c r="K68" s="388">
        <f>IF('Table 6-B| Emission Limits'!K38=0,IFERROR(IFERROR(1-VLOOKUP('Table 6-A| Controls &amp; Limits'!$K46,'Emission Controls'!$A$20:$L$33,10,FALSE),1)*('Table 5-A| Primary MPTE'!M134*$C68/'Table 5-A| Primary MPTE'!$E134),0),'Table 6-B| Emission Limits'!K38)</f>
        <v>0</v>
      </c>
      <c r="L68" s="388">
        <f>IF('Table 6-B| Emission Limits'!L38=0,IFERROR(IFERROR(1-VLOOKUP('Table 6-A| Controls &amp; Limits'!$K46,'Emission Controls'!$A$20:$L$33,11,FALSE),1)*('Table 5-A| Primary MPTE'!N134*$C68/'Table 5-A| Primary MPTE'!$E134),0),'Table 6-B| Emission Limits'!L38)</f>
        <v>0</v>
      </c>
      <c r="M68" s="389">
        <f>IF('Table 6-B| Emission Limits'!M38=0,IFERROR(IFERROR(1-VLOOKUP('Table 6-A| Controls &amp; Limits'!$K46,'Emission Controls'!$A$20:$L$33,12,FALSE),1)*('Table 5-A| Primary MPTE'!O134*$C68/'Table 5-A| Primary MPTE'!$E134),0),'Table 6-B| Emission Limits'!M38)</f>
        <v>0</v>
      </c>
    </row>
    <row r="69" spans="1:13" ht="18" customHeight="1" x14ac:dyDescent="0.25">
      <c r="A69" s="386">
        <f>IF(ISBLANK('Table 3-A| Emission Units'!A124),0,'Table 3-A| Emission Units'!A124&amp;"-"&amp;'Table 3-A| Emission Units'!B124)</f>
        <v>0</v>
      </c>
      <c r="B69" s="303">
        <f>IF(OR(ISBLANK('Table 3-A| Emission Units'!C124),ISTEXT('Table 3-A| Emission Units'!C124)),0,'Table 3-A| Emission Units'!C124)</f>
        <v>0</v>
      </c>
      <c r="C69" s="305">
        <f>IF(ISBLANK('Table 6-A| Controls &amp; Limits'!C47),0,IF('Table 6-A| Controls &amp; Limits'!C47="No",'Table 6-A| Controls &amp; Limits'!D47,'Table 6-A| Controls &amp; Limits'!E47))</f>
        <v>0</v>
      </c>
      <c r="D69" s="386">
        <f>IF(C69=0,0,'Table 6-A| Controls &amp; Limits'!F47)</f>
        <v>0</v>
      </c>
      <c r="E69" s="387">
        <f>IF('Table 6-B| Emission Limits'!E39=0,IFERROR(IFERROR(1-VLOOKUP('Table 6-A| Controls &amp; Limits'!$K47,'Emission Controls'!$A$20:$L$33,4,FALSE),1)*('Table 5-A| Primary MPTE'!G135*$C69/'Table 5-A| Primary MPTE'!$E135),0),'Table 6-B| Emission Limits'!E39)</f>
        <v>0</v>
      </c>
      <c r="F69" s="388">
        <f>IF('Table 6-B| Emission Limits'!F39=0,IFERROR(IFERROR(1-VLOOKUP('Table 6-A| Controls &amp; Limits'!$K47,'Emission Controls'!$A$20:$L$33,5,FALSE),1)*('Table 5-A| Primary MPTE'!H135*$C69/'Table 5-A| Primary MPTE'!$E135),0),'Table 6-B| Emission Limits'!F39)</f>
        <v>0</v>
      </c>
      <c r="G69" s="388">
        <f>IF('Table 6-B| Emission Limits'!G39=0,IFERROR(IFERROR(1-VLOOKUP('Table 6-A| Controls &amp; Limits'!$K47,'Emission Controls'!$A$20:$L$33,6,FALSE),1)*('Table 5-A| Primary MPTE'!I135*$C69/'Table 5-A| Primary MPTE'!$E135),0),'Table 6-B| Emission Limits'!G39)</f>
        <v>0</v>
      </c>
      <c r="H69" s="388">
        <f>IF('Table 6-B| Emission Limits'!H39=0,IFERROR(IFERROR(1-VLOOKUP('Table 6-A| Controls &amp; Limits'!$K47,'Emission Controls'!$A$20:$L$33,7,FALSE),1)*('Table 5-A| Primary MPTE'!J135*$C69/'Table 5-A| Primary MPTE'!$E135),0),'Table 6-B| Emission Limits'!H39)</f>
        <v>0</v>
      </c>
      <c r="I69" s="388">
        <f>IF('Table 6-B| Emission Limits'!I39=0,IFERROR(IFERROR(1-VLOOKUP('Table 6-A| Controls &amp; Limits'!$K47,'Emission Controls'!$A$20:$L$33,8,FALSE),1)*('Table 5-A| Primary MPTE'!K135*$C69/'Table 5-A| Primary MPTE'!$E135),0),'Table 6-B| Emission Limits'!I39)</f>
        <v>0</v>
      </c>
      <c r="J69" s="388">
        <f>IF('Table 6-B| Emission Limits'!J39=0,IFERROR(IFERROR(1-VLOOKUP('Table 6-A| Controls &amp; Limits'!$K47,'Emission Controls'!$A$20:$L$33,9,FALSE),1)*('Table 5-A| Primary MPTE'!L135*$C69/'Table 5-A| Primary MPTE'!$E135),0),'Table 6-B| Emission Limits'!J39)</f>
        <v>0</v>
      </c>
      <c r="K69" s="388">
        <f>IF('Table 6-B| Emission Limits'!K39=0,IFERROR(IFERROR(1-VLOOKUP('Table 6-A| Controls &amp; Limits'!$K47,'Emission Controls'!$A$20:$L$33,10,FALSE),1)*('Table 5-A| Primary MPTE'!M135*$C69/'Table 5-A| Primary MPTE'!$E135),0),'Table 6-B| Emission Limits'!K39)</f>
        <v>0</v>
      </c>
      <c r="L69" s="388">
        <f>IF('Table 6-B| Emission Limits'!L39=0,IFERROR(IFERROR(1-VLOOKUP('Table 6-A| Controls &amp; Limits'!$K47,'Emission Controls'!$A$20:$L$33,11,FALSE),1)*('Table 5-A| Primary MPTE'!N135*$C69/'Table 5-A| Primary MPTE'!$E135),0),'Table 6-B| Emission Limits'!L39)</f>
        <v>0</v>
      </c>
      <c r="M69" s="389">
        <f>IF('Table 6-B| Emission Limits'!M39=0,IFERROR(IFERROR(1-VLOOKUP('Table 6-A| Controls &amp; Limits'!$K47,'Emission Controls'!$A$20:$L$33,12,FALSE),1)*('Table 5-A| Primary MPTE'!O135*$C69/'Table 5-A| Primary MPTE'!$E135),0),'Table 6-B| Emission Limits'!M39)</f>
        <v>0</v>
      </c>
    </row>
    <row r="70" spans="1:13" ht="18" customHeight="1" x14ac:dyDescent="0.25">
      <c r="A70" s="386">
        <f>IF(ISBLANK('Table 3-A| Emission Units'!A125),0,'Table 3-A| Emission Units'!A125&amp;"-"&amp;'Table 3-A| Emission Units'!B125)</f>
        <v>0</v>
      </c>
      <c r="B70" s="303">
        <f>IF(OR(ISBLANK('Table 3-A| Emission Units'!C125),ISTEXT('Table 3-A| Emission Units'!C125)),0,'Table 3-A| Emission Units'!C125)</f>
        <v>0</v>
      </c>
      <c r="C70" s="305">
        <f>IF(ISBLANK('Table 6-A| Controls &amp; Limits'!C48),0,IF('Table 6-A| Controls &amp; Limits'!C48="No",'Table 6-A| Controls &amp; Limits'!D48,'Table 6-A| Controls &amp; Limits'!E48))</f>
        <v>0</v>
      </c>
      <c r="D70" s="386">
        <f>IF(C70=0,0,'Table 6-A| Controls &amp; Limits'!F48)</f>
        <v>0</v>
      </c>
      <c r="E70" s="387">
        <f>IF('Table 6-B| Emission Limits'!E40=0,IFERROR(IFERROR(1-VLOOKUP('Table 6-A| Controls &amp; Limits'!$K48,'Emission Controls'!$A$20:$L$33,4,FALSE),1)*('Table 5-A| Primary MPTE'!G136*$C70/'Table 5-A| Primary MPTE'!$E136),0),'Table 6-B| Emission Limits'!E40)</f>
        <v>0</v>
      </c>
      <c r="F70" s="388">
        <f>IF('Table 6-B| Emission Limits'!F40=0,IFERROR(IFERROR(1-VLOOKUP('Table 6-A| Controls &amp; Limits'!$K48,'Emission Controls'!$A$20:$L$33,5,FALSE),1)*('Table 5-A| Primary MPTE'!H136*$C70/'Table 5-A| Primary MPTE'!$E136),0),'Table 6-B| Emission Limits'!F40)</f>
        <v>0</v>
      </c>
      <c r="G70" s="388">
        <f>IF('Table 6-B| Emission Limits'!G40=0,IFERROR(IFERROR(1-VLOOKUP('Table 6-A| Controls &amp; Limits'!$K48,'Emission Controls'!$A$20:$L$33,6,FALSE),1)*('Table 5-A| Primary MPTE'!I136*$C70/'Table 5-A| Primary MPTE'!$E136),0),'Table 6-B| Emission Limits'!G40)</f>
        <v>0</v>
      </c>
      <c r="H70" s="388">
        <f>IF('Table 6-B| Emission Limits'!H40=0,IFERROR(IFERROR(1-VLOOKUP('Table 6-A| Controls &amp; Limits'!$K48,'Emission Controls'!$A$20:$L$33,7,FALSE),1)*('Table 5-A| Primary MPTE'!J136*$C70/'Table 5-A| Primary MPTE'!$E136),0),'Table 6-B| Emission Limits'!H40)</f>
        <v>0</v>
      </c>
      <c r="I70" s="388">
        <f>IF('Table 6-B| Emission Limits'!I40=0,IFERROR(IFERROR(1-VLOOKUP('Table 6-A| Controls &amp; Limits'!$K48,'Emission Controls'!$A$20:$L$33,8,FALSE),1)*('Table 5-A| Primary MPTE'!K136*$C70/'Table 5-A| Primary MPTE'!$E136),0),'Table 6-B| Emission Limits'!I40)</f>
        <v>0</v>
      </c>
      <c r="J70" s="388">
        <f>IF('Table 6-B| Emission Limits'!J40=0,IFERROR(IFERROR(1-VLOOKUP('Table 6-A| Controls &amp; Limits'!$K48,'Emission Controls'!$A$20:$L$33,9,FALSE),1)*('Table 5-A| Primary MPTE'!L136*$C70/'Table 5-A| Primary MPTE'!$E136),0),'Table 6-B| Emission Limits'!J40)</f>
        <v>0</v>
      </c>
      <c r="K70" s="388">
        <f>IF('Table 6-B| Emission Limits'!K40=0,IFERROR(IFERROR(1-VLOOKUP('Table 6-A| Controls &amp; Limits'!$K48,'Emission Controls'!$A$20:$L$33,10,FALSE),1)*('Table 5-A| Primary MPTE'!M136*$C70/'Table 5-A| Primary MPTE'!$E136),0),'Table 6-B| Emission Limits'!K40)</f>
        <v>0</v>
      </c>
      <c r="L70" s="388">
        <f>IF('Table 6-B| Emission Limits'!L40=0,IFERROR(IFERROR(1-VLOOKUP('Table 6-A| Controls &amp; Limits'!$K48,'Emission Controls'!$A$20:$L$33,11,FALSE),1)*('Table 5-A| Primary MPTE'!N136*$C70/'Table 5-A| Primary MPTE'!$E136),0),'Table 6-B| Emission Limits'!L40)</f>
        <v>0</v>
      </c>
      <c r="M70" s="389">
        <f>IF('Table 6-B| Emission Limits'!M40=0,IFERROR(IFERROR(1-VLOOKUP('Table 6-A| Controls &amp; Limits'!$K48,'Emission Controls'!$A$20:$L$33,12,FALSE),1)*('Table 5-A| Primary MPTE'!O136*$C70/'Table 5-A| Primary MPTE'!$E136),0),'Table 6-B| Emission Limits'!M40)</f>
        <v>0</v>
      </c>
    </row>
    <row r="71" spans="1:13" ht="18" customHeight="1" x14ac:dyDescent="0.25">
      <c r="A71" s="386">
        <f>IF(ISBLANK('Table 3-A| Emission Units'!A126),0,'Table 3-A| Emission Units'!A126&amp;"-"&amp;'Table 3-A| Emission Units'!B126)</f>
        <v>0</v>
      </c>
      <c r="B71" s="303">
        <f>IF(OR(ISBLANK('Table 3-A| Emission Units'!C126),ISTEXT('Table 3-A| Emission Units'!C126)),0,'Table 3-A| Emission Units'!C126)</f>
        <v>0</v>
      </c>
      <c r="C71" s="305">
        <f>IF(ISBLANK('Table 6-A| Controls &amp; Limits'!C49),0,IF('Table 6-A| Controls &amp; Limits'!C49="No",'Table 6-A| Controls &amp; Limits'!D49,'Table 6-A| Controls &amp; Limits'!E49))</f>
        <v>0</v>
      </c>
      <c r="D71" s="386">
        <f>IF(C71=0,0,'Table 6-A| Controls &amp; Limits'!F49)</f>
        <v>0</v>
      </c>
      <c r="E71" s="387">
        <f>IF('Table 6-B| Emission Limits'!E41=0,IFERROR(IFERROR(1-VLOOKUP('Table 6-A| Controls &amp; Limits'!$K49,'Emission Controls'!$A$20:$L$33,4,FALSE),1)*('Table 5-A| Primary MPTE'!G137*$C71/'Table 5-A| Primary MPTE'!$E137),0),'Table 6-B| Emission Limits'!E41)</f>
        <v>0</v>
      </c>
      <c r="F71" s="388">
        <f>IF('Table 6-B| Emission Limits'!F41=0,IFERROR(IFERROR(1-VLOOKUP('Table 6-A| Controls &amp; Limits'!$K49,'Emission Controls'!$A$20:$L$33,5,FALSE),1)*('Table 5-A| Primary MPTE'!H137*$C71/'Table 5-A| Primary MPTE'!$E137),0),'Table 6-B| Emission Limits'!F41)</f>
        <v>0</v>
      </c>
      <c r="G71" s="388">
        <f>IF('Table 6-B| Emission Limits'!G41=0,IFERROR(IFERROR(1-VLOOKUP('Table 6-A| Controls &amp; Limits'!$K49,'Emission Controls'!$A$20:$L$33,6,FALSE),1)*('Table 5-A| Primary MPTE'!I137*$C71/'Table 5-A| Primary MPTE'!$E137),0),'Table 6-B| Emission Limits'!G41)</f>
        <v>0</v>
      </c>
      <c r="H71" s="388">
        <f>IF('Table 6-B| Emission Limits'!H41=0,IFERROR(IFERROR(1-VLOOKUP('Table 6-A| Controls &amp; Limits'!$K49,'Emission Controls'!$A$20:$L$33,7,FALSE),1)*('Table 5-A| Primary MPTE'!J137*$C71/'Table 5-A| Primary MPTE'!$E137),0),'Table 6-B| Emission Limits'!H41)</f>
        <v>0</v>
      </c>
      <c r="I71" s="388">
        <f>IF('Table 6-B| Emission Limits'!I41=0,IFERROR(IFERROR(1-VLOOKUP('Table 6-A| Controls &amp; Limits'!$K49,'Emission Controls'!$A$20:$L$33,8,FALSE),1)*('Table 5-A| Primary MPTE'!K137*$C71/'Table 5-A| Primary MPTE'!$E137),0),'Table 6-B| Emission Limits'!I41)</f>
        <v>0</v>
      </c>
      <c r="J71" s="388">
        <f>IF('Table 6-B| Emission Limits'!J41=0,IFERROR(IFERROR(1-VLOOKUP('Table 6-A| Controls &amp; Limits'!$K49,'Emission Controls'!$A$20:$L$33,9,FALSE),1)*('Table 5-A| Primary MPTE'!L137*$C71/'Table 5-A| Primary MPTE'!$E137),0),'Table 6-B| Emission Limits'!J41)</f>
        <v>0</v>
      </c>
      <c r="K71" s="388">
        <f>IF('Table 6-B| Emission Limits'!K41=0,IFERROR(IFERROR(1-VLOOKUP('Table 6-A| Controls &amp; Limits'!$K49,'Emission Controls'!$A$20:$L$33,10,FALSE),1)*('Table 5-A| Primary MPTE'!M137*$C71/'Table 5-A| Primary MPTE'!$E137),0),'Table 6-B| Emission Limits'!K41)</f>
        <v>0</v>
      </c>
      <c r="L71" s="388">
        <f>IF('Table 6-B| Emission Limits'!L41=0,IFERROR(IFERROR(1-VLOOKUP('Table 6-A| Controls &amp; Limits'!$K49,'Emission Controls'!$A$20:$L$33,11,FALSE),1)*('Table 5-A| Primary MPTE'!N137*$C71/'Table 5-A| Primary MPTE'!$E137),0),'Table 6-B| Emission Limits'!L41)</f>
        <v>0</v>
      </c>
      <c r="M71" s="389">
        <f>IF('Table 6-B| Emission Limits'!M41=0,IFERROR(IFERROR(1-VLOOKUP('Table 6-A| Controls &amp; Limits'!$K49,'Emission Controls'!$A$20:$L$33,12,FALSE),1)*('Table 5-A| Primary MPTE'!O137*$C71/'Table 5-A| Primary MPTE'!$E137),0),'Table 6-B| Emission Limits'!M41)</f>
        <v>0</v>
      </c>
    </row>
    <row r="72" spans="1:13" ht="18" customHeight="1" x14ac:dyDescent="0.25">
      <c r="A72" s="386">
        <f>IF(ISBLANK('Table 3-A| Emission Units'!A127),0,'Table 3-A| Emission Units'!A127&amp;"-"&amp;'Table 3-A| Emission Units'!B127)</f>
        <v>0</v>
      </c>
      <c r="B72" s="303">
        <f>IF(OR(ISBLANK('Table 3-A| Emission Units'!C127),ISTEXT('Table 3-A| Emission Units'!C127)),0,'Table 3-A| Emission Units'!C127)</f>
        <v>0</v>
      </c>
      <c r="C72" s="305">
        <f>IF(ISBLANK('Table 6-A| Controls &amp; Limits'!C50),0,IF('Table 6-A| Controls &amp; Limits'!C50="No",'Table 6-A| Controls &amp; Limits'!D50,'Table 6-A| Controls &amp; Limits'!E50))</f>
        <v>0</v>
      </c>
      <c r="D72" s="386">
        <f>IF(C72=0,0,'Table 6-A| Controls &amp; Limits'!F50)</f>
        <v>0</v>
      </c>
      <c r="E72" s="387">
        <f>IF('Table 6-B| Emission Limits'!E42=0,IFERROR(IFERROR(1-VLOOKUP('Table 6-A| Controls &amp; Limits'!$K50,'Emission Controls'!$A$20:$L$33,4,FALSE),1)*('Table 5-A| Primary MPTE'!G138*$C72/'Table 5-A| Primary MPTE'!$E138),0),'Table 6-B| Emission Limits'!E42)</f>
        <v>0</v>
      </c>
      <c r="F72" s="388">
        <f>IF('Table 6-B| Emission Limits'!F42=0,IFERROR(IFERROR(1-VLOOKUP('Table 6-A| Controls &amp; Limits'!$K50,'Emission Controls'!$A$20:$L$33,5,FALSE),1)*('Table 5-A| Primary MPTE'!H138*$C72/'Table 5-A| Primary MPTE'!$E138),0),'Table 6-B| Emission Limits'!F42)</f>
        <v>0</v>
      </c>
      <c r="G72" s="388">
        <f>IF('Table 6-B| Emission Limits'!G42=0,IFERROR(IFERROR(1-VLOOKUP('Table 6-A| Controls &amp; Limits'!$K50,'Emission Controls'!$A$20:$L$33,6,FALSE),1)*('Table 5-A| Primary MPTE'!I138*$C72/'Table 5-A| Primary MPTE'!$E138),0),'Table 6-B| Emission Limits'!G42)</f>
        <v>0</v>
      </c>
      <c r="H72" s="388">
        <f>IF('Table 6-B| Emission Limits'!H42=0,IFERROR(IFERROR(1-VLOOKUP('Table 6-A| Controls &amp; Limits'!$K50,'Emission Controls'!$A$20:$L$33,7,FALSE),1)*('Table 5-A| Primary MPTE'!J138*$C72/'Table 5-A| Primary MPTE'!$E138),0),'Table 6-B| Emission Limits'!H42)</f>
        <v>0</v>
      </c>
      <c r="I72" s="388">
        <f>IF('Table 6-B| Emission Limits'!I42=0,IFERROR(IFERROR(1-VLOOKUP('Table 6-A| Controls &amp; Limits'!$K50,'Emission Controls'!$A$20:$L$33,8,FALSE),1)*('Table 5-A| Primary MPTE'!K138*$C72/'Table 5-A| Primary MPTE'!$E138),0),'Table 6-B| Emission Limits'!I42)</f>
        <v>0</v>
      </c>
      <c r="J72" s="388">
        <f>IF('Table 6-B| Emission Limits'!J42=0,IFERROR(IFERROR(1-VLOOKUP('Table 6-A| Controls &amp; Limits'!$K50,'Emission Controls'!$A$20:$L$33,9,FALSE),1)*('Table 5-A| Primary MPTE'!L138*$C72/'Table 5-A| Primary MPTE'!$E138),0),'Table 6-B| Emission Limits'!J42)</f>
        <v>0</v>
      </c>
      <c r="K72" s="388">
        <f>IF('Table 6-B| Emission Limits'!K42=0,IFERROR(IFERROR(1-VLOOKUP('Table 6-A| Controls &amp; Limits'!$K50,'Emission Controls'!$A$20:$L$33,10,FALSE),1)*('Table 5-A| Primary MPTE'!M138*$C72/'Table 5-A| Primary MPTE'!$E138),0),'Table 6-B| Emission Limits'!K42)</f>
        <v>0</v>
      </c>
      <c r="L72" s="388">
        <f>IF('Table 6-B| Emission Limits'!L42=0,IFERROR(IFERROR(1-VLOOKUP('Table 6-A| Controls &amp; Limits'!$K50,'Emission Controls'!$A$20:$L$33,11,FALSE),1)*('Table 5-A| Primary MPTE'!N138*$C72/'Table 5-A| Primary MPTE'!$E138),0),'Table 6-B| Emission Limits'!L42)</f>
        <v>0</v>
      </c>
      <c r="M72" s="389">
        <f>IF('Table 6-B| Emission Limits'!M42=0,IFERROR(IFERROR(1-VLOOKUP('Table 6-A| Controls &amp; Limits'!$K50,'Emission Controls'!$A$20:$L$33,12,FALSE),1)*('Table 5-A| Primary MPTE'!O138*$C72/'Table 5-A| Primary MPTE'!$E138),0),'Table 6-B| Emission Limits'!M42)</f>
        <v>0</v>
      </c>
    </row>
    <row r="73" spans="1:13" ht="18" customHeight="1" x14ac:dyDescent="0.25">
      <c r="A73" s="386">
        <f>IF(ISBLANK('Table 3-A| Emission Units'!A128),0,'Table 3-A| Emission Units'!A128&amp;"-"&amp;'Table 3-A| Emission Units'!B128)</f>
        <v>0</v>
      </c>
      <c r="B73" s="303">
        <f>IF(OR(ISBLANK('Table 3-A| Emission Units'!C128),ISTEXT('Table 3-A| Emission Units'!C128)),0,'Table 3-A| Emission Units'!C128)</f>
        <v>0</v>
      </c>
      <c r="C73" s="305">
        <f>IF(ISBLANK('Table 6-A| Controls &amp; Limits'!C51),0,IF('Table 6-A| Controls &amp; Limits'!C51="No",'Table 6-A| Controls &amp; Limits'!D51,'Table 6-A| Controls &amp; Limits'!E51))</f>
        <v>0</v>
      </c>
      <c r="D73" s="386">
        <f>IF(C73=0,0,'Table 6-A| Controls &amp; Limits'!F51)</f>
        <v>0</v>
      </c>
      <c r="E73" s="387">
        <f>IF('Table 6-B| Emission Limits'!E43=0,IFERROR(IFERROR(1-VLOOKUP('Table 6-A| Controls &amp; Limits'!$K51,'Emission Controls'!$A$20:$L$33,4,FALSE),1)*('Table 5-A| Primary MPTE'!G139*$C73/'Table 5-A| Primary MPTE'!$E139),0),'Table 6-B| Emission Limits'!E43)</f>
        <v>0</v>
      </c>
      <c r="F73" s="388">
        <f>IF('Table 6-B| Emission Limits'!F43=0,IFERROR(IFERROR(1-VLOOKUP('Table 6-A| Controls &amp; Limits'!$K51,'Emission Controls'!$A$20:$L$33,5,FALSE),1)*('Table 5-A| Primary MPTE'!H139*$C73/'Table 5-A| Primary MPTE'!$E139),0),'Table 6-B| Emission Limits'!F43)</f>
        <v>0</v>
      </c>
      <c r="G73" s="388">
        <f>IF('Table 6-B| Emission Limits'!G43=0,IFERROR(IFERROR(1-VLOOKUP('Table 6-A| Controls &amp; Limits'!$K51,'Emission Controls'!$A$20:$L$33,6,FALSE),1)*('Table 5-A| Primary MPTE'!I139*$C73/'Table 5-A| Primary MPTE'!$E139),0),'Table 6-B| Emission Limits'!G43)</f>
        <v>0</v>
      </c>
      <c r="H73" s="388">
        <f>IF('Table 6-B| Emission Limits'!H43=0,IFERROR(IFERROR(1-VLOOKUP('Table 6-A| Controls &amp; Limits'!$K51,'Emission Controls'!$A$20:$L$33,7,FALSE),1)*('Table 5-A| Primary MPTE'!J139*$C73/'Table 5-A| Primary MPTE'!$E139),0),'Table 6-B| Emission Limits'!H43)</f>
        <v>0</v>
      </c>
      <c r="I73" s="388">
        <f>IF('Table 6-B| Emission Limits'!I43=0,IFERROR(IFERROR(1-VLOOKUP('Table 6-A| Controls &amp; Limits'!$K51,'Emission Controls'!$A$20:$L$33,8,FALSE),1)*('Table 5-A| Primary MPTE'!K139*$C73/'Table 5-A| Primary MPTE'!$E139),0),'Table 6-B| Emission Limits'!I43)</f>
        <v>0</v>
      </c>
      <c r="J73" s="388">
        <f>IF('Table 6-B| Emission Limits'!J43=0,IFERROR(IFERROR(1-VLOOKUP('Table 6-A| Controls &amp; Limits'!$K51,'Emission Controls'!$A$20:$L$33,9,FALSE),1)*('Table 5-A| Primary MPTE'!L139*$C73/'Table 5-A| Primary MPTE'!$E139),0),'Table 6-B| Emission Limits'!J43)</f>
        <v>0</v>
      </c>
      <c r="K73" s="388">
        <f>IF('Table 6-B| Emission Limits'!K43=0,IFERROR(IFERROR(1-VLOOKUP('Table 6-A| Controls &amp; Limits'!$K51,'Emission Controls'!$A$20:$L$33,10,FALSE),1)*('Table 5-A| Primary MPTE'!M139*$C73/'Table 5-A| Primary MPTE'!$E139),0),'Table 6-B| Emission Limits'!K43)</f>
        <v>0</v>
      </c>
      <c r="L73" s="388">
        <f>IF('Table 6-B| Emission Limits'!L43=0,IFERROR(IFERROR(1-VLOOKUP('Table 6-A| Controls &amp; Limits'!$K51,'Emission Controls'!$A$20:$L$33,11,FALSE),1)*('Table 5-A| Primary MPTE'!N139*$C73/'Table 5-A| Primary MPTE'!$E139),0),'Table 6-B| Emission Limits'!L43)</f>
        <v>0</v>
      </c>
      <c r="M73" s="389">
        <f>IF('Table 6-B| Emission Limits'!M43=0,IFERROR(IFERROR(1-VLOOKUP('Table 6-A| Controls &amp; Limits'!$K51,'Emission Controls'!$A$20:$L$33,12,FALSE),1)*('Table 5-A| Primary MPTE'!O139*$C73/'Table 5-A| Primary MPTE'!$E139),0),'Table 6-B| Emission Limits'!M43)</f>
        <v>0</v>
      </c>
    </row>
    <row r="74" spans="1:13" ht="18" customHeight="1" x14ac:dyDescent="0.25">
      <c r="A74" s="386">
        <f>IF(ISBLANK('Table 3-A| Emission Units'!A129),0,'Table 3-A| Emission Units'!A129&amp;"-"&amp;'Table 3-A| Emission Units'!B129)</f>
        <v>0</v>
      </c>
      <c r="B74" s="303">
        <f>IF(OR(ISBLANK('Table 3-A| Emission Units'!C129),ISTEXT('Table 3-A| Emission Units'!C129)),0,'Table 3-A| Emission Units'!C129)</f>
        <v>0</v>
      </c>
      <c r="C74" s="305">
        <f>IF(ISBLANK('Table 6-A| Controls &amp; Limits'!C52),0,IF('Table 6-A| Controls &amp; Limits'!C52="No",'Table 6-A| Controls &amp; Limits'!D52,'Table 6-A| Controls &amp; Limits'!E52))</f>
        <v>0</v>
      </c>
      <c r="D74" s="386">
        <f>IF(C74=0,0,'Table 6-A| Controls &amp; Limits'!F52)</f>
        <v>0</v>
      </c>
      <c r="E74" s="387">
        <f>IF('Table 6-B| Emission Limits'!E44=0,IFERROR(IFERROR(1-VLOOKUP('Table 6-A| Controls &amp; Limits'!$K52,'Emission Controls'!$A$20:$L$33,4,FALSE),1)*('Table 5-A| Primary MPTE'!G140*$C74/'Table 5-A| Primary MPTE'!$E140),0),'Table 6-B| Emission Limits'!E44)</f>
        <v>0</v>
      </c>
      <c r="F74" s="388">
        <f>IF('Table 6-B| Emission Limits'!F44=0,IFERROR(IFERROR(1-VLOOKUP('Table 6-A| Controls &amp; Limits'!$K52,'Emission Controls'!$A$20:$L$33,5,FALSE),1)*('Table 5-A| Primary MPTE'!H140*$C74/'Table 5-A| Primary MPTE'!$E140),0),'Table 6-B| Emission Limits'!F44)</f>
        <v>0</v>
      </c>
      <c r="G74" s="388">
        <f>IF('Table 6-B| Emission Limits'!G44=0,IFERROR(IFERROR(1-VLOOKUP('Table 6-A| Controls &amp; Limits'!$K52,'Emission Controls'!$A$20:$L$33,6,FALSE),1)*('Table 5-A| Primary MPTE'!I140*$C74/'Table 5-A| Primary MPTE'!$E140),0),'Table 6-B| Emission Limits'!G44)</f>
        <v>0</v>
      </c>
      <c r="H74" s="388">
        <f>IF('Table 6-B| Emission Limits'!H44=0,IFERROR(IFERROR(1-VLOOKUP('Table 6-A| Controls &amp; Limits'!$K52,'Emission Controls'!$A$20:$L$33,7,FALSE),1)*('Table 5-A| Primary MPTE'!J140*$C74/'Table 5-A| Primary MPTE'!$E140),0),'Table 6-B| Emission Limits'!H44)</f>
        <v>0</v>
      </c>
      <c r="I74" s="388">
        <f>IF('Table 6-B| Emission Limits'!I44=0,IFERROR(IFERROR(1-VLOOKUP('Table 6-A| Controls &amp; Limits'!$K52,'Emission Controls'!$A$20:$L$33,8,FALSE),1)*('Table 5-A| Primary MPTE'!K140*$C74/'Table 5-A| Primary MPTE'!$E140),0),'Table 6-B| Emission Limits'!I44)</f>
        <v>0</v>
      </c>
      <c r="J74" s="388">
        <f>IF('Table 6-B| Emission Limits'!J44=0,IFERROR(IFERROR(1-VLOOKUP('Table 6-A| Controls &amp; Limits'!$K52,'Emission Controls'!$A$20:$L$33,9,FALSE),1)*('Table 5-A| Primary MPTE'!L140*$C74/'Table 5-A| Primary MPTE'!$E140),0),'Table 6-B| Emission Limits'!J44)</f>
        <v>0</v>
      </c>
      <c r="K74" s="388">
        <f>IF('Table 6-B| Emission Limits'!K44=0,IFERROR(IFERROR(1-VLOOKUP('Table 6-A| Controls &amp; Limits'!$K52,'Emission Controls'!$A$20:$L$33,10,FALSE),1)*('Table 5-A| Primary MPTE'!M140*$C74/'Table 5-A| Primary MPTE'!$E140),0),'Table 6-B| Emission Limits'!K44)</f>
        <v>0</v>
      </c>
      <c r="L74" s="388">
        <f>IF('Table 6-B| Emission Limits'!L44=0,IFERROR(IFERROR(1-VLOOKUP('Table 6-A| Controls &amp; Limits'!$K52,'Emission Controls'!$A$20:$L$33,11,FALSE),1)*('Table 5-A| Primary MPTE'!N140*$C74/'Table 5-A| Primary MPTE'!$E140),0),'Table 6-B| Emission Limits'!L44)</f>
        <v>0</v>
      </c>
      <c r="M74" s="389">
        <f>IF('Table 6-B| Emission Limits'!M44=0,IFERROR(IFERROR(1-VLOOKUP('Table 6-A| Controls &amp; Limits'!$K52,'Emission Controls'!$A$20:$L$33,12,FALSE),1)*('Table 5-A| Primary MPTE'!O140*$C74/'Table 5-A| Primary MPTE'!$E140),0),'Table 6-B| Emission Limits'!M44)</f>
        <v>0</v>
      </c>
    </row>
    <row r="75" spans="1:13" ht="18" customHeight="1" x14ac:dyDescent="0.25">
      <c r="A75" s="386">
        <f>IF(ISBLANK('Table 3-A| Emission Units'!A130),0,'Table 3-A| Emission Units'!A130&amp;"-"&amp;'Table 3-A| Emission Units'!B130)</f>
        <v>0</v>
      </c>
      <c r="B75" s="303">
        <f>IF(OR(ISBLANK('Table 3-A| Emission Units'!C130),ISTEXT('Table 3-A| Emission Units'!C130)),0,'Table 3-A| Emission Units'!C130)</f>
        <v>0</v>
      </c>
      <c r="C75" s="305">
        <f>IF(ISBLANK('Table 6-A| Controls &amp; Limits'!C53),0,IF('Table 6-A| Controls &amp; Limits'!C53="No",'Table 6-A| Controls &amp; Limits'!D53,'Table 6-A| Controls &amp; Limits'!E53))</f>
        <v>0</v>
      </c>
      <c r="D75" s="386">
        <f>IF(C75=0,0,'Table 6-A| Controls &amp; Limits'!F53)</f>
        <v>0</v>
      </c>
      <c r="E75" s="387">
        <f>IF('Table 6-B| Emission Limits'!E45=0,IFERROR(IFERROR(1-VLOOKUP('Table 6-A| Controls &amp; Limits'!$K53,'Emission Controls'!$A$20:$L$33,4,FALSE),1)*('Table 5-A| Primary MPTE'!G141*$C75/'Table 5-A| Primary MPTE'!$E141),0),'Table 6-B| Emission Limits'!E45)</f>
        <v>0</v>
      </c>
      <c r="F75" s="388">
        <f>IF('Table 6-B| Emission Limits'!F45=0,IFERROR(IFERROR(1-VLOOKUP('Table 6-A| Controls &amp; Limits'!$K53,'Emission Controls'!$A$20:$L$33,5,FALSE),1)*('Table 5-A| Primary MPTE'!H141*$C75/'Table 5-A| Primary MPTE'!$E141),0),'Table 6-B| Emission Limits'!F45)</f>
        <v>0</v>
      </c>
      <c r="G75" s="388">
        <f>IF('Table 6-B| Emission Limits'!G45=0,IFERROR(IFERROR(1-VLOOKUP('Table 6-A| Controls &amp; Limits'!$K53,'Emission Controls'!$A$20:$L$33,6,FALSE),1)*('Table 5-A| Primary MPTE'!I141*$C75/'Table 5-A| Primary MPTE'!$E141),0),'Table 6-B| Emission Limits'!G45)</f>
        <v>0</v>
      </c>
      <c r="H75" s="388">
        <f>IF('Table 6-B| Emission Limits'!H45=0,IFERROR(IFERROR(1-VLOOKUP('Table 6-A| Controls &amp; Limits'!$K53,'Emission Controls'!$A$20:$L$33,7,FALSE),1)*('Table 5-A| Primary MPTE'!J141*$C75/'Table 5-A| Primary MPTE'!$E141),0),'Table 6-B| Emission Limits'!H45)</f>
        <v>0</v>
      </c>
      <c r="I75" s="388">
        <f>IF('Table 6-B| Emission Limits'!I45=0,IFERROR(IFERROR(1-VLOOKUP('Table 6-A| Controls &amp; Limits'!$K53,'Emission Controls'!$A$20:$L$33,8,FALSE),1)*('Table 5-A| Primary MPTE'!K141*$C75/'Table 5-A| Primary MPTE'!$E141),0),'Table 6-B| Emission Limits'!I45)</f>
        <v>0</v>
      </c>
      <c r="J75" s="388">
        <f>IF('Table 6-B| Emission Limits'!J45=0,IFERROR(IFERROR(1-VLOOKUP('Table 6-A| Controls &amp; Limits'!$K53,'Emission Controls'!$A$20:$L$33,9,FALSE),1)*('Table 5-A| Primary MPTE'!L141*$C75/'Table 5-A| Primary MPTE'!$E141),0),'Table 6-B| Emission Limits'!J45)</f>
        <v>0</v>
      </c>
      <c r="K75" s="388">
        <f>IF('Table 6-B| Emission Limits'!K45=0,IFERROR(IFERROR(1-VLOOKUP('Table 6-A| Controls &amp; Limits'!$K53,'Emission Controls'!$A$20:$L$33,10,FALSE),1)*('Table 5-A| Primary MPTE'!M141*$C75/'Table 5-A| Primary MPTE'!$E141),0),'Table 6-B| Emission Limits'!K45)</f>
        <v>0</v>
      </c>
      <c r="L75" s="388">
        <f>IF('Table 6-B| Emission Limits'!L45=0,IFERROR(IFERROR(1-VLOOKUP('Table 6-A| Controls &amp; Limits'!$K53,'Emission Controls'!$A$20:$L$33,11,FALSE),1)*('Table 5-A| Primary MPTE'!N141*$C75/'Table 5-A| Primary MPTE'!$E141),0),'Table 6-B| Emission Limits'!L45)</f>
        <v>0</v>
      </c>
      <c r="M75" s="389">
        <f>IF('Table 6-B| Emission Limits'!M45=0,IFERROR(IFERROR(1-VLOOKUP('Table 6-A| Controls &amp; Limits'!$K53,'Emission Controls'!$A$20:$L$33,12,FALSE),1)*('Table 5-A| Primary MPTE'!O141*$C75/'Table 5-A| Primary MPTE'!$E141),0),'Table 6-B| Emission Limits'!M45)</f>
        <v>0</v>
      </c>
    </row>
    <row r="76" spans="1:13" ht="18" customHeight="1" x14ac:dyDescent="0.25">
      <c r="A76" s="386">
        <f>IF(ISBLANK('Table 3-A| Emission Units'!A131),0,'Table 3-A| Emission Units'!A131&amp;"-"&amp;'Table 3-A| Emission Units'!B131)</f>
        <v>0</v>
      </c>
      <c r="B76" s="303">
        <f>IF(OR(ISBLANK('Table 3-A| Emission Units'!C131),ISTEXT('Table 3-A| Emission Units'!C131)),0,'Table 3-A| Emission Units'!C131)</f>
        <v>0</v>
      </c>
      <c r="C76" s="305">
        <f>IF(ISBLANK('Table 6-A| Controls &amp; Limits'!C54),0,IF('Table 6-A| Controls &amp; Limits'!C54="No",'Table 6-A| Controls &amp; Limits'!D54,'Table 6-A| Controls &amp; Limits'!E54))</f>
        <v>0</v>
      </c>
      <c r="D76" s="386">
        <f>IF(C76=0,0,'Table 6-A| Controls &amp; Limits'!F54)</f>
        <v>0</v>
      </c>
      <c r="E76" s="387">
        <f>IF('Table 6-B| Emission Limits'!E46=0,IFERROR(IFERROR(1-VLOOKUP('Table 6-A| Controls &amp; Limits'!$K54,'Emission Controls'!$A$20:$L$33,4,FALSE),1)*('Table 5-A| Primary MPTE'!G142*$C76/'Table 5-A| Primary MPTE'!$E142),0),'Table 6-B| Emission Limits'!E46)</f>
        <v>0</v>
      </c>
      <c r="F76" s="388">
        <f>IF('Table 6-B| Emission Limits'!F46=0,IFERROR(IFERROR(1-VLOOKUP('Table 6-A| Controls &amp; Limits'!$K54,'Emission Controls'!$A$20:$L$33,5,FALSE),1)*('Table 5-A| Primary MPTE'!H142*$C76/'Table 5-A| Primary MPTE'!$E142),0),'Table 6-B| Emission Limits'!F46)</f>
        <v>0</v>
      </c>
      <c r="G76" s="388">
        <f>IF('Table 6-B| Emission Limits'!G46=0,IFERROR(IFERROR(1-VLOOKUP('Table 6-A| Controls &amp; Limits'!$K54,'Emission Controls'!$A$20:$L$33,6,FALSE),1)*('Table 5-A| Primary MPTE'!I142*$C76/'Table 5-A| Primary MPTE'!$E142),0),'Table 6-B| Emission Limits'!G46)</f>
        <v>0</v>
      </c>
      <c r="H76" s="388">
        <f>IF('Table 6-B| Emission Limits'!H46=0,IFERROR(IFERROR(1-VLOOKUP('Table 6-A| Controls &amp; Limits'!$K54,'Emission Controls'!$A$20:$L$33,7,FALSE),1)*('Table 5-A| Primary MPTE'!J142*$C76/'Table 5-A| Primary MPTE'!$E142),0),'Table 6-B| Emission Limits'!H46)</f>
        <v>0</v>
      </c>
      <c r="I76" s="388">
        <f>IF('Table 6-B| Emission Limits'!I46=0,IFERROR(IFERROR(1-VLOOKUP('Table 6-A| Controls &amp; Limits'!$K54,'Emission Controls'!$A$20:$L$33,8,FALSE),1)*('Table 5-A| Primary MPTE'!K142*$C76/'Table 5-A| Primary MPTE'!$E142),0),'Table 6-B| Emission Limits'!I46)</f>
        <v>0</v>
      </c>
      <c r="J76" s="388">
        <f>IF('Table 6-B| Emission Limits'!J46=0,IFERROR(IFERROR(1-VLOOKUP('Table 6-A| Controls &amp; Limits'!$K54,'Emission Controls'!$A$20:$L$33,9,FALSE),1)*('Table 5-A| Primary MPTE'!L142*$C76/'Table 5-A| Primary MPTE'!$E142),0),'Table 6-B| Emission Limits'!J46)</f>
        <v>0</v>
      </c>
      <c r="K76" s="388">
        <f>IF('Table 6-B| Emission Limits'!K46=0,IFERROR(IFERROR(1-VLOOKUP('Table 6-A| Controls &amp; Limits'!$K54,'Emission Controls'!$A$20:$L$33,10,FALSE),1)*('Table 5-A| Primary MPTE'!M142*$C76/'Table 5-A| Primary MPTE'!$E142),0),'Table 6-B| Emission Limits'!K46)</f>
        <v>0</v>
      </c>
      <c r="L76" s="388">
        <f>IF('Table 6-B| Emission Limits'!L46=0,IFERROR(IFERROR(1-VLOOKUP('Table 6-A| Controls &amp; Limits'!$K54,'Emission Controls'!$A$20:$L$33,11,FALSE),1)*('Table 5-A| Primary MPTE'!N142*$C76/'Table 5-A| Primary MPTE'!$E142),0),'Table 6-B| Emission Limits'!L46)</f>
        <v>0</v>
      </c>
      <c r="M76" s="389">
        <f>IF('Table 6-B| Emission Limits'!M46=0,IFERROR(IFERROR(1-VLOOKUP('Table 6-A| Controls &amp; Limits'!$K54,'Emission Controls'!$A$20:$L$33,12,FALSE),1)*('Table 5-A| Primary MPTE'!O142*$C76/'Table 5-A| Primary MPTE'!$E142),0),'Table 6-B| Emission Limits'!M46)</f>
        <v>0</v>
      </c>
    </row>
    <row r="77" spans="1:13" ht="18" customHeight="1" x14ac:dyDescent="0.25">
      <c r="A77" s="386">
        <f>IF(ISBLANK('Table 3-A| Emission Units'!A132),0,'Table 3-A| Emission Units'!A132&amp;"-"&amp;'Table 3-A| Emission Units'!B132)</f>
        <v>0</v>
      </c>
      <c r="B77" s="303">
        <f>IF(OR(ISBLANK('Table 3-A| Emission Units'!C132),ISTEXT('Table 3-A| Emission Units'!C132)),0,'Table 3-A| Emission Units'!C132)</f>
        <v>0</v>
      </c>
      <c r="C77" s="305">
        <f>IF(ISBLANK('Table 6-A| Controls &amp; Limits'!C55),0,IF('Table 6-A| Controls &amp; Limits'!C55="No",'Table 6-A| Controls &amp; Limits'!D55,'Table 6-A| Controls &amp; Limits'!E55))</f>
        <v>0</v>
      </c>
      <c r="D77" s="386">
        <f>IF(C77=0,0,'Table 6-A| Controls &amp; Limits'!F55)</f>
        <v>0</v>
      </c>
      <c r="E77" s="387">
        <f>IF('Table 6-B| Emission Limits'!E47=0,IFERROR(IFERROR(1-VLOOKUP('Table 6-A| Controls &amp; Limits'!$K55,'Emission Controls'!$A$20:$L$33,4,FALSE),1)*('Table 5-A| Primary MPTE'!G143*$C77/'Table 5-A| Primary MPTE'!$E143),0),'Table 6-B| Emission Limits'!E47)</f>
        <v>0</v>
      </c>
      <c r="F77" s="388">
        <f>IF('Table 6-B| Emission Limits'!F47=0,IFERROR(IFERROR(1-VLOOKUP('Table 6-A| Controls &amp; Limits'!$K55,'Emission Controls'!$A$20:$L$33,5,FALSE),1)*('Table 5-A| Primary MPTE'!H143*$C77/'Table 5-A| Primary MPTE'!$E143),0),'Table 6-B| Emission Limits'!F47)</f>
        <v>0</v>
      </c>
      <c r="G77" s="388">
        <f>IF('Table 6-B| Emission Limits'!G47=0,IFERROR(IFERROR(1-VLOOKUP('Table 6-A| Controls &amp; Limits'!$K55,'Emission Controls'!$A$20:$L$33,6,FALSE),1)*('Table 5-A| Primary MPTE'!I143*$C77/'Table 5-A| Primary MPTE'!$E143),0),'Table 6-B| Emission Limits'!G47)</f>
        <v>0</v>
      </c>
      <c r="H77" s="388">
        <f>IF('Table 6-B| Emission Limits'!H47=0,IFERROR(IFERROR(1-VLOOKUP('Table 6-A| Controls &amp; Limits'!$K55,'Emission Controls'!$A$20:$L$33,7,FALSE),1)*('Table 5-A| Primary MPTE'!J143*$C77/'Table 5-A| Primary MPTE'!$E143),0),'Table 6-B| Emission Limits'!H47)</f>
        <v>0</v>
      </c>
      <c r="I77" s="388">
        <f>IF('Table 6-B| Emission Limits'!I47=0,IFERROR(IFERROR(1-VLOOKUP('Table 6-A| Controls &amp; Limits'!$K55,'Emission Controls'!$A$20:$L$33,8,FALSE),1)*('Table 5-A| Primary MPTE'!K143*$C77/'Table 5-A| Primary MPTE'!$E143),0),'Table 6-B| Emission Limits'!I47)</f>
        <v>0</v>
      </c>
      <c r="J77" s="388">
        <f>IF('Table 6-B| Emission Limits'!J47=0,IFERROR(IFERROR(1-VLOOKUP('Table 6-A| Controls &amp; Limits'!$K55,'Emission Controls'!$A$20:$L$33,9,FALSE),1)*('Table 5-A| Primary MPTE'!L143*$C77/'Table 5-A| Primary MPTE'!$E143),0),'Table 6-B| Emission Limits'!J47)</f>
        <v>0</v>
      </c>
      <c r="K77" s="388">
        <f>IF('Table 6-B| Emission Limits'!K47=0,IFERROR(IFERROR(1-VLOOKUP('Table 6-A| Controls &amp; Limits'!$K55,'Emission Controls'!$A$20:$L$33,10,FALSE),1)*('Table 5-A| Primary MPTE'!M143*$C77/'Table 5-A| Primary MPTE'!$E143),0),'Table 6-B| Emission Limits'!K47)</f>
        <v>0</v>
      </c>
      <c r="L77" s="388">
        <f>IF('Table 6-B| Emission Limits'!L47=0,IFERROR(IFERROR(1-VLOOKUP('Table 6-A| Controls &amp; Limits'!$K55,'Emission Controls'!$A$20:$L$33,11,FALSE),1)*('Table 5-A| Primary MPTE'!N143*$C77/'Table 5-A| Primary MPTE'!$E143),0),'Table 6-B| Emission Limits'!L47)</f>
        <v>0</v>
      </c>
      <c r="M77" s="389">
        <f>IF('Table 6-B| Emission Limits'!M47=0,IFERROR(IFERROR(1-VLOOKUP('Table 6-A| Controls &amp; Limits'!$K55,'Emission Controls'!$A$20:$L$33,12,FALSE),1)*('Table 5-A| Primary MPTE'!O143*$C77/'Table 5-A| Primary MPTE'!$E143),0),'Table 6-B| Emission Limits'!M47)</f>
        <v>0</v>
      </c>
    </row>
    <row r="78" spans="1:13" ht="18" customHeight="1" x14ac:dyDescent="0.25">
      <c r="A78" s="386">
        <f>IF(ISBLANK('Table 3-A| Emission Units'!A133),0,'Table 3-A| Emission Units'!A133&amp;"-"&amp;'Table 3-A| Emission Units'!B133)</f>
        <v>0</v>
      </c>
      <c r="B78" s="303">
        <f>IF(OR(ISBLANK('Table 3-A| Emission Units'!C133),ISTEXT('Table 3-A| Emission Units'!C133)),0,'Table 3-A| Emission Units'!C133)</f>
        <v>0</v>
      </c>
      <c r="C78" s="305">
        <f>IF(ISBLANK('Table 6-A| Controls &amp; Limits'!C56),0,IF('Table 6-A| Controls &amp; Limits'!C56="No",'Table 6-A| Controls &amp; Limits'!D56,'Table 6-A| Controls &amp; Limits'!E56))</f>
        <v>0</v>
      </c>
      <c r="D78" s="386">
        <f>IF(C78=0,0,'Table 6-A| Controls &amp; Limits'!F56)</f>
        <v>0</v>
      </c>
      <c r="E78" s="387">
        <f>IF('Table 6-B| Emission Limits'!E48=0,IFERROR(IFERROR(1-VLOOKUP('Table 6-A| Controls &amp; Limits'!$K56,'Emission Controls'!$A$20:$L$33,4,FALSE),1)*('Table 5-A| Primary MPTE'!G144*$C78/'Table 5-A| Primary MPTE'!$E144),0),'Table 6-B| Emission Limits'!E48)</f>
        <v>0</v>
      </c>
      <c r="F78" s="388">
        <f>IF('Table 6-B| Emission Limits'!F48=0,IFERROR(IFERROR(1-VLOOKUP('Table 6-A| Controls &amp; Limits'!$K56,'Emission Controls'!$A$20:$L$33,5,FALSE),1)*('Table 5-A| Primary MPTE'!H144*$C78/'Table 5-A| Primary MPTE'!$E144),0),'Table 6-B| Emission Limits'!F48)</f>
        <v>0</v>
      </c>
      <c r="G78" s="388">
        <f>IF('Table 6-B| Emission Limits'!G48=0,IFERROR(IFERROR(1-VLOOKUP('Table 6-A| Controls &amp; Limits'!$K56,'Emission Controls'!$A$20:$L$33,6,FALSE),1)*('Table 5-A| Primary MPTE'!I144*$C78/'Table 5-A| Primary MPTE'!$E144),0),'Table 6-B| Emission Limits'!G48)</f>
        <v>0</v>
      </c>
      <c r="H78" s="388">
        <f>IF('Table 6-B| Emission Limits'!H48=0,IFERROR(IFERROR(1-VLOOKUP('Table 6-A| Controls &amp; Limits'!$K56,'Emission Controls'!$A$20:$L$33,7,FALSE),1)*('Table 5-A| Primary MPTE'!J144*$C78/'Table 5-A| Primary MPTE'!$E144),0),'Table 6-B| Emission Limits'!H48)</f>
        <v>0</v>
      </c>
      <c r="I78" s="388">
        <f>IF('Table 6-B| Emission Limits'!I48=0,IFERROR(IFERROR(1-VLOOKUP('Table 6-A| Controls &amp; Limits'!$K56,'Emission Controls'!$A$20:$L$33,8,FALSE),1)*('Table 5-A| Primary MPTE'!K144*$C78/'Table 5-A| Primary MPTE'!$E144),0),'Table 6-B| Emission Limits'!I48)</f>
        <v>0</v>
      </c>
      <c r="J78" s="388">
        <f>IF('Table 6-B| Emission Limits'!J48=0,IFERROR(IFERROR(1-VLOOKUP('Table 6-A| Controls &amp; Limits'!$K56,'Emission Controls'!$A$20:$L$33,9,FALSE),1)*('Table 5-A| Primary MPTE'!L144*$C78/'Table 5-A| Primary MPTE'!$E144),0),'Table 6-B| Emission Limits'!J48)</f>
        <v>0</v>
      </c>
      <c r="K78" s="388">
        <f>IF('Table 6-B| Emission Limits'!K48=0,IFERROR(IFERROR(1-VLOOKUP('Table 6-A| Controls &amp; Limits'!$K56,'Emission Controls'!$A$20:$L$33,10,FALSE),1)*('Table 5-A| Primary MPTE'!M144*$C78/'Table 5-A| Primary MPTE'!$E144),0),'Table 6-B| Emission Limits'!K48)</f>
        <v>0</v>
      </c>
      <c r="L78" s="388">
        <f>IF('Table 6-B| Emission Limits'!L48=0,IFERROR(IFERROR(1-VLOOKUP('Table 6-A| Controls &amp; Limits'!$K56,'Emission Controls'!$A$20:$L$33,11,FALSE),1)*('Table 5-A| Primary MPTE'!N144*$C78/'Table 5-A| Primary MPTE'!$E144),0),'Table 6-B| Emission Limits'!L48)</f>
        <v>0</v>
      </c>
      <c r="M78" s="389">
        <f>IF('Table 6-B| Emission Limits'!M48=0,IFERROR(IFERROR(1-VLOOKUP('Table 6-A| Controls &amp; Limits'!$K56,'Emission Controls'!$A$20:$L$33,12,FALSE),1)*('Table 5-A| Primary MPTE'!O144*$C78/'Table 5-A| Primary MPTE'!$E144),0),'Table 6-B| Emission Limits'!M48)</f>
        <v>0</v>
      </c>
    </row>
    <row r="79" spans="1:13" ht="18" customHeight="1" x14ac:dyDescent="0.25">
      <c r="A79" s="386">
        <f>IF(ISBLANK('Table 3-A| Emission Units'!A134),0,'Table 3-A| Emission Units'!A134&amp;"-"&amp;'Table 3-A| Emission Units'!B134)</f>
        <v>0</v>
      </c>
      <c r="B79" s="303">
        <f>IF(OR(ISBLANK('Table 3-A| Emission Units'!C134),ISTEXT('Table 3-A| Emission Units'!C134)),0,'Table 3-A| Emission Units'!C134)</f>
        <v>0</v>
      </c>
      <c r="C79" s="305">
        <f>IF(ISBLANK('Table 6-A| Controls &amp; Limits'!C57),0,IF('Table 6-A| Controls &amp; Limits'!C57="No",'Table 6-A| Controls &amp; Limits'!D57,'Table 6-A| Controls &amp; Limits'!E57))</f>
        <v>0</v>
      </c>
      <c r="D79" s="386">
        <f>IF(C79=0,0,'Table 6-A| Controls &amp; Limits'!F57)</f>
        <v>0</v>
      </c>
      <c r="E79" s="387">
        <f>IF('Table 6-B| Emission Limits'!E49=0,IFERROR(IFERROR(1-VLOOKUP('Table 6-A| Controls &amp; Limits'!$K57,'Emission Controls'!$A$20:$L$33,4,FALSE),1)*('Table 5-A| Primary MPTE'!G145*$C79/'Table 5-A| Primary MPTE'!$E145),0),'Table 6-B| Emission Limits'!E49)</f>
        <v>0</v>
      </c>
      <c r="F79" s="388">
        <f>IF('Table 6-B| Emission Limits'!F49=0,IFERROR(IFERROR(1-VLOOKUP('Table 6-A| Controls &amp; Limits'!$K57,'Emission Controls'!$A$20:$L$33,5,FALSE),1)*('Table 5-A| Primary MPTE'!H145*$C79/'Table 5-A| Primary MPTE'!$E145),0),'Table 6-B| Emission Limits'!F49)</f>
        <v>0</v>
      </c>
      <c r="G79" s="388">
        <f>IF('Table 6-B| Emission Limits'!G49=0,IFERROR(IFERROR(1-VLOOKUP('Table 6-A| Controls &amp; Limits'!$K57,'Emission Controls'!$A$20:$L$33,6,FALSE),1)*('Table 5-A| Primary MPTE'!I145*$C79/'Table 5-A| Primary MPTE'!$E145),0),'Table 6-B| Emission Limits'!G49)</f>
        <v>0</v>
      </c>
      <c r="H79" s="388">
        <f>IF('Table 6-B| Emission Limits'!H49=0,IFERROR(IFERROR(1-VLOOKUP('Table 6-A| Controls &amp; Limits'!$K57,'Emission Controls'!$A$20:$L$33,7,FALSE),1)*('Table 5-A| Primary MPTE'!J145*$C79/'Table 5-A| Primary MPTE'!$E145),0),'Table 6-B| Emission Limits'!H49)</f>
        <v>0</v>
      </c>
      <c r="I79" s="388">
        <f>IF('Table 6-B| Emission Limits'!I49=0,IFERROR(IFERROR(1-VLOOKUP('Table 6-A| Controls &amp; Limits'!$K57,'Emission Controls'!$A$20:$L$33,8,FALSE),1)*('Table 5-A| Primary MPTE'!K145*$C79/'Table 5-A| Primary MPTE'!$E145),0),'Table 6-B| Emission Limits'!I49)</f>
        <v>0</v>
      </c>
      <c r="J79" s="388">
        <f>IF('Table 6-B| Emission Limits'!J49=0,IFERROR(IFERROR(1-VLOOKUP('Table 6-A| Controls &amp; Limits'!$K57,'Emission Controls'!$A$20:$L$33,9,FALSE),1)*('Table 5-A| Primary MPTE'!L145*$C79/'Table 5-A| Primary MPTE'!$E145),0),'Table 6-B| Emission Limits'!J49)</f>
        <v>0</v>
      </c>
      <c r="K79" s="388">
        <f>IF('Table 6-B| Emission Limits'!K49=0,IFERROR(IFERROR(1-VLOOKUP('Table 6-A| Controls &amp; Limits'!$K57,'Emission Controls'!$A$20:$L$33,10,FALSE),1)*('Table 5-A| Primary MPTE'!M145*$C79/'Table 5-A| Primary MPTE'!$E145),0),'Table 6-B| Emission Limits'!K49)</f>
        <v>0</v>
      </c>
      <c r="L79" s="388">
        <f>IF('Table 6-B| Emission Limits'!L49=0,IFERROR(IFERROR(1-VLOOKUP('Table 6-A| Controls &amp; Limits'!$K57,'Emission Controls'!$A$20:$L$33,11,FALSE),1)*('Table 5-A| Primary MPTE'!N145*$C79/'Table 5-A| Primary MPTE'!$E145),0),'Table 6-B| Emission Limits'!L49)</f>
        <v>0</v>
      </c>
      <c r="M79" s="389">
        <f>IF('Table 6-B| Emission Limits'!M49=0,IFERROR(IFERROR(1-VLOOKUP('Table 6-A| Controls &amp; Limits'!$K57,'Emission Controls'!$A$20:$L$33,12,FALSE),1)*('Table 5-A| Primary MPTE'!O145*$C79/'Table 5-A| Primary MPTE'!$E145),0),'Table 6-B| Emission Limits'!M49)</f>
        <v>0</v>
      </c>
    </row>
    <row r="80" spans="1:13" ht="18" customHeight="1" x14ac:dyDescent="0.25">
      <c r="A80" s="386">
        <f>IF(ISBLANK('Table 3-A| Emission Units'!A135),0,'Table 3-A| Emission Units'!A135&amp;"-"&amp;'Table 3-A| Emission Units'!B135)</f>
        <v>0</v>
      </c>
      <c r="B80" s="303">
        <f>IF(OR(ISBLANK('Table 3-A| Emission Units'!C135),ISTEXT('Table 3-A| Emission Units'!C135)),0,'Table 3-A| Emission Units'!C135)</f>
        <v>0</v>
      </c>
      <c r="C80" s="305">
        <f>IF(ISBLANK('Table 6-A| Controls &amp; Limits'!C58),0,IF('Table 6-A| Controls &amp; Limits'!C58="No",'Table 6-A| Controls &amp; Limits'!D58,'Table 6-A| Controls &amp; Limits'!E58))</f>
        <v>0</v>
      </c>
      <c r="D80" s="386">
        <f>IF(C80=0,0,'Table 6-A| Controls &amp; Limits'!F58)</f>
        <v>0</v>
      </c>
      <c r="E80" s="387">
        <f>IF('Table 6-B| Emission Limits'!E50=0,IFERROR(IFERROR(1-VLOOKUP('Table 6-A| Controls &amp; Limits'!$K58,'Emission Controls'!$A$20:$L$33,4,FALSE),1)*('Table 5-A| Primary MPTE'!G146*$C80/'Table 5-A| Primary MPTE'!$E146),0),'Table 6-B| Emission Limits'!E50)</f>
        <v>0</v>
      </c>
      <c r="F80" s="388">
        <f>IF('Table 6-B| Emission Limits'!F50=0,IFERROR(IFERROR(1-VLOOKUP('Table 6-A| Controls &amp; Limits'!$K58,'Emission Controls'!$A$20:$L$33,5,FALSE),1)*('Table 5-A| Primary MPTE'!H146*$C80/'Table 5-A| Primary MPTE'!$E146),0),'Table 6-B| Emission Limits'!F50)</f>
        <v>0</v>
      </c>
      <c r="G80" s="388">
        <f>IF('Table 6-B| Emission Limits'!G50=0,IFERROR(IFERROR(1-VLOOKUP('Table 6-A| Controls &amp; Limits'!$K58,'Emission Controls'!$A$20:$L$33,6,FALSE),1)*('Table 5-A| Primary MPTE'!I146*$C80/'Table 5-A| Primary MPTE'!$E146),0),'Table 6-B| Emission Limits'!G50)</f>
        <v>0</v>
      </c>
      <c r="H80" s="388">
        <f>IF('Table 6-B| Emission Limits'!H50=0,IFERROR(IFERROR(1-VLOOKUP('Table 6-A| Controls &amp; Limits'!$K58,'Emission Controls'!$A$20:$L$33,7,FALSE),1)*('Table 5-A| Primary MPTE'!J146*$C80/'Table 5-A| Primary MPTE'!$E146),0),'Table 6-B| Emission Limits'!H50)</f>
        <v>0</v>
      </c>
      <c r="I80" s="388">
        <f>IF('Table 6-B| Emission Limits'!I50=0,IFERROR(IFERROR(1-VLOOKUP('Table 6-A| Controls &amp; Limits'!$K58,'Emission Controls'!$A$20:$L$33,8,FALSE),1)*('Table 5-A| Primary MPTE'!K146*$C80/'Table 5-A| Primary MPTE'!$E146),0),'Table 6-B| Emission Limits'!I50)</f>
        <v>0</v>
      </c>
      <c r="J80" s="388">
        <f>IF('Table 6-B| Emission Limits'!J50=0,IFERROR(IFERROR(1-VLOOKUP('Table 6-A| Controls &amp; Limits'!$K58,'Emission Controls'!$A$20:$L$33,9,FALSE),1)*('Table 5-A| Primary MPTE'!L146*$C80/'Table 5-A| Primary MPTE'!$E146),0),'Table 6-B| Emission Limits'!J50)</f>
        <v>0</v>
      </c>
      <c r="K80" s="388">
        <f>IF('Table 6-B| Emission Limits'!K50=0,IFERROR(IFERROR(1-VLOOKUP('Table 6-A| Controls &amp; Limits'!$K58,'Emission Controls'!$A$20:$L$33,10,FALSE),1)*('Table 5-A| Primary MPTE'!M146*$C80/'Table 5-A| Primary MPTE'!$E146),0),'Table 6-B| Emission Limits'!K50)</f>
        <v>0</v>
      </c>
      <c r="L80" s="388">
        <f>IF('Table 6-B| Emission Limits'!L50=0,IFERROR(IFERROR(1-VLOOKUP('Table 6-A| Controls &amp; Limits'!$K58,'Emission Controls'!$A$20:$L$33,11,FALSE),1)*('Table 5-A| Primary MPTE'!N146*$C80/'Table 5-A| Primary MPTE'!$E146),0),'Table 6-B| Emission Limits'!L50)</f>
        <v>0</v>
      </c>
      <c r="M80" s="389">
        <f>IF('Table 6-B| Emission Limits'!M50=0,IFERROR(IFERROR(1-VLOOKUP('Table 6-A| Controls &amp; Limits'!$K58,'Emission Controls'!$A$20:$L$33,12,FALSE),1)*('Table 5-A| Primary MPTE'!O146*$C80/'Table 5-A| Primary MPTE'!$E146),0),'Table 6-B| Emission Limits'!M50)</f>
        <v>0</v>
      </c>
    </row>
    <row r="81" spans="1:13" ht="18" customHeight="1" x14ac:dyDescent="0.25">
      <c r="A81" s="386">
        <f>IF(ISBLANK('Table 3-A| Emission Units'!A136),0,'Table 3-A| Emission Units'!A136&amp;"-"&amp;'Table 3-A| Emission Units'!B136)</f>
        <v>0</v>
      </c>
      <c r="B81" s="303">
        <f>IF(OR(ISBLANK('Table 3-A| Emission Units'!C136),ISTEXT('Table 3-A| Emission Units'!C136)),0,'Table 3-A| Emission Units'!C136)</f>
        <v>0</v>
      </c>
      <c r="C81" s="305">
        <f>IF(ISBLANK('Table 6-A| Controls &amp; Limits'!C59),0,IF('Table 6-A| Controls &amp; Limits'!C59="No",'Table 6-A| Controls &amp; Limits'!D59,'Table 6-A| Controls &amp; Limits'!E59))</f>
        <v>0</v>
      </c>
      <c r="D81" s="386">
        <f>IF(C81=0,0,'Table 6-A| Controls &amp; Limits'!F59)</f>
        <v>0</v>
      </c>
      <c r="E81" s="387">
        <f>IF('Table 6-B| Emission Limits'!E51=0,IFERROR(IFERROR(1-VLOOKUP('Table 6-A| Controls &amp; Limits'!$K59,'Emission Controls'!$A$20:$L$33,4,FALSE),1)*('Table 5-A| Primary MPTE'!G147*$C81/'Table 5-A| Primary MPTE'!$E147),0),'Table 6-B| Emission Limits'!E51)</f>
        <v>0</v>
      </c>
      <c r="F81" s="388">
        <f>IF('Table 6-B| Emission Limits'!F51=0,IFERROR(IFERROR(1-VLOOKUP('Table 6-A| Controls &amp; Limits'!$K59,'Emission Controls'!$A$20:$L$33,5,FALSE),1)*('Table 5-A| Primary MPTE'!H147*$C81/'Table 5-A| Primary MPTE'!$E147),0),'Table 6-B| Emission Limits'!F51)</f>
        <v>0</v>
      </c>
      <c r="G81" s="388">
        <f>IF('Table 6-B| Emission Limits'!G51=0,IFERROR(IFERROR(1-VLOOKUP('Table 6-A| Controls &amp; Limits'!$K59,'Emission Controls'!$A$20:$L$33,6,FALSE),1)*('Table 5-A| Primary MPTE'!I147*$C81/'Table 5-A| Primary MPTE'!$E147),0),'Table 6-B| Emission Limits'!G51)</f>
        <v>0</v>
      </c>
      <c r="H81" s="388">
        <f>IF('Table 6-B| Emission Limits'!H51=0,IFERROR(IFERROR(1-VLOOKUP('Table 6-A| Controls &amp; Limits'!$K59,'Emission Controls'!$A$20:$L$33,7,FALSE),1)*('Table 5-A| Primary MPTE'!J147*$C81/'Table 5-A| Primary MPTE'!$E147),0),'Table 6-B| Emission Limits'!H51)</f>
        <v>0</v>
      </c>
      <c r="I81" s="388">
        <f>IF('Table 6-B| Emission Limits'!I51=0,IFERROR(IFERROR(1-VLOOKUP('Table 6-A| Controls &amp; Limits'!$K59,'Emission Controls'!$A$20:$L$33,8,FALSE),1)*('Table 5-A| Primary MPTE'!K147*$C81/'Table 5-A| Primary MPTE'!$E147),0),'Table 6-B| Emission Limits'!I51)</f>
        <v>0</v>
      </c>
      <c r="J81" s="388">
        <f>IF('Table 6-B| Emission Limits'!J51=0,IFERROR(IFERROR(1-VLOOKUP('Table 6-A| Controls &amp; Limits'!$K59,'Emission Controls'!$A$20:$L$33,9,FALSE),1)*('Table 5-A| Primary MPTE'!L147*$C81/'Table 5-A| Primary MPTE'!$E147),0),'Table 6-B| Emission Limits'!J51)</f>
        <v>0</v>
      </c>
      <c r="K81" s="388">
        <f>IF('Table 6-B| Emission Limits'!K51=0,IFERROR(IFERROR(1-VLOOKUP('Table 6-A| Controls &amp; Limits'!$K59,'Emission Controls'!$A$20:$L$33,10,FALSE),1)*('Table 5-A| Primary MPTE'!M147*$C81/'Table 5-A| Primary MPTE'!$E147),0),'Table 6-B| Emission Limits'!K51)</f>
        <v>0</v>
      </c>
      <c r="L81" s="388">
        <f>IF('Table 6-B| Emission Limits'!L51=0,IFERROR(IFERROR(1-VLOOKUP('Table 6-A| Controls &amp; Limits'!$K59,'Emission Controls'!$A$20:$L$33,11,FALSE),1)*('Table 5-A| Primary MPTE'!N147*$C81/'Table 5-A| Primary MPTE'!$E147),0),'Table 6-B| Emission Limits'!L51)</f>
        <v>0</v>
      </c>
      <c r="M81" s="389">
        <f>IF('Table 6-B| Emission Limits'!M51=0,IFERROR(IFERROR(1-VLOOKUP('Table 6-A| Controls &amp; Limits'!$K59,'Emission Controls'!$A$20:$L$33,12,FALSE),1)*('Table 5-A| Primary MPTE'!O147*$C81/'Table 5-A| Primary MPTE'!$E147),0),'Table 6-B| Emission Limits'!M51)</f>
        <v>0</v>
      </c>
    </row>
    <row r="82" spans="1:13" ht="18" customHeight="1" x14ac:dyDescent="0.25">
      <c r="A82" s="386">
        <f>IF(ISBLANK('Table 3-A| Emission Units'!A137),0,'Table 3-A| Emission Units'!A137&amp;"-"&amp;'Table 3-A| Emission Units'!B137)</f>
        <v>0</v>
      </c>
      <c r="B82" s="303">
        <f>IF(OR(ISBLANK('Table 3-A| Emission Units'!C137),ISTEXT('Table 3-A| Emission Units'!C137)),0,'Table 3-A| Emission Units'!C137)</f>
        <v>0</v>
      </c>
      <c r="C82" s="305">
        <f>IF(ISBLANK('Table 6-A| Controls &amp; Limits'!C60),0,IF('Table 6-A| Controls &amp; Limits'!C60="No",'Table 6-A| Controls &amp; Limits'!D60,'Table 6-A| Controls &amp; Limits'!E60))</f>
        <v>0</v>
      </c>
      <c r="D82" s="386">
        <f>IF(C82=0,0,'Table 6-A| Controls &amp; Limits'!F60)</f>
        <v>0</v>
      </c>
      <c r="E82" s="387">
        <f>IF('Table 6-B| Emission Limits'!E52=0,IFERROR(IFERROR(1-VLOOKUP('Table 6-A| Controls &amp; Limits'!$K60,'Emission Controls'!$A$20:$L$33,4,FALSE),1)*('Table 5-A| Primary MPTE'!G148*$C82/'Table 5-A| Primary MPTE'!$E148),0),'Table 6-B| Emission Limits'!E52)</f>
        <v>0</v>
      </c>
      <c r="F82" s="388">
        <f>IF('Table 6-B| Emission Limits'!F52=0,IFERROR(IFERROR(1-VLOOKUP('Table 6-A| Controls &amp; Limits'!$K60,'Emission Controls'!$A$20:$L$33,5,FALSE),1)*('Table 5-A| Primary MPTE'!H148*$C82/'Table 5-A| Primary MPTE'!$E148),0),'Table 6-B| Emission Limits'!F52)</f>
        <v>0</v>
      </c>
      <c r="G82" s="388">
        <f>IF('Table 6-B| Emission Limits'!G52=0,IFERROR(IFERROR(1-VLOOKUP('Table 6-A| Controls &amp; Limits'!$K60,'Emission Controls'!$A$20:$L$33,6,FALSE),1)*('Table 5-A| Primary MPTE'!I148*$C82/'Table 5-A| Primary MPTE'!$E148),0),'Table 6-B| Emission Limits'!G52)</f>
        <v>0</v>
      </c>
      <c r="H82" s="388">
        <f>IF('Table 6-B| Emission Limits'!H52=0,IFERROR(IFERROR(1-VLOOKUP('Table 6-A| Controls &amp; Limits'!$K60,'Emission Controls'!$A$20:$L$33,7,FALSE),1)*('Table 5-A| Primary MPTE'!J148*$C82/'Table 5-A| Primary MPTE'!$E148),0),'Table 6-B| Emission Limits'!H52)</f>
        <v>0</v>
      </c>
      <c r="I82" s="388">
        <f>IF('Table 6-B| Emission Limits'!I52=0,IFERROR(IFERROR(1-VLOOKUP('Table 6-A| Controls &amp; Limits'!$K60,'Emission Controls'!$A$20:$L$33,8,FALSE),1)*('Table 5-A| Primary MPTE'!K148*$C82/'Table 5-A| Primary MPTE'!$E148),0),'Table 6-B| Emission Limits'!I52)</f>
        <v>0</v>
      </c>
      <c r="J82" s="388">
        <f>IF('Table 6-B| Emission Limits'!J52=0,IFERROR(IFERROR(1-VLOOKUP('Table 6-A| Controls &amp; Limits'!$K60,'Emission Controls'!$A$20:$L$33,9,FALSE),1)*('Table 5-A| Primary MPTE'!L148*$C82/'Table 5-A| Primary MPTE'!$E148),0),'Table 6-B| Emission Limits'!J52)</f>
        <v>0</v>
      </c>
      <c r="K82" s="388">
        <f>IF('Table 6-B| Emission Limits'!K52=0,IFERROR(IFERROR(1-VLOOKUP('Table 6-A| Controls &amp; Limits'!$K60,'Emission Controls'!$A$20:$L$33,10,FALSE),1)*('Table 5-A| Primary MPTE'!M148*$C82/'Table 5-A| Primary MPTE'!$E148),0),'Table 6-B| Emission Limits'!K52)</f>
        <v>0</v>
      </c>
      <c r="L82" s="388">
        <f>IF('Table 6-B| Emission Limits'!L52=0,IFERROR(IFERROR(1-VLOOKUP('Table 6-A| Controls &amp; Limits'!$K60,'Emission Controls'!$A$20:$L$33,11,FALSE),1)*('Table 5-A| Primary MPTE'!N148*$C82/'Table 5-A| Primary MPTE'!$E148),0),'Table 6-B| Emission Limits'!L52)</f>
        <v>0</v>
      </c>
      <c r="M82" s="389">
        <f>IF('Table 6-B| Emission Limits'!M52=0,IFERROR(IFERROR(1-VLOOKUP('Table 6-A| Controls &amp; Limits'!$K60,'Emission Controls'!$A$20:$L$33,12,FALSE),1)*('Table 5-A| Primary MPTE'!O148*$C82/'Table 5-A| Primary MPTE'!$E148),0),'Table 6-B| Emission Limits'!M52)</f>
        <v>0</v>
      </c>
    </row>
    <row r="83" spans="1:13" ht="18" customHeight="1" x14ac:dyDescent="0.25">
      <c r="A83" s="386">
        <f>IF(ISBLANK('Table 3-A| Emission Units'!A138),0,'Table 3-A| Emission Units'!A138&amp;"-"&amp;'Table 3-A| Emission Units'!B138)</f>
        <v>0</v>
      </c>
      <c r="B83" s="303">
        <f>IF(OR(ISBLANK('Table 3-A| Emission Units'!C138),ISTEXT('Table 3-A| Emission Units'!C138)),0,'Table 3-A| Emission Units'!C138)</f>
        <v>0</v>
      </c>
      <c r="C83" s="305">
        <f>IF(ISBLANK('Table 6-A| Controls &amp; Limits'!C61),0,IF('Table 6-A| Controls &amp; Limits'!C61="No",'Table 6-A| Controls &amp; Limits'!D61,'Table 6-A| Controls &amp; Limits'!E61))</f>
        <v>0</v>
      </c>
      <c r="D83" s="386">
        <f>IF(C83=0,0,'Table 6-A| Controls &amp; Limits'!F61)</f>
        <v>0</v>
      </c>
      <c r="E83" s="387">
        <f>IF('Table 6-B| Emission Limits'!E53=0,IFERROR(IFERROR(1-VLOOKUP('Table 6-A| Controls &amp; Limits'!$K61,'Emission Controls'!$A$20:$L$33,4,FALSE),1)*('Table 5-A| Primary MPTE'!G149*$C83/'Table 5-A| Primary MPTE'!$E149),0),'Table 6-B| Emission Limits'!E53)</f>
        <v>0</v>
      </c>
      <c r="F83" s="388">
        <f>IF('Table 6-B| Emission Limits'!F53=0,IFERROR(IFERROR(1-VLOOKUP('Table 6-A| Controls &amp; Limits'!$K61,'Emission Controls'!$A$20:$L$33,5,FALSE),1)*('Table 5-A| Primary MPTE'!H149*$C83/'Table 5-A| Primary MPTE'!$E149),0),'Table 6-B| Emission Limits'!F53)</f>
        <v>0</v>
      </c>
      <c r="G83" s="388">
        <f>IF('Table 6-B| Emission Limits'!G53=0,IFERROR(IFERROR(1-VLOOKUP('Table 6-A| Controls &amp; Limits'!$K61,'Emission Controls'!$A$20:$L$33,6,FALSE),1)*('Table 5-A| Primary MPTE'!I149*$C83/'Table 5-A| Primary MPTE'!$E149),0),'Table 6-B| Emission Limits'!G53)</f>
        <v>0</v>
      </c>
      <c r="H83" s="388">
        <f>IF('Table 6-B| Emission Limits'!H53=0,IFERROR(IFERROR(1-VLOOKUP('Table 6-A| Controls &amp; Limits'!$K61,'Emission Controls'!$A$20:$L$33,7,FALSE),1)*('Table 5-A| Primary MPTE'!J149*$C83/'Table 5-A| Primary MPTE'!$E149),0),'Table 6-B| Emission Limits'!H53)</f>
        <v>0</v>
      </c>
      <c r="I83" s="388">
        <f>IF('Table 6-B| Emission Limits'!I53=0,IFERROR(IFERROR(1-VLOOKUP('Table 6-A| Controls &amp; Limits'!$K61,'Emission Controls'!$A$20:$L$33,8,FALSE),1)*('Table 5-A| Primary MPTE'!K149*$C83/'Table 5-A| Primary MPTE'!$E149),0),'Table 6-B| Emission Limits'!I53)</f>
        <v>0</v>
      </c>
      <c r="J83" s="388">
        <f>IF('Table 6-B| Emission Limits'!J53=0,IFERROR(IFERROR(1-VLOOKUP('Table 6-A| Controls &amp; Limits'!$K61,'Emission Controls'!$A$20:$L$33,9,FALSE),1)*('Table 5-A| Primary MPTE'!L149*$C83/'Table 5-A| Primary MPTE'!$E149),0),'Table 6-B| Emission Limits'!J53)</f>
        <v>0</v>
      </c>
      <c r="K83" s="388">
        <f>IF('Table 6-B| Emission Limits'!K53=0,IFERROR(IFERROR(1-VLOOKUP('Table 6-A| Controls &amp; Limits'!$K61,'Emission Controls'!$A$20:$L$33,10,FALSE),1)*('Table 5-A| Primary MPTE'!M149*$C83/'Table 5-A| Primary MPTE'!$E149),0),'Table 6-B| Emission Limits'!K53)</f>
        <v>0</v>
      </c>
      <c r="L83" s="388">
        <f>IF('Table 6-B| Emission Limits'!L53=0,IFERROR(IFERROR(1-VLOOKUP('Table 6-A| Controls &amp; Limits'!$K61,'Emission Controls'!$A$20:$L$33,11,FALSE),1)*('Table 5-A| Primary MPTE'!N149*$C83/'Table 5-A| Primary MPTE'!$E149),0),'Table 6-B| Emission Limits'!L53)</f>
        <v>0</v>
      </c>
      <c r="M83" s="389">
        <f>IF('Table 6-B| Emission Limits'!M53=0,IFERROR(IFERROR(1-VLOOKUP('Table 6-A| Controls &amp; Limits'!$K61,'Emission Controls'!$A$20:$L$33,12,FALSE),1)*('Table 5-A| Primary MPTE'!O149*$C83/'Table 5-A| Primary MPTE'!$E149),0),'Table 6-B| Emission Limits'!M53)</f>
        <v>0</v>
      </c>
    </row>
    <row r="84" spans="1:13" ht="18" customHeight="1" x14ac:dyDescent="0.25">
      <c r="A84" s="386">
        <f>IF(ISBLANK('Table 3-A| Emission Units'!A139),0,'Table 3-A| Emission Units'!A139&amp;"-"&amp;'Table 3-A| Emission Units'!B139)</f>
        <v>0</v>
      </c>
      <c r="B84" s="303">
        <f>IF(OR(ISBLANK('Table 3-A| Emission Units'!C139),ISTEXT('Table 3-A| Emission Units'!C139)),0,'Table 3-A| Emission Units'!C139)</f>
        <v>0</v>
      </c>
      <c r="C84" s="305">
        <f>IF(ISBLANK('Table 6-A| Controls &amp; Limits'!C62),0,IF('Table 6-A| Controls &amp; Limits'!C62="No",'Table 6-A| Controls &amp; Limits'!D62,'Table 6-A| Controls &amp; Limits'!E62))</f>
        <v>0</v>
      </c>
      <c r="D84" s="386">
        <f>IF(C84=0,0,'Table 6-A| Controls &amp; Limits'!F62)</f>
        <v>0</v>
      </c>
      <c r="E84" s="387">
        <f>IF('Table 6-B| Emission Limits'!E54=0,IFERROR(IFERROR(1-VLOOKUP('Table 6-A| Controls &amp; Limits'!$K62,'Emission Controls'!$A$20:$L$33,4,FALSE),1)*('Table 5-A| Primary MPTE'!G150*$C84/'Table 5-A| Primary MPTE'!$E150),0),'Table 6-B| Emission Limits'!E54)</f>
        <v>0</v>
      </c>
      <c r="F84" s="388">
        <f>IF('Table 6-B| Emission Limits'!F54=0,IFERROR(IFERROR(1-VLOOKUP('Table 6-A| Controls &amp; Limits'!$K62,'Emission Controls'!$A$20:$L$33,5,FALSE),1)*('Table 5-A| Primary MPTE'!H150*$C84/'Table 5-A| Primary MPTE'!$E150),0),'Table 6-B| Emission Limits'!F54)</f>
        <v>0</v>
      </c>
      <c r="G84" s="388">
        <f>IF('Table 6-B| Emission Limits'!G54=0,IFERROR(IFERROR(1-VLOOKUP('Table 6-A| Controls &amp; Limits'!$K62,'Emission Controls'!$A$20:$L$33,6,FALSE),1)*('Table 5-A| Primary MPTE'!I150*$C84/'Table 5-A| Primary MPTE'!$E150),0),'Table 6-B| Emission Limits'!G54)</f>
        <v>0</v>
      </c>
      <c r="H84" s="388">
        <f>IF('Table 6-B| Emission Limits'!H54=0,IFERROR(IFERROR(1-VLOOKUP('Table 6-A| Controls &amp; Limits'!$K62,'Emission Controls'!$A$20:$L$33,7,FALSE),1)*('Table 5-A| Primary MPTE'!J150*$C84/'Table 5-A| Primary MPTE'!$E150),0),'Table 6-B| Emission Limits'!H54)</f>
        <v>0</v>
      </c>
      <c r="I84" s="388">
        <f>IF('Table 6-B| Emission Limits'!I54=0,IFERROR(IFERROR(1-VLOOKUP('Table 6-A| Controls &amp; Limits'!$K62,'Emission Controls'!$A$20:$L$33,8,FALSE),1)*('Table 5-A| Primary MPTE'!K150*$C84/'Table 5-A| Primary MPTE'!$E150),0),'Table 6-B| Emission Limits'!I54)</f>
        <v>0</v>
      </c>
      <c r="J84" s="388">
        <f>IF('Table 6-B| Emission Limits'!J54=0,IFERROR(IFERROR(1-VLOOKUP('Table 6-A| Controls &amp; Limits'!$K62,'Emission Controls'!$A$20:$L$33,9,FALSE),1)*('Table 5-A| Primary MPTE'!L150*$C84/'Table 5-A| Primary MPTE'!$E150),0),'Table 6-B| Emission Limits'!J54)</f>
        <v>0</v>
      </c>
      <c r="K84" s="388">
        <f>IF('Table 6-B| Emission Limits'!K54=0,IFERROR(IFERROR(1-VLOOKUP('Table 6-A| Controls &amp; Limits'!$K62,'Emission Controls'!$A$20:$L$33,10,FALSE),1)*('Table 5-A| Primary MPTE'!M150*$C84/'Table 5-A| Primary MPTE'!$E150),0),'Table 6-B| Emission Limits'!K54)</f>
        <v>0</v>
      </c>
      <c r="L84" s="388">
        <f>IF('Table 6-B| Emission Limits'!L54=0,IFERROR(IFERROR(1-VLOOKUP('Table 6-A| Controls &amp; Limits'!$K62,'Emission Controls'!$A$20:$L$33,11,FALSE),1)*('Table 5-A| Primary MPTE'!N150*$C84/'Table 5-A| Primary MPTE'!$E150),0),'Table 6-B| Emission Limits'!L54)</f>
        <v>0</v>
      </c>
      <c r="M84" s="389">
        <f>IF('Table 6-B| Emission Limits'!M54=0,IFERROR(IFERROR(1-VLOOKUP('Table 6-A| Controls &amp; Limits'!$K62,'Emission Controls'!$A$20:$L$33,12,FALSE),1)*('Table 5-A| Primary MPTE'!O150*$C84/'Table 5-A| Primary MPTE'!$E150),0),'Table 6-B| Emission Limits'!M54)</f>
        <v>0</v>
      </c>
    </row>
    <row r="85" spans="1:13" ht="18" customHeight="1" x14ac:dyDescent="0.25">
      <c r="A85" s="386">
        <f>IF(ISBLANK('Table 3-A| Emission Units'!A140),0,'Table 3-A| Emission Units'!A140&amp;"-"&amp;'Table 3-A| Emission Units'!B140)</f>
        <v>0</v>
      </c>
      <c r="B85" s="303">
        <f>IF(OR(ISBLANK('Table 3-A| Emission Units'!C140),ISTEXT('Table 3-A| Emission Units'!C140)),0,'Table 3-A| Emission Units'!C140)</f>
        <v>0</v>
      </c>
      <c r="C85" s="305">
        <f>IF(ISBLANK('Table 6-A| Controls &amp; Limits'!C63),0,IF('Table 6-A| Controls &amp; Limits'!C63="No",'Table 6-A| Controls &amp; Limits'!D63,'Table 6-A| Controls &amp; Limits'!E63))</f>
        <v>0</v>
      </c>
      <c r="D85" s="386">
        <f>IF(C85=0,0,'Table 6-A| Controls &amp; Limits'!F63)</f>
        <v>0</v>
      </c>
      <c r="E85" s="387">
        <f>IF('Table 6-B| Emission Limits'!E55=0,IFERROR(IFERROR(1-VLOOKUP('Table 6-A| Controls &amp; Limits'!$K63,'Emission Controls'!$A$20:$L$33,4,FALSE),1)*('Table 5-A| Primary MPTE'!G151*$C85/'Table 5-A| Primary MPTE'!$E151),0),'Table 6-B| Emission Limits'!E55)</f>
        <v>0</v>
      </c>
      <c r="F85" s="388">
        <f>IF('Table 6-B| Emission Limits'!F55=0,IFERROR(IFERROR(1-VLOOKUP('Table 6-A| Controls &amp; Limits'!$K63,'Emission Controls'!$A$20:$L$33,5,FALSE),1)*('Table 5-A| Primary MPTE'!H151*$C85/'Table 5-A| Primary MPTE'!$E151),0),'Table 6-B| Emission Limits'!F55)</f>
        <v>0</v>
      </c>
      <c r="G85" s="388">
        <f>IF('Table 6-B| Emission Limits'!G55=0,IFERROR(IFERROR(1-VLOOKUP('Table 6-A| Controls &amp; Limits'!$K63,'Emission Controls'!$A$20:$L$33,6,FALSE),1)*('Table 5-A| Primary MPTE'!I151*$C85/'Table 5-A| Primary MPTE'!$E151),0),'Table 6-B| Emission Limits'!G55)</f>
        <v>0</v>
      </c>
      <c r="H85" s="388">
        <f>IF('Table 6-B| Emission Limits'!H55=0,IFERROR(IFERROR(1-VLOOKUP('Table 6-A| Controls &amp; Limits'!$K63,'Emission Controls'!$A$20:$L$33,7,FALSE),1)*('Table 5-A| Primary MPTE'!J151*$C85/'Table 5-A| Primary MPTE'!$E151),0),'Table 6-B| Emission Limits'!H55)</f>
        <v>0</v>
      </c>
      <c r="I85" s="388">
        <f>IF('Table 6-B| Emission Limits'!I55=0,IFERROR(IFERROR(1-VLOOKUP('Table 6-A| Controls &amp; Limits'!$K63,'Emission Controls'!$A$20:$L$33,8,FALSE),1)*('Table 5-A| Primary MPTE'!K151*$C85/'Table 5-A| Primary MPTE'!$E151),0),'Table 6-B| Emission Limits'!I55)</f>
        <v>0</v>
      </c>
      <c r="J85" s="388">
        <f>IF('Table 6-B| Emission Limits'!J55=0,IFERROR(IFERROR(1-VLOOKUP('Table 6-A| Controls &amp; Limits'!$K63,'Emission Controls'!$A$20:$L$33,9,FALSE),1)*('Table 5-A| Primary MPTE'!L151*$C85/'Table 5-A| Primary MPTE'!$E151),0),'Table 6-B| Emission Limits'!J55)</f>
        <v>0</v>
      </c>
      <c r="K85" s="388">
        <f>IF('Table 6-B| Emission Limits'!K55=0,IFERROR(IFERROR(1-VLOOKUP('Table 6-A| Controls &amp; Limits'!$K63,'Emission Controls'!$A$20:$L$33,10,FALSE),1)*('Table 5-A| Primary MPTE'!M151*$C85/'Table 5-A| Primary MPTE'!$E151),0),'Table 6-B| Emission Limits'!K55)</f>
        <v>0</v>
      </c>
      <c r="L85" s="388">
        <f>IF('Table 6-B| Emission Limits'!L55=0,IFERROR(IFERROR(1-VLOOKUP('Table 6-A| Controls &amp; Limits'!$K63,'Emission Controls'!$A$20:$L$33,11,FALSE),1)*('Table 5-A| Primary MPTE'!N151*$C85/'Table 5-A| Primary MPTE'!$E151),0),'Table 6-B| Emission Limits'!L55)</f>
        <v>0</v>
      </c>
      <c r="M85" s="389">
        <f>IF('Table 6-B| Emission Limits'!M55=0,IFERROR(IFERROR(1-VLOOKUP('Table 6-A| Controls &amp; Limits'!$K63,'Emission Controls'!$A$20:$L$33,12,FALSE),1)*('Table 5-A| Primary MPTE'!O151*$C85/'Table 5-A| Primary MPTE'!$E151),0),'Table 6-B| Emission Limits'!M55)</f>
        <v>0</v>
      </c>
    </row>
    <row r="86" spans="1:13" ht="18" customHeight="1" x14ac:dyDescent="0.25">
      <c r="A86" s="386">
        <f>IF(ISBLANK('Table 3-A| Emission Units'!A141),0,'Table 3-A| Emission Units'!A141&amp;"-"&amp;'Table 3-A| Emission Units'!B141)</f>
        <v>0</v>
      </c>
      <c r="B86" s="303">
        <f>IF(OR(ISBLANK('Table 3-A| Emission Units'!C141),ISTEXT('Table 3-A| Emission Units'!C141)),0,'Table 3-A| Emission Units'!C141)</f>
        <v>0</v>
      </c>
      <c r="C86" s="305">
        <f>IF(ISBLANK('Table 6-A| Controls &amp; Limits'!C64),0,IF('Table 6-A| Controls &amp; Limits'!C64="No",'Table 6-A| Controls &amp; Limits'!D64,'Table 6-A| Controls &amp; Limits'!E64))</f>
        <v>0</v>
      </c>
      <c r="D86" s="386">
        <f>IF(C86=0,0,'Table 6-A| Controls &amp; Limits'!F64)</f>
        <v>0</v>
      </c>
      <c r="E86" s="387">
        <f>IF('Table 6-B| Emission Limits'!E56=0,IFERROR(IFERROR(1-VLOOKUP('Table 6-A| Controls &amp; Limits'!$K64,'Emission Controls'!$A$20:$L$33,4,FALSE),1)*('Table 5-A| Primary MPTE'!G152*$C86/'Table 5-A| Primary MPTE'!$E152),0),'Table 6-B| Emission Limits'!E56)</f>
        <v>0</v>
      </c>
      <c r="F86" s="388">
        <f>IF('Table 6-B| Emission Limits'!F56=0,IFERROR(IFERROR(1-VLOOKUP('Table 6-A| Controls &amp; Limits'!$K64,'Emission Controls'!$A$20:$L$33,5,FALSE),1)*('Table 5-A| Primary MPTE'!H152*$C86/'Table 5-A| Primary MPTE'!$E152),0),'Table 6-B| Emission Limits'!F56)</f>
        <v>0</v>
      </c>
      <c r="G86" s="388">
        <f>IF('Table 6-B| Emission Limits'!G56=0,IFERROR(IFERROR(1-VLOOKUP('Table 6-A| Controls &amp; Limits'!$K64,'Emission Controls'!$A$20:$L$33,6,FALSE),1)*('Table 5-A| Primary MPTE'!I152*$C86/'Table 5-A| Primary MPTE'!$E152),0),'Table 6-B| Emission Limits'!G56)</f>
        <v>0</v>
      </c>
      <c r="H86" s="388">
        <f>IF('Table 6-B| Emission Limits'!H56=0,IFERROR(IFERROR(1-VLOOKUP('Table 6-A| Controls &amp; Limits'!$K64,'Emission Controls'!$A$20:$L$33,7,FALSE),1)*('Table 5-A| Primary MPTE'!J152*$C86/'Table 5-A| Primary MPTE'!$E152),0),'Table 6-B| Emission Limits'!H56)</f>
        <v>0</v>
      </c>
      <c r="I86" s="388">
        <f>IF('Table 6-B| Emission Limits'!I56=0,IFERROR(IFERROR(1-VLOOKUP('Table 6-A| Controls &amp; Limits'!$K64,'Emission Controls'!$A$20:$L$33,8,FALSE),1)*('Table 5-A| Primary MPTE'!K152*$C86/'Table 5-A| Primary MPTE'!$E152),0),'Table 6-B| Emission Limits'!I56)</f>
        <v>0</v>
      </c>
      <c r="J86" s="388">
        <f>IF('Table 6-B| Emission Limits'!J56=0,IFERROR(IFERROR(1-VLOOKUP('Table 6-A| Controls &amp; Limits'!$K64,'Emission Controls'!$A$20:$L$33,9,FALSE),1)*('Table 5-A| Primary MPTE'!L152*$C86/'Table 5-A| Primary MPTE'!$E152),0),'Table 6-B| Emission Limits'!J56)</f>
        <v>0</v>
      </c>
      <c r="K86" s="388">
        <f>IF('Table 6-B| Emission Limits'!K56=0,IFERROR(IFERROR(1-VLOOKUP('Table 6-A| Controls &amp; Limits'!$K64,'Emission Controls'!$A$20:$L$33,10,FALSE),1)*('Table 5-A| Primary MPTE'!M152*$C86/'Table 5-A| Primary MPTE'!$E152),0),'Table 6-B| Emission Limits'!K56)</f>
        <v>0</v>
      </c>
      <c r="L86" s="388">
        <f>IF('Table 6-B| Emission Limits'!L56=0,IFERROR(IFERROR(1-VLOOKUP('Table 6-A| Controls &amp; Limits'!$K64,'Emission Controls'!$A$20:$L$33,11,FALSE),1)*('Table 5-A| Primary MPTE'!N152*$C86/'Table 5-A| Primary MPTE'!$E152),0),'Table 6-B| Emission Limits'!L56)</f>
        <v>0</v>
      </c>
      <c r="M86" s="389">
        <f>IF('Table 6-B| Emission Limits'!M56=0,IFERROR(IFERROR(1-VLOOKUP('Table 6-A| Controls &amp; Limits'!$K64,'Emission Controls'!$A$20:$L$33,12,FALSE),1)*('Table 5-A| Primary MPTE'!O152*$C86/'Table 5-A| Primary MPTE'!$E152),0),'Table 6-B| Emission Limits'!M56)</f>
        <v>0</v>
      </c>
    </row>
    <row r="87" spans="1:13" ht="18" customHeight="1" thickBot="1" x14ac:dyDescent="0.3">
      <c r="A87" s="390">
        <f>IF(ISBLANK('Table 3-A| Emission Units'!A142),0,'Table 3-A| Emission Units'!A142&amp;"-"&amp;'Table 3-A| Emission Units'!B142)</f>
        <v>0</v>
      </c>
      <c r="B87" s="310">
        <f>IF(OR(ISBLANK('Table 3-A| Emission Units'!C142),ISTEXT('Table 3-A| Emission Units'!C142)),0,'Table 3-A| Emission Units'!C142)</f>
        <v>0</v>
      </c>
      <c r="C87" s="312">
        <f>IF(ISBLANK('Table 6-A| Controls &amp; Limits'!C65),0,IF('Table 6-A| Controls &amp; Limits'!C65="No",'Table 6-A| Controls &amp; Limits'!D65,'Table 6-A| Controls &amp; Limits'!E65))</f>
        <v>0</v>
      </c>
      <c r="D87" s="390">
        <f>IF(C87=0,0,'Table 6-A| Controls &amp; Limits'!F65)</f>
        <v>0</v>
      </c>
      <c r="E87" s="391">
        <f>IF('Table 6-B| Emission Limits'!E57=0,IFERROR(IFERROR(1-VLOOKUP('Table 6-A| Controls &amp; Limits'!$K65,'Emission Controls'!$A$20:$L$33,4,FALSE),1)*('Table 5-A| Primary MPTE'!G153*$C87/'Table 5-A| Primary MPTE'!$E153),0),'Table 6-B| Emission Limits'!E57)</f>
        <v>0</v>
      </c>
      <c r="F87" s="392">
        <f>IF('Table 6-B| Emission Limits'!F57=0,IFERROR(IFERROR(1-VLOOKUP('Table 6-A| Controls &amp; Limits'!$K65,'Emission Controls'!$A$20:$L$33,5,FALSE),1)*('Table 5-A| Primary MPTE'!H153*$C87/'Table 5-A| Primary MPTE'!$E153),0),'Table 6-B| Emission Limits'!F57)</f>
        <v>0</v>
      </c>
      <c r="G87" s="392">
        <f>IF('Table 6-B| Emission Limits'!G57=0,IFERROR(IFERROR(1-VLOOKUP('Table 6-A| Controls &amp; Limits'!$K65,'Emission Controls'!$A$20:$L$33,6,FALSE),1)*('Table 5-A| Primary MPTE'!I153*$C87/'Table 5-A| Primary MPTE'!$E153),0),'Table 6-B| Emission Limits'!G57)</f>
        <v>0</v>
      </c>
      <c r="H87" s="392">
        <f>IF('Table 6-B| Emission Limits'!H57=0,IFERROR(IFERROR(1-VLOOKUP('Table 6-A| Controls &amp; Limits'!$K65,'Emission Controls'!$A$20:$L$33,7,FALSE),1)*('Table 5-A| Primary MPTE'!J153*$C87/'Table 5-A| Primary MPTE'!$E153),0),'Table 6-B| Emission Limits'!H57)</f>
        <v>0</v>
      </c>
      <c r="I87" s="392">
        <f>IF('Table 6-B| Emission Limits'!I57=0,IFERROR(IFERROR(1-VLOOKUP('Table 6-A| Controls &amp; Limits'!$K65,'Emission Controls'!$A$20:$L$33,8,FALSE),1)*('Table 5-A| Primary MPTE'!K153*$C87/'Table 5-A| Primary MPTE'!$E153),0),'Table 6-B| Emission Limits'!I57)</f>
        <v>0</v>
      </c>
      <c r="J87" s="392">
        <f>IF('Table 6-B| Emission Limits'!J57=0,IFERROR(IFERROR(1-VLOOKUP('Table 6-A| Controls &amp; Limits'!$K65,'Emission Controls'!$A$20:$L$33,9,FALSE),1)*('Table 5-A| Primary MPTE'!L153*$C87/'Table 5-A| Primary MPTE'!$E153),0),'Table 6-B| Emission Limits'!J57)</f>
        <v>0</v>
      </c>
      <c r="K87" s="392">
        <f>IF('Table 6-B| Emission Limits'!K57=0,IFERROR(IFERROR(1-VLOOKUP('Table 6-A| Controls &amp; Limits'!$K65,'Emission Controls'!$A$20:$L$33,10,FALSE),1)*('Table 5-A| Primary MPTE'!M153*$C87/'Table 5-A| Primary MPTE'!$E153),0),'Table 6-B| Emission Limits'!K57)</f>
        <v>0</v>
      </c>
      <c r="L87" s="392">
        <f>IF('Table 6-B| Emission Limits'!L57=0,IFERROR(IFERROR(1-VLOOKUP('Table 6-A| Controls &amp; Limits'!$K65,'Emission Controls'!$A$20:$L$33,11,FALSE),1)*('Table 5-A| Primary MPTE'!N153*$C87/'Table 5-A| Primary MPTE'!$E153),0),'Table 6-B| Emission Limits'!L57)</f>
        <v>0</v>
      </c>
      <c r="M87" s="393">
        <f>IF('Table 6-B| Emission Limits'!M57=0,IFERROR(IFERROR(1-VLOOKUP('Table 6-A| Controls &amp; Limits'!$K65,'Emission Controls'!$A$20:$L$33,12,FALSE),1)*('Table 5-A| Primary MPTE'!O153*$C87/'Table 5-A| Primary MPTE'!$E153),0),'Table 6-B| Emission Limits'!M57)</f>
        <v>0</v>
      </c>
    </row>
    <row r="88" spans="1:13" ht="18" customHeight="1" x14ac:dyDescent="0.25"/>
    <row r="89" spans="1:13" ht="18" customHeight="1" x14ac:dyDescent="0.25">
      <c r="D89" s="728" t="s">
        <v>2335</v>
      </c>
      <c r="E89" s="716">
        <f>SUM(E$12:E$87)</f>
        <v>0</v>
      </c>
      <c r="F89" s="716">
        <f t="shared" ref="F89:M89" si="2">SUM(F$12:F$87)</f>
        <v>0</v>
      </c>
      <c r="G89" s="716">
        <f t="shared" si="2"/>
        <v>0</v>
      </c>
      <c r="H89" s="716">
        <f t="shared" si="2"/>
        <v>0</v>
      </c>
      <c r="I89" s="716">
        <f t="shared" si="2"/>
        <v>0</v>
      </c>
      <c r="J89" s="716">
        <f t="shared" si="2"/>
        <v>0</v>
      </c>
      <c r="K89" s="716">
        <f t="shared" si="2"/>
        <v>0</v>
      </c>
      <c r="L89" s="716">
        <f t="shared" si="2"/>
        <v>0</v>
      </c>
      <c r="M89" s="716">
        <f t="shared" ca="1" si="2"/>
        <v>0</v>
      </c>
    </row>
    <row r="90" spans="1:13" ht="18" customHeight="1" x14ac:dyDescent="0.25">
      <c r="D90" s="728" t="s">
        <v>2336</v>
      </c>
      <c r="E90" s="716">
        <f>SUM('Table 7-B| Reclaim APTE'!E$12:E$49)</f>
        <v>0</v>
      </c>
      <c r="F90" s="716">
        <f>SUM('Table 7-B| Reclaim APTE'!F$12:F$49)</f>
        <v>0</v>
      </c>
      <c r="G90" s="716">
        <f>SUM('Table 7-B| Reclaim APTE'!G$12:G$49)</f>
        <v>0</v>
      </c>
      <c r="H90" s="716">
        <f>SUM('Table 7-B| Reclaim APTE'!H$12:H$49)</f>
        <v>0</v>
      </c>
      <c r="I90" s="716">
        <f>SUM('Table 7-B| Reclaim APTE'!I$12:I$49)</f>
        <v>0</v>
      </c>
      <c r="J90" s="716">
        <f>SUM('Table 7-B| Reclaim APTE'!J$12:J$49)</f>
        <v>0</v>
      </c>
      <c r="K90" s="716">
        <f>SUM('Table 7-B| Reclaim APTE'!K$12:K$49)</f>
        <v>0</v>
      </c>
      <c r="L90" s="716">
        <f>SUM('Table 7-B| Reclaim APTE'!L$12:L$49)</f>
        <v>0</v>
      </c>
      <c r="M90" s="716">
        <f>SUM('Table 7-B| Reclaim APTE'!M$12:M$49)</f>
        <v>0</v>
      </c>
    </row>
    <row r="91" spans="1:13" ht="18" customHeight="1" x14ac:dyDescent="0.25">
      <c r="D91" s="728" t="s">
        <v>2334</v>
      </c>
      <c r="E91" s="716">
        <f>IF(SUM(E$89:E$90)&lt;100,ROUND(SUM(E$89:E$90),3),IF(SUM(E$89:E$90)&lt;1000,ROUND(SUM(E$89:E$90),2),IF(SUM(E$89:E$90)&lt;10000,ROUND(SUM(E$89:E$90),1),ROUND(SUM(E$89:E$90),0))))</f>
        <v>0</v>
      </c>
      <c r="F91" s="716">
        <f t="shared" ref="F91:M91" si="3">IF(SUM(F$89:F$90)&lt;100,ROUND(SUM(F$89:F$90),3),IF(SUM(F$89:F$90)&lt;1000,ROUND(SUM(F$89:F$90),2),IF(SUM(F$89:F$90)&lt;10000,ROUND(SUM(F$89:F$90),1),ROUND(SUM(F$89:F$90),0))))</f>
        <v>0</v>
      </c>
      <c r="G91" s="716">
        <f t="shared" si="3"/>
        <v>0</v>
      </c>
      <c r="H91" s="716">
        <f t="shared" si="3"/>
        <v>0</v>
      </c>
      <c r="I91" s="716">
        <f t="shared" si="3"/>
        <v>0</v>
      </c>
      <c r="J91" s="716">
        <f t="shared" si="3"/>
        <v>0</v>
      </c>
      <c r="K91" s="716">
        <f t="shared" si="3"/>
        <v>0</v>
      </c>
      <c r="L91" s="716">
        <f t="shared" si="3"/>
        <v>0</v>
      </c>
      <c r="M91" s="716">
        <f t="shared" ca="1" si="3"/>
        <v>0</v>
      </c>
    </row>
    <row r="92" spans="1:13" ht="18" customHeight="1" x14ac:dyDescent="0.25">
      <c r="D92" s="728" t="s">
        <v>2333</v>
      </c>
      <c r="E92" s="716">
        <f>IF((E91/2000)&lt;100,ROUND(E91/2000,3),IF((E91/2000)&lt;1000,ROUND(E91/2000,2),IF((E91/2000)&lt;10000,ROUND(E91/2000,1),ROUND(E91/2000,0))))</f>
        <v>0</v>
      </c>
      <c r="F92" s="716">
        <f t="shared" ref="F92:M92" si="4">IF((F91/2000)&lt;100,ROUND(F91/2000,3),IF((F91/2000)&lt;1000,ROUND(F91/2000,2),IF((F91/2000)&lt;10000,ROUND(F91/2000,1),ROUND(F91/2000,0))))</f>
        <v>0</v>
      </c>
      <c r="G92" s="716">
        <f t="shared" si="4"/>
        <v>0</v>
      </c>
      <c r="H92" s="716">
        <f t="shared" si="4"/>
        <v>0</v>
      </c>
      <c r="I92" s="716">
        <f t="shared" si="4"/>
        <v>0</v>
      </c>
      <c r="J92" s="716">
        <f t="shared" si="4"/>
        <v>0</v>
      </c>
      <c r="K92" s="716">
        <f t="shared" si="4"/>
        <v>0</v>
      </c>
      <c r="L92" s="716">
        <f t="shared" si="4"/>
        <v>0</v>
      </c>
      <c r="M92" s="716">
        <f t="shared" ca="1" si="4"/>
        <v>0</v>
      </c>
    </row>
    <row r="93" spans="1:13" ht="18" customHeight="1" x14ac:dyDescent="0.25"/>
    <row r="94" spans="1:13" ht="18" customHeight="1" x14ac:dyDescent="0.25">
      <c r="D94" s="539" t="s">
        <v>2320</v>
      </c>
      <c r="E94" s="716">
        <f>E92</f>
        <v>0</v>
      </c>
    </row>
    <row r="95" spans="1:13" ht="18" customHeight="1" x14ac:dyDescent="0.25">
      <c r="D95" s="539" t="s">
        <v>2321</v>
      </c>
      <c r="E95" s="716">
        <f>F92</f>
        <v>0</v>
      </c>
    </row>
    <row r="96" spans="1:13" ht="18" customHeight="1" x14ac:dyDescent="0.25">
      <c r="D96" s="539" t="s">
        <v>3</v>
      </c>
      <c r="E96" s="716">
        <f>G92</f>
        <v>0</v>
      </c>
    </row>
    <row r="97" spans="4:5" ht="18" customHeight="1" x14ac:dyDescent="0.25">
      <c r="D97" s="539" t="s">
        <v>4</v>
      </c>
      <c r="E97" s="716">
        <f>H92</f>
        <v>0</v>
      </c>
    </row>
    <row r="98" spans="4:5" ht="15" x14ac:dyDescent="0.25">
      <c r="D98" s="539" t="s">
        <v>0</v>
      </c>
      <c r="E98" s="716">
        <f>I92</f>
        <v>0</v>
      </c>
    </row>
    <row r="99" spans="4:5" ht="15" x14ac:dyDescent="0.25">
      <c r="D99" s="539" t="s">
        <v>5</v>
      </c>
      <c r="E99" s="716">
        <f>J92</f>
        <v>0</v>
      </c>
    </row>
    <row r="100" spans="4:5" ht="15" x14ac:dyDescent="0.25">
      <c r="D100" s="539" t="s">
        <v>236</v>
      </c>
      <c r="E100" s="716">
        <f>L92</f>
        <v>0</v>
      </c>
    </row>
    <row r="101" spans="4:5" ht="15" x14ac:dyDescent="0.25">
      <c r="D101" s="539" t="s">
        <v>2322</v>
      </c>
      <c r="E101" s="716">
        <f>K92</f>
        <v>0</v>
      </c>
    </row>
    <row r="102" spans="4:5" ht="15" x14ac:dyDescent="0.25">
      <c r="D102" s="539"/>
      <c r="E102" s="716"/>
    </row>
    <row r="103" spans="4:5" ht="15" x14ac:dyDescent="0.25">
      <c r="D103" s="539" t="s">
        <v>2323</v>
      </c>
      <c r="E103" s="716">
        <f ca="1">SUM('Table 7-E| APTE Thresholds'!$B$26)</f>
        <v>0</v>
      </c>
    </row>
    <row r="104" spans="4:5" ht="15" x14ac:dyDescent="0.25">
      <c r="D104" s="539" t="s">
        <v>2324</v>
      </c>
      <c r="E104" s="716">
        <f ca="1">M92</f>
        <v>0</v>
      </c>
    </row>
  </sheetData>
  <sheetProtection algorithmName="SHA-512" hashValue="Yk41sF4JjIMvIgOu+LxLjdaUqAUZGo+qDEOdNpCXaXWk7Zk9fASf2jWML1mhwfd5x+ihjR3dSHIVgVcf9159HQ==" saltValue="OtxqIGSniCv1VhQXAJ4I+g==" spinCount="100000" sheet="1" objects="1" scenarios="1"/>
  <mergeCells count="85">
    <mergeCell ref="M46:M48"/>
    <mergeCell ref="C33:C35"/>
    <mergeCell ref="D33:D35"/>
    <mergeCell ref="E33:E35"/>
    <mergeCell ref="H46:H48"/>
    <mergeCell ref="I46:I48"/>
    <mergeCell ref="J46:J48"/>
    <mergeCell ref="K46:K48"/>
    <mergeCell ref="L46:L48"/>
    <mergeCell ref="C46:C48"/>
    <mergeCell ref="D46:D48"/>
    <mergeCell ref="E46:E48"/>
    <mergeCell ref="F46:F48"/>
    <mergeCell ref="G46:G48"/>
    <mergeCell ref="F33:F35"/>
    <mergeCell ref="G33:G35"/>
    <mergeCell ref="AF28:AH28"/>
    <mergeCell ref="AF29:AH29"/>
    <mergeCell ref="AF31:AH31"/>
    <mergeCell ref="AF32:AH32"/>
    <mergeCell ref="AF37:AH37"/>
    <mergeCell ref="AF38:AH38"/>
    <mergeCell ref="AF40:AH40"/>
    <mergeCell ref="AF41:AH41"/>
    <mergeCell ref="AF42:AH42"/>
    <mergeCell ref="AF43:AH43"/>
    <mergeCell ref="A59:M59"/>
    <mergeCell ref="A64:M64"/>
    <mergeCell ref="A52:M52"/>
    <mergeCell ref="A57:M57"/>
    <mergeCell ref="A8:M8"/>
    <mergeCell ref="A9:M9"/>
    <mergeCell ref="A10:M10"/>
    <mergeCell ref="C20:C22"/>
    <mergeCell ref="D20:D22"/>
    <mergeCell ref="E20:E22"/>
    <mergeCell ref="F20:F22"/>
    <mergeCell ref="G20:G22"/>
    <mergeCell ref="H20:H22"/>
    <mergeCell ref="I20:I22"/>
    <mergeCell ref="J20:J22"/>
    <mergeCell ref="K20:K22"/>
    <mergeCell ref="A5:M5"/>
    <mergeCell ref="A6:M6"/>
    <mergeCell ref="A1:M1"/>
    <mergeCell ref="A2:M2"/>
    <mergeCell ref="A3:M3"/>
    <mergeCell ref="A4:M4"/>
    <mergeCell ref="A7:M7"/>
    <mergeCell ref="A12:M12"/>
    <mergeCell ref="S24:X24"/>
    <mergeCell ref="Y24:AD24"/>
    <mergeCell ref="Q26:R26"/>
    <mergeCell ref="L20:L22"/>
    <mergeCell ref="M20:M22"/>
    <mergeCell ref="H33:H35"/>
    <mergeCell ref="I33:I35"/>
    <mergeCell ref="J33:J35"/>
    <mergeCell ref="K33:K35"/>
    <mergeCell ref="Q27:R27"/>
    <mergeCell ref="Q28:R28"/>
    <mergeCell ref="Q29:R29"/>
    <mergeCell ref="Q30:R30"/>
    <mergeCell ref="Q31:R31"/>
    <mergeCell ref="L33:L35"/>
    <mergeCell ref="M33:M35"/>
    <mergeCell ref="S33:X33"/>
    <mergeCell ref="Y33:AD33"/>
    <mergeCell ref="Q35:R35"/>
    <mergeCell ref="Q36:R36"/>
    <mergeCell ref="Q37:R37"/>
    <mergeCell ref="Q38:R38"/>
    <mergeCell ref="Q39:R39"/>
    <mergeCell ref="Q40:R40"/>
    <mergeCell ref="S42:X42"/>
    <mergeCell ref="Y42:AD42"/>
    <mergeCell ref="Q44:R44"/>
    <mergeCell ref="Q45:R45"/>
    <mergeCell ref="Q46:R46"/>
    <mergeCell ref="N53:O54"/>
    <mergeCell ref="N55:O56"/>
    <mergeCell ref="Q47:R47"/>
    <mergeCell ref="Q48:R48"/>
    <mergeCell ref="Q49:R49"/>
    <mergeCell ref="Q52:Y52"/>
  </mergeCells>
  <conditionalFormatting sqref="A13:M19 A20:B22 A23:M32 A33:B35 A36:M45 A46:B48 A49:M51 A53:M56 A58:M58 A60:M63 A65:M87">
    <cfRule type="expression" dxfId="84" priority="74">
      <formula>$A13=0</formula>
    </cfRule>
  </conditionalFormatting>
  <conditionalFormatting sqref="A13:M19 A23:M32 A36:M45 A49:M51 A53:M56 A58:M58 A60:M63">
    <cfRule type="expression" dxfId="83" priority="87">
      <formula>$C13=0</formula>
    </cfRule>
  </conditionalFormatting>
  <conditionalFormatting sqref="B53:B56 B65:B87">
    <cfRule type="cellIs" dxfId="82" priority="93" operator="greaterThan">
      <formula>99999999</formula>
    </cfRule>
  </conditionalFormatting>
  <conditionalFormatting sqref="C13:M51 C53:M56 C58:M58 C60:M63 C65:M87">
    <cfRule type="cellIs" dxfId="81" priority="89" operator="greaterThanOrEqual">
      <formula>1000000</formula>
    </cfRule>
    <cfRule type="cellIs" dxfId="80" priority="90" stopIfTrue="1" operator="greaterThanOrEqual">
      <formula>1000</formula>
    </cfRule>
    <cfRule type="cellIs" dxfId="79" priority="91" stopIfTrue="1" operator="equal">
      <formula>0</formula>
    </cfRule>
  </conditionalFormatting>
  <conditionalFormatting sqref="C20:M22 C33:M35 C46:M48">
    <cfRule type="expression" dxfId="78" priority="1">
      <formula>AND($A20=0,$A21=0,$A22=0)</formula>
    </cfRule>
  </conditionalFormatting>
  <conditionalFormatting sqref="E89:M92">
    <cfRule type="cellIs" dxfId="77" priority="75" operator="lessThan">
      <formula>100</formula>
    </cfRule>
    <cfRule type="cellIs" dxfId="76" priority="76" operator="lessThan">
      <formula>1000</formula>
    </cfRule>
    <cfRule type="cellIs" dxfId="75" priority="77" operator="lessThan">
      <formula>10000</formula>
    </cfRule>
    <cfRule type="cellIs" dxfId="74" priority="78" operator="greaterThanOrEqual">
      <formula>10000</formula>
    </cfRule>
  </conditionalFormatting>
  <printOptions horizontalCentered="1"/>
  <pageMargins left="0.5" right="0.5" top="0.5" bottom="0.5" header="0.3" footer="0.3"/>
  <pageSetup scale="74" fitToHeight="0" orientation="landscape" r:id="rId1"/>
  <headerFooter>
    <oddFooter>&amp;LRev. 7/2016&amp;C&amp;A&amp;RPage &amp;P</oddFooter>
  </headerFooter>
  <rowBreaks count="1" manualBreakCount="1">
    <brk id="63" max="12" man="1"/>
  </rowBreaks>
  <drawing r:id="rId2"/>
  <legacyDrawing r:id="rId3"/>
  <oleObjects>
    <mc:AlternateContent xmlns:mc="http://schemas.openxmlformats.org/markup-compatibility/2006">
      <mc:Choice Requires="x14">
        <oleObject progId="Equation.3" shapeId="95237" r:id="rId4">
          <objectPr defaultSize="0" autoPict="0" r:id="rId5">
            <anchor moveWithCells="1">
              <from>
                <xdr:col>31</xdr:col>
                <xdr:colOff>38100</xdr:colOff>
                <xdr:row>25</xdr:row>
                <xdr:rowOff>9525</xdr:rowOff>
              </from>
              <to>
                <xdr:col>33</xdr:col>
                <xdr:colOff>600075</xdr:colOff>
                <xdr:row>26</xdr:row>
                <xdr:rowOff>38100</xdr:rowOff>
              </to>
            </anchor>
          </objectPr>
        </oleObject>
      </mc:Choice>
      <mc:Fallback>
        <oleObject progId="Equation.3" shapeId="95237" r:id="rId4"/>
      </mc:Fallback>
    </mc:AlternateContent>
    <mc:AlternateContent xmlns:mc="http://schemas.openxmlformats.org/markup-compatibility/2006">
      <mc:Choice Requires="x14">
        <oleObject progId="Equation.3" shapeId="95238" r:id="rId6">
          <objectPr defaultSize="0" autoPict="0" r:id="rId7">
            <anchor moveWithCells="1">
              <from>
                <xdr:col>31</xdr:col>
                <xdr:colOff>114300</xdr:colOff>
                <xdr:row>34</xdr:row>
                <xdr:rowOff>47625</xdr:rowOff>
              </from>
              <to>
                <xdr:col>33</xdr:col>
                <xdr:colOff>666750</xdr:colOff>
                <xdr:row>35</xdr:row>
                <xdr:rowOff>209550</xdr:rowOff>
              </to>
            </anchor>
          </objectPr>
        </oleObject>
      </mc:Choice>
      <mc:Fallback>
        <oleObject progId="Equation.3" shapeId="95238" r:id="rId6"/>
      </mc:Fallback>
    </mc:AlternateContent>
  </oleObjec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0">
    <tabColor rgb="FF002060"/>
    <pageSetUpPr fitToPage="1"/>
  </sheetPr>
  <dimension ref="A1:AP113"/>
  <sheetViews>
    <sheetView showGridLines="0" zoomScaleNormal="100" workbookViewId="0">
      <selection sqref="A1:M1"/>
    </sheetView>
  </sheetViews>
  <sheetFormatPr defaultRowHeight="14.25" x14ac:dyDescent="0.25"/>
  <cols>
    <col min="1" max="1" width="11.28515625" style="130" customWidth="1"/>
    <col min="2" max="2" width="17.7109375" style="48" customWidth="1"/>
    <col min="3" max="3" width="15.7109375" style="48" customWidth="1"/>
    <col min="4" max="4" width="12.85546875" style="48" customWidth="1"/>
    <col min="5" max="13" width="12.7109375" style="48" customWidth="1"/>
    <col min="14" max="14" width="4.28515625" style="48" customWidth="1"/>
    <col min="15" max="15" width="10.140625" style="48" bestFit="1" customWidth="1"/>
    <col min="16" max="16" width="9.140625" style="48"/>
    <col min="17" max="30" width="10.7109375" style="48" customWidth="1"/>
    <col min="31" max="16384" width="9.140625" style="48"/>
  </cols>
  <sheetData>
    <row r="1" spans="1:30" s="69" customFormat="1" ht="26.25" customHeight="1" thickBot="1" x14ac:dyDescent="0.3">
      <c r="A1" s="1315" t="s">
        <v>2346</v>
      </c>
      <c r="B1" s="1315"/>
      <c r="C1" s="1315"/>
      <c r="D1" s="1315"/>
      <c r="E1" s="1315"/>
      <c r="F1" s="1315"/>
      <c r="G1" s="1315"/>
      <c r="H1" s="1315"/>
      <c r="I1" s="1315"/>
      <c r="J1" s="1315"/>
      <c r="K1" s="1315"/>
      <c r="L1" s="1315"/>
      <c r="M1" s="1315"/>
    </row>
    <row r="2" spans="1:30" s="68" customFormat="1" ht="50.1" customHeight="1" x14ac:dyDescent="0.25">
      <c r="A2" s="1316" t="s">
        <v>1614</v>
      </c>
      <c r="B2" s="1316"/>
      <c r="C2" s="1316"/>
      <c r="D2" s="1316"/>
      <c r="E2" s="1316"/>
      <c r="F2" s="1316"/>
      <c r="G2" s="1316"/>
      <c r="H2" s="1316"/>
      <c r="I2" s="1316"/>
      <c r="J2" s="1316"/>
      <c r="K2" s="1316"/>
      <c r="L2" s="1316"/>
      <c r="M2" s="1316"/>
    </row>
    <row r="3" spans="1:30" s="68" customFormat="1" ht="35.1" customHeight="1" x14ac:dyDescent="0.25">
      <c r="A3" s="1561" t="s">
        <v>1615</v>
      </c>
      <c r="B3" s="1437"/>
      <c r="C3" s="1437"/>
      <c r="D3" s="1437"/>
      <c r="E3" s="1437"/>
      <c r="F3" s="1437"/>
      <c r="G3" s="1437"/>
      <c r="H3" s="1437"/>
      <c r="I3" s="1437"/>
      <c r="J3" s="1437"/>
      <c r="K3" s="1437"/>
      <c r="L3" s="1437"/>
      <c r="M3" s="1437"/>
    </row>
    <row r="4" spans="1:30" s="68" customFormat="1" ht="9.9499999999999993" customHeight="1" x14ac:dyDescent="0.25">
      <c r="A4" s="1440"/>
      <c r="B4" s="1440"/>
      <c r="C4" s="1440"/>
      <c r="D4" s="1440"/>
      <c r="E4" s="1440"/>
      <c r="F4" s="1440"/>
      <c r="G4" s="1440"/>
      <c r="H4" s="1440"/>
      <c r="I4" s="1440"/>
      <c r="J4" s="1440"/>
      <c r="K4" s="1440"/>
      <c r="L4" s="1440"/>
      <c r="M4" s="1440"/>
    </row>
    <row r="5" spans="1:30" s="68" customFormat="1" ht="35.1" customHeight="1" thickBot="1" x14ac:dyDescent="0.3">
      <c r="A5" s="1292" t="s">
        <v>1448</v>
      </c>
      <c r="B5" s="1292"/>
      <c r="C5" s="1292"/>
      <c r="D5" s="1292"/>
      <c r="E5" s="1292"/>
      <c r="F5" s="1292"/>
      <c r="G5" s="1292"/>
      <c r="H5" s="1292"/>
      <c r="I5" s="1292"/>
      <c r="J5" s="1292"/>
      <c r="K5" s="1292"/>
      <c r="L5" s="1292"/>
      <c r="M5" s="1292"/>
    </row>
    <row r="6" spans="1:30" s="77" customFormat="1" ht="19.5" thickBot="1" x14ac:dyDescent="0.3">
      <c r="A6" s="1208" t="s">
        <v>1449</v>
      </c>
      <c r="B6" s="1208"/>
      <c r="C6" s="1208"/>
      <c r="D6" s="1208"/>
      <c r="E6" s="1208"/>
      <c r="F6" s="1208"/>
      <c r="G6" s="1208"/>
      <c r="H6" s="1208"/>
      <c r="I6" s="1208"/>
      <c r="J6" s="1208"/>
      <c r="K6" s="1208"/>
      <c r="L6" s="1208"/>
      <c r="M6" s="1208"/>
    </row>
    <row r="7" spans="1:30" ht="60" customHeight="1" x14ac:dyDescent="0.25">
      <c r="A7" s="1560"/>
      <c r="B7" s="1560"/>
      <c r="C7" s="1560"/>
      <c r="D7" s="1560"/>
      <c r="E7" s="1560"/>
      <c r="F7" s="1560"/>
      <c r="G7" s="1560"/>
      <c r="H7" s="1560"/>
      <c r="I7" s="1560"/>
      <c r="J7" s="1560"/>
      <c r="K7" s="1560"/>
      <c r="L7" s="1560"/>
      <c r="M7" s="1560"/>
    </row>
    <row r="8" spans="1:30" ht="24.95" customHeight="1" x14ac:dyDescent="0.25">
      <c r="A8" s="1436" t="s">
        <v>1434</v>
      </c>
      <c r="B8" s="1436"/>
      <c r="C8" s="1436"/>
      <c r="D8" s="1436"/>
      <c r="E8" s="1436"/>
      <c r="F8" s="1436"/>
      <c r="G8" s="1436"/>
      <c r="H8" s="1436"/>
      <c r="I8" s="1436"/>
      <c r="J8" s="1436"/>
      <c r="K8" s="1436"/>
      <c r="L8" s="1436"/>
      <c r="M8" s="1436"/>
    </row>
    <row r="9" spans="1:30" ht="24.95" customHeight="1" x14ac:dyDescent="0.25">
      <c r="A9" s="988" t="s">
        <v>2350</v>
      </c>
      <c r="B9" s="988"/>
      <c r="C9" s="988"/>
      <c r="D9" s="988"/>
      <c r="E9" s="988"/>
      <c r="F9" s="988"/>
      <c r="G9" s="988"/>
      <c r="H9" s="988"/>
      <c r="I9" s="988"/>
      <c r="J9" s="988"/>
      <c r="K9" s="988"/>
      <c r="L9" s="988"/>
      <c r="M9" s="988"/>
    </row>
    <row r="10" spans="1:30" s="129" customFormat="1" ht="30" customHeight="1" thickBot="1" x14ac:dyDescent="0.3">
      <c r="A10" s="1562" t="s">
        <v>1616</v>
      </c>
      <c r="B10" s="1562"/>
      <c r="C10" s="1562"/>
      <c r="D10" s="1562"/>
      <c r="E10" s="1562"/>
      <c r="F10" s="1562"/>
      <c r="G10" s="1562"/>
      <c r="H10" s="1562"/>
      <c r="I10" s="1562"/>
      <c r="J10" s="1562"/>
      <c r="K10" s="1562"/>
      <c r="L10" s="1562"/>
      <c r="M10" s="1562"/>
    </row>
    <row r="11" spans="1:30" ht="33.75" thickBot="1" x14ac:dyDescent="0.3">
      <c r="A11" s="826" t="s">
        <v>270</v>
      </c>
      <c r="B11" s="827" t="s">
        <v>271</v>
      </c>
      <c r="C11" s="827" t="s">
        <v>1599</v>
      </c>
      <c r="D11" s="827" t="s">
        <v>1582</v>
      </c>
      <c r="E11" s="828" t="s">
        <v>26</v>
      </c>
      <c r="F11" s="829" t="s">
        <v>30</v>
      </c>
      <c r="G11" s="829" t="s">
        <v>3</v>
      </c>
      <c r="H11" s="829" t="s">
        <v>4</v>
      </c>
      <c r="I11" s="829" t="s">
        <v>0</v>
      </c>
      <c r="J11" s="829" t="s">
        <v>5</v>
      </c>
      <c r="K11" s="829" t="s">
        <v>2509</v>
      </c>
      <c r="L11" s="829" t="s">
        <v>24</v>
      </c>
      <c r="M11" s="830" t="s">
        <v>25</v>
      </c>
    </row>
    <row r="12" spans="1:30" ht="18" customHeight="1" x14ac:dyDescent="0.25">
      <c r="A12" s="1539" t="str">
        <f>'Table 5-B| Reclaim MPTE'!A45:O45</f>
        <v>Crushing/Reclaim Equipment Emission Units</v>
      </c>
      <c r="B12" s="1540"/>
      <c r="C12" s="1540"/>
      <c r="D12" s="1540"/>
      <c r="E12" s="1540"/>
      <c r="F12" s="1540"/>
      <c r="G12" s="1540"/>
      <c r="H12" s="1540"/>
      <c r="I12" s="1540"/>
      <c r="J12" s="1540"/>
      <c r="K12" s="1540"/>
      <c r="L12" s="1540"/>
      <c r="M12" s="1541"/>
      <c r="S12" s="1450" t="s">
        <v>2217</v>
      </c>
      <c r="T12" s="1451"/>
      <c r="U12" s="1451"/>
      <c r="V12" s="1451"/>
      <c r="W12" s="1451"/>
      <c r="X12" s="1452"/>
      <c r="Y12" s="1450" t="s">
        <v>2218</v>
      </c>
      <c r="Z12" s="1451"/>
      <c r="AA12" s="1451"/>
      <c r="AB12" s="1451"/>
      <c r="AC12" s="1451"/>
      <c r="AD12" s="1452"/>
    </row>
    <row r="13" spans="1:30" ht="18" customHeight="1" x14ac:dyDescent="0.25">
      <c r="A13" s="302">
        <f>IF(OR('Table 3-A| Emission Units'!$A70=0,'Table 3-A| Emission Units'!$B70=0),0,'Table 3-A| Emission Units'!$A70&amp;"-"&amp;'Table 3-A| Emission Units'!$B70)</f>
        <v>0</v>
      </c>
      <c r="B13" s="303">
        <f>'Table 3-A| Emission Units'!$C70</f>
        <v>30502031</v>
      </c>
      <c r="C13" s="305">
        <f>IF($A13=$A12,0,IF('Table 6-A| Controls &amp; Limits'!$C$25="Yes",'Table 6-A| Controls &amp; Limits'!$E$25,'Table 6-A| Controls &amp; Limits'!$D$25))</f>
        <v>0</v>
      </c>
      <c r="D13" s="386" t="str">
        <f>'Table 5-B| Reclaim MPTE'!D46</f>
        <v>tons</v>
      </c>
      <c r="E13" s="387">
        <f>IFERROR(('Table 5-B| Reclaim MPTE'!G46*($C13/'Table 5-B| Reclaim MPTE'!$E46)),0)</f>
        <v>0</v>
      </c>
      <c r="F13" s="388">
        <f>IFERROR(('Table 5-B| Reclaim MPTE'!H46*($C13/'Table 5-B| Reclaim MPTE'!$E46)),0)</f>
        <v>0</v>
      </c>
      <c r="G13" s="388">
        <f>IFERROR(IFERROR(1-VLOOKUP('Table 6-A| Controls &amp; Limits'!$K$25,'Emission Controls'!$A$20:$L$33,6,),1)*('Table 5-B| Reclaim MPTE'!I46*($C13/'Table 5-B| Reclaim MPTE'!$E46)),0)</f>
        <v>0</v>
      </c>
      <c r="H13" s="388">
        <f>IFERROR(IFERROR(1-VLOOKUP('Table 6-A| Controls &amp; Limits'!$K$25,'Emission Controls'!$A$20:$L$33,7,),1)*('Table 5-B| Reclaim MPTE'!J46*($C13/'Table 5-B| Reclaim MPTE'!$E46)),0)</f>
        <v>0</v>
      </c>
      <c r="I13" s="388">
        <f>IFERROR(IFERROR(1-VLOOKUP('Table 6-A| Controls &amp; Limits'!$K$25,'Emission Controls'!$A$20:$L$33,8,),1)*('Table 5-B| Reclaim MPTE'!K46*($C13/'Table 5-B| Reclaim MPTE'!$E46)),0)</f>
        <v>0</v>
      </c>
      <c r="J13" s="388">
        <f>IFERROR(IFERROR(1-VLOOKUP('Table 6-A| Controls &amp; Limits'!$K$25,'Emission Controls'!$A$20:$L$33,9,),1)*('Table 5-B| Reclaim MPTE'!L46*($C13/'Table 5-B| Reclaim MPTE'!$E46)),0)</f>
        <v>0</v>
      </c>
      <c r="K13" s="388">
        <f>IFERROR(IFERROR(1-VLOOKUP('Table 6-A| Controls &amp; Limits'!$K$25,'Emission Controls'!$A$20:$L$33,10,),1)*('Table 5-B| Reclaim MPTE'!M46*($C13/'Table 5-B| Reclaim MPTE'!$E46)),0)</f>
        <v>0</v>
      </c>
      <c r="L13" s="388">
        <f>IFERROR(IFERROR(1-VLOOKUP('Table 6-A| Controls &amp; Limits'!$K$25,'Emission Controls'!$A$20:$L$33,11,),1)*('Table 5-B| Reclaim MPTE'!N46*($C13/'Table 5-B| Reclaim MPTE'!$E46)),0)</f>
        <v>0</v>
      </c>
      <c r="M13" s="389">
        <f>IFERROR(IFERROR(1-VLOOKUP('Table 6-A| Controls &amp; Limits'!$K$25,'Emission Controls'!$A$20:$L$33,12,),1)*('Table 5-B| Reclaim MPTE'!O46*($C13/'Table 5-B| Reclaim MPTE'!$E46)),0)</f>
        <v>0</v>
      </c>
      <c r="S13" s="539" t="s">
        <v>2219</v>
      </c>
      <c r="T13" s="539" t="s">
        <v>2220</v>
      </c>
      <c r="U13" s="539" t="s">
        <v>2221</v>
      </c>
      <c r="V13" s="539" t="s">
        <v>2222</v>
      </c>
      <c r="W13" s="539" t="s">
        <v>2223</v>
      </c>
      <c r="X13" s="539" t="s">
        <v>2224</v>
      </c>
      <c r="Y13" s="539" t="s">
        <v>2219</v>
      </c>
      <c r="Z13" s="539" t="s">
        <v>2220</v>
      </c>
      <c r="AA13" s="539" t="s">
        <v>2221</v>
      </c>
      <c r="AB13" s="539" t="s">
        <v>2222</v>
      </c>
      <c r="AC13" s="539" t="s">
        <v>2223</v>
      </c>
      <c r="AD13" s="539" t="s">
        <v>2224</v>
      </c>
    </row>
    <row r="14" spans="1:30" ht="18" customHeight="1" x14ac:dyDescent="0.25">
      <c r="A14" s="302">
        <f>IF(OR('Table 3-A| Emission Units'!$A71=0,'Table 3-A| Emission Units'!$B71=0),0,'Table 3-A| Emission Units'!$A71&amp;"-"&amp;'Table 3-A| Emission Units'!$B71)</f>
        <v>0</v>
      </c>
      <c r="B14" s="303">
        <f>'Table 3-A| Emission Units'!$C71</f>
        <v>30501123</v>
      </c>
      <c r="C14" s="305">
        <f>IF($A14=$A13,0,IF('Table 6-A| Controls &amp; Limits'!$C$25="Yes",'Table 6-A| Controls &amp; Limits'!$E$25,'Table 6-A| Controls &amp; Limits'!$D$25))</f>
        <v>0</v>
      </c>
      <c r="D14" s="386" t="str">
        <f>'Table 5-B| Reclaim MPTE'!D47</f>
        <v>tons</v>
      </c>
      <c r="E14" s="387">
        <f>IFERROR(('Table 5-B| Reclaim MPTE'!G47*($C14/'Table 5-B| Reclaim MPTE'!$E47)),0)</f>
        <v>0</v>
      </c>
      <c r="F14" s="388">
        <f>IFERROR(('Table 5-B| Reclaim MPTE'!H47*($C14/'Table 5-B| Reclaim MPTE'!$E47)),0)</f>
        <v>0</v>
      </c>
      <c r="G14" s="388">
        <f>IFERROR(IFERROR(1-VLOOKUP('Table 6-A| Controls &amp; Limits'!$K$25,'Emission Controls'!$A$20:$L$33,6,),1)*('Table 5-B| Reclaim MPTE'!I47*($C14/'Table 5-B| Reclaim MPTE'!$E47)),0)</f>
        <v>0</v>
      </c>
      <c r="H14" s="388">
        <f>IFERROR(IFERROR(1-VLOOKUP('Table 6-A| Controls &amp; Limits'!$K$25,'Emission Controls'!$A$20:$L$33,7,),1)*('Table 5-B| Reclaim MPTE'!J47*($C14/'Table 5-B| Reclaim MPTE'!$E47)),0)</f>
        <v>0</v>
      </c>
      <c r="I14" s="388">
        <f>IFERROR(IFERROR(1-VLOOKUP('Table 6-A| Controls &amp; Limits'!$K$25,'Emission Controls'!$A$20:$L$33,8,),1)*('Table 5-B| Reclaim MPTE'!K47*($C14/'Table 5-B| Reclaim MPTE'!$E47)),0)</f>
        <v>0</v>
      </c>
      <c r="J14" s="388">
        <f>IFERROR(IFERROR(1-VLOOKUP('Table 6-A| Controls &amp; Limits'!$K$25,'Emission Controls'!$A$20:$L$33,9,),1)*('Table 5-B| Reclaim MPTE'!L47*($C14/'Table 5-B| Reclaim MPTE'!$E47)),0)</f>
        <v>0</v>
      </c>
      <c r="K14" s="388">
        <f>IFERROR(IFERROR(1-VLOOKUP('Table 6-A| Controls &amp; Limits'!$K$25,'Emission Controls'!$A$20:$L$33,10,),1)*('Table 5-B| Reclaim MPTE'!M47*($C14/'Table 5-B| Reclaim MPTE'!$E47)),0)</f>
        <v>0</v>
      </c>
      <c r="L14" s="388">
        <f>IFERROR(IFERROR(1-VLOOKUP('Table 6-A| Controls &amp; Limits'!$K$25,'Emission Controls'!$A$20:$L$33,11,),1)*('Table 5-B| Reclaim MPTE'!N47*($C14/'Table 5-B| Reclaim MPTE'!$E47)),0)</f>
        <v>0</v>
      </c>
      <c r="M14" s="389">
        <f>IFERROR(IFERROR(1-VLOOKUP('Table 6-A| Controls &amp; Limits'!$K$25,'Emission Controls'!$A$20:$L$33,12,),1)*('Table 5-B| Reclaim MPTE'!O47*($C14/'Table 5-B| Reclaim MPTE'!$E47)),0)</f>
        <v>0</v>
      </c>
      <c r="Q14" s="1449" t="s">
        <v>2296</v>
      </c>
      <c r="R14" s="1385"/>
      <c r="S14" s="593">
        <f>IFERROR('Table 5-B| Reclaim MPTE'!AF73*($C$13/'Table 5-B| Reclaim MPTE'!$E$46),0)</f>
        <v>0</v>
      </c>
      <c r="T14" s="593">
        <f>IFERROR('Table 5-B| Reclaim MPTE'!AG73*($C$24/'Table 5-B| Reclaim MPTE'!$E$57),0)</f>
        <v>0</v>
      </c>
      <c r="U14" s="593">
        <f>IFERROR('Table 5-B| Reclaim MPTE'!AH73*($C$35/'Table 5-B| Reclaim MPTE'!$E$68),0)</f>
        <v>0</v>
      </c>
      <c r="V14" s="712">
        <f t="shared" ref="V14:X15" si="0">S14</f>
        <v>0</v>
      </c>
      <c r="W14" s="712">
        <f t="shared" si="0"/>
        <v>0</v>
      </c>
      <c r="X14" s="712">
        <f t="shared" si="0"/>
        <v>0</v>
      </c>
      <c r="Y14" s="593">
        <f>IFERROR('Table 5-B| Reclaim MPTE'!AL73*($C$13/'Table 5-B| Reclaim MPTE'!$E$46),0)</f>
        <v>0</v>
      </c>
      <c r="Z14" s="593">
        <f>IFERROR('Table 5-B| Reclaim MPTE'!AM73*($C$24/'Table 5-B| Reclaim MPTE'!$E$57),0)</f>
        <v>0</v>
      </c>
      <c r="AA14" s="593">
        <f>IFERROR('Table 5-B| Reclaim MPTE'!AN73*($C$35/'Table 5-B| Reclaim MPTE'!$E$68),0)</f>
        <v>0</v>
      </c>
      <c r="AB14" s="712">
        <f t="shared" ref="AB14:AD17" si="1">Y14</f>
        <v>0</v>
      </c>
      <c r="AC14" s="712">
        <f t="shared" si="1"/>
        <v>0</v>
      </c>
      <c r="AD14" s="712">
        <f t="shared" si="1"/>
        <v>0</v>
      </c>
    </row>
    <row r="15" spans="1:30" ht="18" customHeight="1" x14ac:dyDescent="0.25">
      <c r="A15" s="302">
        <f>IF(OR('Table 3-A| Emission Units'!$A72=0,'Table 3-A| Emission Units'!$B72=0),0,'Table 3-A| Emission Units'!$A72&amp;"-"&amp;'Table 3-A| Emission Units'!$B72)</f>
        <v>0</v>
      </c>
      <c r="B15" s="303">
        <f>'Table 3-A| Emission Units'!$C72</f>
        <v>30501123</v>
      </c>
      <c r="C15" s="305">
        <f>IF($A15=$A14,0,IF('Table 6-A| Controls &amp; Limits'!$C$25="Yes",'Table 6-A| Controls &amp; Limits'!$E$25,'Table 6-A| Controls &amp; Limits'!$D$25))</f>
        <v>0</v>
      </c>
      <c r="D15" s="386" t="str">
        <f>'Table 5-B| Reclaim MPTE'!D48</f>
        <v>tons</v>
      </c>
      <c r="E15" s="387">
        <f>IFERROR(('Table 5-B| Reclaim MPTE'!G48*($C15/'Table 5-B| Reclaim MPTE'!$E48)),0)</f>
        <v>0</v>
      </c>
      <c r="F15" s="388">
        <f>IFERROR(('Table 5-B| Reclaim MPTE'!H48*($C15/'Table 5-B| Reclaim MPTE'!$E48)),0)</f>
        <v>0</v>
      </c>
      <c r="G15" s="388">
        <f>IFERROR(IFERROR(1-VLOOKUP('Table 6-A| Controls &amp; Limits'!$K$25,'Emission Controls'!$A$20:$L$33,6,),1)*('Table 5-B| Reclaim MPTE'!I48*($C15/'Table 5-B| Reclaim MPTE'!$E48)),0)</f>
        <v>0</v>
      </c>
      <c r="H15" s="388">
        <f>IFERROR(IFERROR(1-VLOOKUP('Table 6-A| Controls &amp; Limits'!$K$25,'Emission Controls'!$A$20:$L$33,7,),1)*('Table 5-B| Reclaim MPTE'!J48*($C15/'Table 5-B| Reclaim MPTE'!$E48)),0)</f>
        <v>0</v>
      </c>
      <c r="I15" s="388">
        <f>IFERROR(IFERROR(1-VLOOKUP('Table 6-A| Controls &amp; Limits'!$K$25,'Emission Controls'!$A$20:$L$33,8,),1)*('Table 5-B| Reclaim MPTE'!K48*($C15/'Table 5-B| Reclaim MPTE'!$E48)),0)</f>
        <v>0</v>
      </c>
      <c r="J15" s="388">
        <f>IFERROR(IFERROR(1-VLOOKUP('Table 6-A| Controls &amp; Limits'!$K$25,'Emission Controls'!$A$20:$L$33,9,),1)*('Table 5-B| Reclaim MPTE'!L48*($C15/'Table 5-B| Reclaim MPTE'!$E48)),0)</f>
        <v>0</v>
      </c>
      <c r="K15" s="388">
        <f>IFERROR(IFERROR(1-VLOOKUP('Table 6-A| Controls &amp; Limits'!$K$25,'Emission Controls'!$A$20:$L$33,10,),1)*('Table 5-B| Reclaim MPTE'!M48*($C15/'Table 5-B| Reclaim MPTE'!$E48)),0)</f>
        <v>0</v>
      </c>
      <c r="L15" s="388">
        <f>IFERROR(IFERROR(1-VLOOKUP('Table 6-A| Controls &amp; Limits'!$K$25,'Emission Controls'!$A$20:$L$33,11,),1)*('Table 5-B| Reclaim MPTE'!N48*($C15/'Table 5-B| Reclaim MPTE'!$E48)),0)</f>
        <v>0</v>
      </c>
      <c r="M15" s="389">
        <f>IFERROR(IFERROR(1-VLOOKUP('Table 6-A| Controls &amp; Limits'!$K$25,'Emission Controls'!$A$20:$L$33,12,),1)*('Table 5-B| Reclaim MPTE'!O48*($C15/'Table 5-B| Reclaim MPTE'!$E48)),0)</f>
        <v>0</v>
      </c>
      <c r="Q15" s="1449" t="s">
        <v>2297</v>
      </c>
      <c r="R15" s="1385"/>
      <c r="S15" s="593">
        <f>IFERROR('Table 5-B| Reclaim MPTE'!AF74*($C$13/'Table 5-B| Reclaim MPTE'!$E$46),0)</f>
        <v>0</v>
      </c>
      <c r="T15" s="593">
        <f>IFERROR('Table 5-B| Reclaim MPTE'!AG74*($C$24/'Table 5-B| Reclaim MPTE'!$E$57),0)</f>
        <v>0</v>
      </c>
      <c r="U15" s="593">
        <f>IFERROR('Table 5-B| Reclaim MPTE'!AH74*($C$35/'Table 5-B| Reclaim MPTE'!$E$68),0)</f>
        <v>0</v>
      </c>
      <c r="V15" s="712">
        <f t="shared" si="0"/>
        <v>0</v>
      </c>
      <c r="W15" s="712">
        <f t="shared" si="0"/>
        <v>0</v>
      </c>
      <c r="X15" s="712">
        <f t="shared" si="0"/>
        <v>0</v>
      </c>
      <c r="Y15" s="593">
        <f>IFERROR('Table 5-B| Reclaim MPTE'!AL74*($C$13/'Table 5-B| Reclaim MPTE'!$E$46),0)</f>
        <v>0</v>
      </c>
      <c r="Z15" s="593">
        <f>IFERROR('Table 5-B| Reclaim MPTE'!AM74*($C$24/'Table 5-B| Reclaim MPTE'!$E$57),0)</f>
        <v>0</v>
      </c>
      <c r="AA15" s="593">
        <f>IFERROR('Table 5-B| Reclaim MPTE'!AN74*($C$35/'Table 5-B| Reclaim MPTE'!$E$68),0)</f>
        <v>0</v>
      </c>
      <c r="AB15" s="712">
        <f t="shared" si="1"/>
        <v>0</v>
      </c>
      <c r="AC15" s="712">
        <f t="shared" si="1"/>
        <v>0</v>
      </c>
      <c r="AD15" s="712">
        <f t="shared" si="1"/>
        <v>0</v>
      </c>
    </row>
    <row r="16" spans="1:30" ht="18" customHeight="1" x14ac:dyDescent="0.25">
      <c r="A16" s="302">
        <f>IF(OR('Table 3-A| Emission Units'!$A73=0,'Table 3-A| Emission Units'!$B73=0),0,'Table 3-A| Emission Units'!$A73&amp;"-"&amp;'Table 3-A| Emission Units'!$B73)</f>
        <v>0</v>
      </c>
      <c r="B16" s="303">
        <f>'Table 3-A| Emission Units'!$C73</f>
        <v>30502001</v>
      </c>
      <c r="C16" s="305">
        <f>IF($A16=$A15,0,IF('Table 6-A| Controls &amp; Limits'!$C$25="Yes",'Table 6-A| Controls &amp; Limits'!$E$25,'Table 6-A| Controls &amp; Limits'!$D$25))</f>
        <v>0</v>
      </c>
      <c r="D16" s="386" t="str">
        <f>'Table 5-B| Reclaim MPTE'!D49</f>
        <v>tons</v>
      </c>
      <c r="E16" s="387">
        <f>IFERROR(IFERROR(1-VLOOKUP('Table 6-A| Controls &amp; Limits'!$K$25,'Emission Controls'!$A$20:$L$33,4,),1)*('Table 5-B| Reclaim MPTE'!G49*($C16/'Table 5-B| Reclaim MPTE'!$E49)),0)</f>
        <v>0</v>
      </c>
      <c r="F16" s="388">
        <f>IFERROR(IFERROR(1-VLOOKUP('Table 6-A| Controls &amp; Limits'!$K$25,'Emission Controls'!$A$20:$L$33,5,),1)*('Table 5-B| Reclaim MPTE'!H49*($C16/'Table 5-B| Reclaim MPTE'!$E49)),0)</f>
        <v>0</v>
      </c>
      <c r="G16" s="388">
        <f>IFERROR(IFERROR(1-VLOOKUP('Table 6-A| Controls &amp; Limits'!$K$25,'Emission Controls'!$A$20:$L$33,6,),1)*('Table 5-B| Reclaim MPTE'!I49*($C16/'Table 5-B| Reclaim MPTE'!$E49)),0)</f>
        <v>0</v>
      </c>
      <c r="H16" s="388">
        <f>IFERROR(IFERROR(1-VLOOKUP('Table 6-A| Controls &amp; Limits'!$K$25,'Emission Controls'!$A$20:$L$33,7,),1)*('Table 5-B| Reclaim MPTE'!J49*($C16/'Table 5-B| Reclaim MPTE'!$E49)),0)</f>
        <v>0</v>
      </c>
      <c r="I16" s="388">
        <f>IFERROR(IFERROR(1-VLOOKUP('Table 6-A| Controls &amp; Limits'!$K$25,'Emission Controls'!$A$20:$L$33,8,),1)*('Table 5-B| Reclaim MPTE'!K49*($C16/'Table 5-B| Reclaim MPTE'!$E49)),0)</f>
        <v>0</v>
      </c>
      <c r="J16" s="388">
        <f>IFERROR(IFERROR(1-VLOOKUP('Table 6-A| Controls &amp; Limits'!$K$25,'Emission Controls'!$A$20:$L$33,9,),1)*('Table 5-B| Reclaim MPTE'!L49*($C16/'Table 5-B| Reclaim MPTE'!$E49)),0)</f>
        <v>0</v>
      </c>
      <c r="K16" s="388">
        <f>IFERROR(IFERROR(1-VLOOKUP('Table 6-A| Controls &amp; Limits'!$K$25,'Emission Controls'!$A$20:$L$33,10,),1)*('Table 5-B| Reclaim MPTE'!M49*($C16/'Table 5-B| Reclaim MPTE'!$E49)),0)</f>
        <v>0</v>
      </c>
      <c r="L16" s="388">
        <f>IFERROR(IFERROR(1-VLOOKUP('Table 6-A| Controls &amp; Limits'!$K$25,'Emission Controls'!$A$20:$L$33,11,),1)*('Table 5-B| Reclaim MPTE'!N49*($C16/'Table 5-B| Reclaim MPTE'!$E49)),0)</f>
        <v>0</v>
      </c>
      <c r="M16" s="389">
        <f>IFERROR(IFERROR(1-VLOOKUP('Table 6-A| Controls &amp; Limits'!$K$25,'Emission Controls'!$A$20:$L$33,12,),1)*('Table 5-B| Reclaim MPTE'!O49*($C16/'Table 5-B| Reclaim MPTE'!$E49)),0)</f>
        <v>0</v>
      </c>
      <c r="Q16" s="1449" t="s">
        <v>2298</v>
      </c>
      <c r="R16" s="1385"/>
      <c r="S16" s="713"/>
      <c r="T16" s="713"/>
      <c r="U16" s="713"/>
      <c r="V16" s="713"/>
      <c r="W16" s="713"/>
      <c r="X16" s="713"/>
      <c r="Y16" s="593">
        <f>IFERROR('Table 5-B| Reclaim MPTE'!AL75*($C$47/'Table 5-B| Reclaim MPTE'!$E$80),0)</f>
        <v>0</v>
      </c>
      <c r="Z16" s="593">
        <f>IFERROR('Table 5-B| Reclaim MPTE'!AM75*($C$48/'Table 5-B| Reclaim MPTE'!$E$81),0)</f>
        <v>0</v>
      </c>
      <c r="AA16" s="593">
        <f>IFERROR('Table 5-B| Reclaim MPTE'!AN75*($C$49/'Table 5-B| Reclaim MPTE'!$E$82),0)</f>
        <v>0</v>
      </c>
      <c r="AB16" s="712">
        <f t="shared" si="1"/>
        <v>0</v>
      </c>
      <c r="AC16" s="712">
        <f t="shared" si="1"/>
        <v>0</v>
      </c>
      <c r="AD16" s="712">
        <f t="shared" si="1"/>
        <v>0</v>
      </c>
    </row>
    <row r="17" spans="1:30" ht="18" customHeight="1" x14ac:dyDescent="0.25">
      <c r="A17" s="302">
        <f>IF(OR('Table 3-A| Emission Units'!$A74=0,'Table 3-A| Emission Units'!$B74=0),0,'Table 3-A| Emission Units'!$A74&amp;"-"&amp;'Table 3-A| Emission Units'!$B74)</f>
        <v>0</v>
      </c>
      <c r="B17" s="303">
        <f>'Table 3-A| Emission Units'!$C74</f>
        <v>30502003</v>
      </c>
      <c r="C17" s="305">
        <f>IF($A17=$A16,0,IF('Table 6-A| Controls &amp; Limits'!$C$25="Yes",'Table 6-A| Controls &amp; Limits'!$E$25,'Table 6-A| Controls &amp; Limits'!$D$25))</f>
        <v>0</v>
      </c>
      <c r="D17" s="386" t="str">
        <f>'Table 5-B| Reclaim MPTE'!D50</f>
        <v>tons</v>
      </c>
      <c r="E17" s="387">
        <f>IFERROR(IFERROR(1-VLOOKUP('Table 6-A| Controls &amp; Limits'!$K$25,'Emission Controls'!$A$20:$L$33,4,),1)*('Table 5-B| Reclaim MPTE'!G50*($C17/'Table 5-B| Reclaim MPTE'!$E50)),0)</f>
        <v>0</v>
      </c>
      <c r="F17" s="388">
        <f>IFERROR(IFERROR(1-VLOOKUP('Table 6-A| Controls &amp; Limits'!$K$25,'Emission Controls'!$A$20:$L$33,5,),1)*('Table 5-B| Reclaim MPTE'!H50*($C17/'Table 5-B| Reclaim MPTE'!$E50)),0)</f>
        <v>0</v>
      </c>
      <c r="G17" s="388">
        <f>IFERROR(IFERROR(1-VLOOKUP('Table 6-A| Controls &amp; Limits'!$K$25,'Emission Controls'!$A$20:$L$33,6,),1)*('Table 5-B| Reclaim MPTE'!I50*($C17/'Table 5-B| Reclaim MPTE'!$E50)),0)</f>
        <v>0</v>
      </c>
      <c r="H17" s="388">
        <f>IFERROR(IFERROR(1-VLOOKUP('Table 6-A| Controls &amp; Limits'!$K$25,'Emission Controls'!$A$20:$L$33,7,),1)*('Table 5-B| Reclaim MPTE'!J50*($C17/'Table 5-B| Reclaim MPTE'!$E50)),0)</f>
        <v>0</v>
      </c>
      <c r="I17" s="388">
        <f>IFERROR(IFERROR(1-VLOOKUP('Table 6-A| Controls &amp; Limits'!$K$25,'Emission Controls'!$A$20:$L$33,8,),1)*('Table 5-B| Reclaim MPTE'!K50*($C17/'Table 5-B| Reclaim MPTE'!$E50)),0)</f>
        <v>0</v>
      </c>
      <c r="J17" s="388">
        <f>IFERROR(IFERROR(1-VLOOKUP('Table 6-A| Controls &amp; Limits'!$K$25,'Emission Controls'!$A$20:$L$33,9,),1)*('Table 5-B| Reclaim MPTE'!L50*($C17/'Table 5-B| Reclaim MPTE'!$E50)),0)</f>
        <v>0</v>
      </c>
      <c r="K17" s="388">
        <f>IFERROR(IFERROR(1-VLOOKUP('Table 6-A| Controls &amp; Limits'!$K$25,'Emission Controls'!$A$20:$L$33,10,),1)*('Table 5-B| Reclaim MPTE'!M50*($C17/'Table 5-B| Reclaim MPTE'!$E50)),0)</f>
        <v>0</v>
      </c>
      <c r="L17" s="388">
        <f>IFERROR(IFERROR(1-VLOOKUP('Table 6-A| Controls &amp; Limits'!$K$25,'Emission Controls'!$A$20:$L$33,11,),1)*('Table 5-B| Reclaim MPTE'!N50*($C17/'Table 5-B| Reclaim MPTE'!$E50)),0)</f>
        <v>0</v>
      </c>
      <c r="M17" s="389">
        <f>IFERROR(IFERROR(1-VLOOKUP('Table 6-A| Controls &amp; Limits'!$K$25,'Emission Controls'!$A$20:$L$33,12,),1)*('Table 5-B| Reclaim MPTE'!O50*($C17/'Table 5-B| Reclaim MPTE'!$E50)),0)</f>
        <v>0</v>
      </c>
      <c r="Q17" s="1449" t="s">
        <v>2299</v>
      </c>
      <c r="R17" s="1385"/>
      <c r="S17" s="713"/>
      <c r="T17" s="713"/>
      <c r="U17" s="713"/>
      <c r="V17" s="713"/>
      <c r="W17" s="713"/>
      <c r="X17" s="713"/>
      <c r="Y17" s="593">
        <f>IFERROR('Table 5-B| Reclaim MPTE'!AL76*($C$47/'Table 5-B| Reclaim MPTE'!$E$80),0)</f>
        <v>0</v>
      </c>
      <c r="Z17" s="593">
        <f>IFERROR('Table 5-B| Reclaim MPTE'!AM76*($C$48/'Table 5-B| Reclaim MPTE'!$E$81),0)</f>
        <v>0</v>
      </c>
      <c r="AA17" s="593">
        <f>IFERROR('Table 5-B| Reclaim MPTE'!AN76*($C$49/'Table 5-B| Reclaim MPTE'!$E$82),0)</f>
        <v>0</v>
      </c>
      <c r="AB17" s="712">
        <f t="shared" si="1"/>
        <v>0</v>
      </c>
      <c r="AC17" s="712">
        <f t="shared" si="1"/>
        <v>0</v>
      </c>
      <c r="AD17" s="712">
        <f t="shared" si="1"/>
        <v>0</v>
      </c>
    </row>
    <row r="18" spans="1:30" ht="18" customHeight="1" x14ac:dyDescent="0.25">
      <c r="A18" s="302">
        <f>IF(OR('Table 3-A| Emission Units'!$A75=0,'Table 3-A| Emission Units'!$B75=0),0,'Table 3-A| Emission Units'!$A75&amp;"-"&amp;'Table 3-A| Emission Units'!$B75)</f>
        <v>0</v>
      </c>
      <c r="B18" s="303">
        <f>'Table 3-A| Emission Units'!$C75</f>
        <v>30502006</v>
      </c>
      <c r="C18" s="305">
        <f>IF($A18=$A17,0,IF('Table 6-A| Controls &amp; Limits'!$C$25="Yes",'Table 6-A| Controls &amp; Limits'!$E$25*0.05,'Table 6-A| Controls &amp; Limits'!$D$25*0.05))</f>
        <v>0</v>
      </c>
      <c r="D18" s="386" t="str">
        <f>'Table 5-B| Reclaim MPTE'!D51</f>
        <v>tons</v>
      </c>
      <c r="E18" s="387">
        <f>IFERROR(IFERROR(1-VLOOKUP('Table 6-A| Controls &amp; Limits'!$K$25,'Emission Controls'!$A$20:$L$33,4,),1)*('Table 5-B| Reclaim MPTE'!G51*($C18/'Table 5-B| Reclaim MPTE'!$E51)),0)</f>
        <v>0</v>
      </c>
      <c r="F18" s="388">
        <f>IFERROR(IFERROR(1-VLOOKUP('Table 6-A| Controls &amp; Limits'!$K$25,'Emission Controls'!$A$20:$L$33,5,),1)*('Table 5-B| Reclaim MPTE'!H51*($C18/'Table 5-B| Reclaim MPTE'!$E51)),0)</f>
        <v>0</v>
      </c>
      <c r="G18" s="388">
        <f>IFERROR(IFERROR(1-VLOOKUP('Table 6-A| Controls &amp; Limits'!$K$25,'Emission Controls'!$A$20:$L$33,6,),1)*('Table 5-B| Reclaim MPTE'!I51*($C18/'Table 5-B| Reclaim MPTE'!$E51)),0)</f>
        <v>0</v>
      </c>
      <c r="H18" s="388">
        <f>IFERROR(IFERROR(1-VLOOKUP('Table 6-A| Controls &amp; Limits'!$K$25,'Emission Controls'!$A$20:$L$33,7,),1)*('Table 5-B| Reclaim MPTE'!J51*($C18/'Table 5-B| Reclaim MPTE'!$E51)),0)</f>
        <v>0</v>
      </c>
      <c r="I18" s="388">
        <f>IFERROR(IFERROR(1-VLOOKUP('Table 6-A| Controls &amp; Limits'!$K$25,'Emission Controls'!$A$20:$L$33,8,),1)*('Table 5-B| Reclaim MPTE'!K51*($C18/'Table 5-B| Reclaim MPTE'!$E51)),0)</f>
        <v>0</v>
      </c>
      <c r="J18" s="388">
        <f>IFERROR(IFERROR(1-VLOOKUP('Table 6-A| Controls &amp; Limits'!$K$25,'Emission Controls'!$A$20:$L$33,9,),1)*('Table 5-B| Reclaim MPTE'!L51*($C18/'Table 5-B| Reclaim MPTE'!$E51)),0)</f>
        <v>0</v>
      </c>
      <c r="K18" s="388">
        <f>IFERROR(IFERROR(1-VLOOKUP('Table 6-A| Controls &amp; Limits'!$K$25,'Emission Controls'!$A$20:$L$33,10,),1)*('Table 5-B| Reclaim MPTE'!M51*($C18/'Table 5-B| Reclaim MPTE'!$E51)),0)</f>
        <v>0</v>
      </c>
      <c r="L18" s="388">
        <f>IFERROR(IFERROR(1-VLOOKUP('Table 6-A| Controls &amp; Limits'!$K$25,'Emission Controls'!$A$20:$L$33,11,),1)*('Table 5-B| Reclaim MPTE'!N51*($C18/'Table 5-B| Reclaim MPTE'!$E51)),0)</f>
        <v>0</v>
      </c>
      <c r="M18" s="389">
        <f>IFERROR(IFERROR(1-VLOOKUP('Table 6-A| Controls &amp; Limits'!$K$25,'Emission Controls'!$A$20:$L$33,12,),1)*('Table 5-B| Reclaim MPTE'!O51*($C18/'Table 5-B| Reclaim MPTE'!$E51)),0)</f>
        <v>0</v>
      </c>
    </row>
    <row r="19" spans="1:30" ht="18" customHeight="1" x14ac:dyDescent="0.25">
      <c r="A19" s="302">
        <f>IF(OR('Table 3-A| Emission Units'!$A76=0,'Table 3-A| Emission Units'!$B76=0),0,'Table 3-A| Emission Units'!$A76&amp;"-"&amp;'Table 3-A| Emission Units'!$B76)</f>
        <v>0</v>
      </c>
      <c r="B19" s="303">
        <f>'Table 3-A| Emission Units'!$C76</f>
        <v>30501123</v>
      </c>
      <c r="C19" s="305">
        <f>IF($A19=$A18,0,IF('Table 6-A| Controls &amp; Limits'!$C$25="Yes",'Table 6-A| Controls &amp; Limits'!$E$25*0.05,'Table 6-A| Controls &amp; Limits'!$D$25*0.05))</f>
        <v>0</v>
      </c>
      <c r="D19" s="386" t="str">
        <f>'Table 5-B| Reclaim MPTE'!D52</f>
        <v>tons</v>
      </c>
      <c r="E19" s="387">
        <f>IFERROR(IFERROR(1-VLOOKUP('Table 6-A| Controls &amp; Limits'!$K$25,'Emission Controls'!$A$20:$L$33,4,),1)*('Table 5-B| Reclaim MPTE'!G52*($C19/'Table 5-B| Reclaim MPTE'!$E52)),0)</f>
        <v>0</v>
      </c>
      <c r="F19" s="388">
        <f>IFERROR(IFERROR(1-VLOOKUP('Table 6-A| Controls &amp; Limits'!$K$25,'Emission Controls'!$A$20:$L$33,5,),1)*('Table 5-B| Reclaim MPTE'!H52*($C19/'Table 5-B| Reclaim MPTE'!$E52)),0)</f>
        <v>0</v>
      </c>
      <c r="G19" s="388">
        <f>IFERROR(IFERROR(1-VLOOKUP('Table 6-A| Controls &amp; Limits'!$K$25,'Emission Controls'!$A$20:$L$33,6,),1)*('Table 5-B| Reclaim MPTE'!I52*($C19/'Table 5-B| Reclaim MPTE'!$E52)),0)</f>
        <v>0</v>
      </c>
      <c r="H19" s="388">
        <f>IFERROR(IFERROR(1-VLOOKUP('Table 6-A| Controls &amp; Limits'!$K$25,'Emission Controls'!$A$20:$L$33,7,),1)*('Table 5-B| Reclaim MPTE'!J52*($C19/'Table 5-B| Reclaim MPTE'!$E52)),0)</f>
        <v>0</v>
      </c>
      <c r="I19" s="388">
        <f>IFERROR(IFERROR(1-VLOOKUP('Table 6-A| Controls &amp; Limits'!$K$25,'Emission Controls'!$A$20:$L$33,8,),1)*('Table 5-B| Reclaim MPTE'!K52*($C19/'Table 5-B| Reclaim MPTE'!$E52)),0)</f>
        <v>0</v>
      </c>
      <c r="J19" s="388">
        <f>IFERROR(IFERROR(1-VLOOKUP('Table 6-A| Controls &amp; Limits'!$K$25,'Emission Controls'!$A$20:$L$33,9,),1)*('Table 5-B| Reclaim MPTE'!L52*($C19/'Table 5-B| Reclaim MPTE'!$E52)),0)</f>
        <v>0</v>
      </c>
      <c r="K19" s="388">
        <f>IFERROR(IFERROR(1-VLOOKUP('Table 6-A| Controls &amp; Limits'!$K$25,'Emission Controls'!$A$20:$L$33,10,),1)*('Table 5-B| Reclaim MPTE'!M52*($C19/'Table 5-B| Reclaim MPTE'!$E52)),0)</f>
        <v>0</v>
      </c>
      <c r="L19" s="388">
        <f>IFERROR(IFERROR(1-VLOOKUP('Table 6-A| Controls &amp; Limits'!$K$25,'Emission Controls'!$A$20:$L$33,11,),1)*('Table 5-B| Reclaim MPTE'!N52*($C19/'Table 5-B| Reclaim MPTE'!$E52)),0)</f>
        <v>0</v>
      </c>
      <c r="M19" s="389">
        <f>IFERROR(IFERROR(1-VLOOKUP('Table 6-A| Controls &amp; Limits'!$K$25,'Emission Controls'!$A$20:$L$33,12,),1)*('Table 5-B| Reclaim MPTE'!O52*($C19/'Table 5-B| Reclaim MPTE'!$E52)),0)</f>
        <v>0</v>
      </c>
      <c r="S19" s="1450" t="s">
        <v>2313</v>
      </c>
      <c r="T19" s="1451"/>
      <c r="U19" s="1451"/>
      <c r="V19" s="1451"/>
      <c r="W19" s="1451"/>
      <c r="X19" s="1452"/>
      <c r="Y19" s="1450" t="s">
        <v>2314</v>
      </c>
      <c r="Z19" s="1451"/>
      <c r="AA19" s="1451"/>
      <c r="AB19" s="1451"/>
      <c r="AC19" s="1451"/>
      <c r="AD19" s="1452"/>
    </row>
    <row r="20" spans="1:30" ht="18" customHeight="1" x14ac:dyDescent="0.25">
      <c r="A20" s="302">
        <f>IF(OR('Table 3-A| Emission Units'!$A77=0,'Table 3-A| Emission Units'!$B77=0),0,'Table 3-A| Emission Units'!$A77&amp;"-"&amp;'Table 3-A| Emission Units'!$B77)</f>
        <v>0</v>
      </c>
      <c r="B20" s="303">
        <f>'Table 3-A| Emission Units'!$C77</f>
        <v>30502002</v>
      </c>
      <c r="C20" s="305">
        <f>IF($A20=$A19,0,IF('Table 6-A| Controls &amp; Limits'!$C$25="Yes",'Table 6-A| Controls &amp; Limits'!$E$25*0.05,'Table 6-A| Controls &amp; Limits'!$D$25*0.05))</f>
        <v>0</v>
      </c>
      <c r="D20" s="386" t="str">
        <f>'Table 5-B| Reclaim MPTE'!D53</f>
        <v>tons</v>
      </c>
      <c r="E20" s="387">
        <f>IFERROR(IFERROR(1-VLOOKUP('Table 6-A| Controls &amp; Limits'!$K$25,'Emission Controls'!$A$20:$L$33,4,),1)*('Table 5-B| Reclaim MPTE'!G53*($C20/'Table 5-B| Reclaim MPTE'!$E53)),0)</f>
        <v>0</v>
      </c>
      <c r="F20" s="388">
        <f>IFERROR(IFERROR(1-VLOOKUP('Table 6-A| Controls &amp; Limits'!$K$25,'Emission Controls'!$A$20:$L$33,5,),1)*('Table 5-B| Reclaim MPTE'!H53*($C20/'Table 5-B| Reclaim MPTE'!$E53)),0)</f>
        <v>0</v>
      </c>
      <c r="G20" s="388">
        <f>IFERROR(IFERROR(1-VLOOKUP('Table 6-A| Controls &amp; Limits'!$K$25,'Emission Controls'!$A$20:$L$33,6,),1)*('Table 5-B| Reclaim MPTE'!I53*($C20/'Table 5-B| Reclaim MPTE'!$E53)),0)</f>
        <v>0</v>
      </c>
      <c r="H20" s="388">
        <f>IFERROR(IFERROR(1-VLOOKUP('Table 6-A| Controls &amp; Limits'!$K$25,'Emission Controls'!$A$20:$L$33,7,),1)*('Table 5-B| Reclaim MPTE'!J53*($C20/'Table 5-B| Reclaim MPTE'!$E53)),0)</f>
        <v>0</v>
      </c>
      <c r="I20" s="388">
        <f>IFERROR(IFERROR(1-VLOOKUP('Table 6-A| Controls &amp; Limits'!$K$25,'Emission Controls'!$A$20:$L$33,8,),1)*('Table 5-B| Reclaim MPTE'!K53*($C20/'Table 5-B| Reclaim MPTE'!$E53)),0)</f>
        <v>0</v>
      </c>
      <c r="J20" s="388">
        <f>IFERROR(IFERROR(1-VLOOKUP('Table 6-A| Controls &amp; Limits'!$K$25,'Emission Controls'!$A$20:$L$33,9,),1)*('Table 5-B| Reclaim MPTE'!L53*($C20/'Table 5-B| Reclaim MPTE'!$E53)),0)</f>
        <v>0</v>
      </c>
      <c r="K20" s="388">
        <f>IFERROR(IFERROR(1-VLOOKUP('Table 6-A| Controls &amp; Limits'!$K$25,'Emission Controls'!$A$20:$L$33,10,),1)*('Table 5-B| Reclaim MPTE'!M53*($C20/'Table 5-B| Reclaim MPTE'!$E53)),0)</f>
        <v>0</v>
      </c>
      <c r="L20" s="388">
        <f>IFERROR(IFERROR(1-VLOOKUP('Table 6-A| Controls &amp; Limits'!$K$25,'Emission Controls'!$A$20:$L$33,11,),1)*('Table 5-B| Reclaim MPTE'!N53*($C20/'Table 5-B| Reclaim MPTE'!$E53)),0)</f>
        <v>0</v>
      </c>
      <c r="M20" s="389">
        <f>IFERROR(IFERROR(1-VLOOKUP('Table 6-A| Controls &amp; Limits'!$K$25,'Emission Controls'!$A$20:$L$33,12,),1)*('Table 5-B| Reclaim MPTE'!O53*($C20/'Table 5-B| Reclaim MPTE'!$E53)),0)</f>
        <v>0</v>
      </c>
      <c r="S20" s="539" t="s">
        <v>2219</v>
      </c>
      <c r="T20" s="539" t="s">
        <v>2220</v>
      </c>
      <c r="U20" s="539" t="s">
        <v>2221</v>
      </c>
      <c r="V20" s="539" t="s">
        <v>2222</v>
      </c>
      <c r="W20" s="539" t="s">
        <v>2223</v>
      </c>
      <c r="X20" s="539" t="s">
        <v>2224</v>
      </c>
      <c r="Y20" s="539" t="s">
        <v>2219</v>
      </c>
      <c r="Z20" s="539" t="s">
        <v>2220</v>
      </c>
      <c r="AA20" s="539" t="s">
        <v>2221</v>
      </c>
      <c r="AB20" s="539" t="s">
        <v>2222</v>
      </c>
      <c r="AC20" s="539" t="s">
        <v>2223</v>
      </c>
      <c r="AD20" s="539" t="s">
        <v>2224</v>
      </c>
    </row>
    <row r="21" spans="1:30" ht="18" customHeight="1" x14ac:dyDescent="0.25">
      <c r="A21" s="302">
        <f>IF(OR('Table 3-A| Emission Units'!$A78=0,'Table 3-A| Emission Units'!$B78=0),0,'Table 3-A| Emission Units'!$A78&amp;"-"&amp;'Table 3-A| Emission Units'!$B78)</f>
        <v>0</v>
      </c>
      <c r="B21" s="303">
        <f>'Table 3-A| Emission Units'!$C78</f>
        <v>30502006</v>
      </c>
      <c r="C21" s="305">
        <f>IF($A21=$A20,0,IF('Table 6-A| Controls &amp; Limits'!$C$25="Yes",'Table 6-A| Controls &amp; Limits'!$E$25,'Table 6-A| Controls &amp; Limits'!$D$25))</f>
        <v>0</v>
      </c>
      <c r="D21" s="386" t="str">
        <f>'Table 5-B| Reclaim MPTE'!D54</f>
        <v>tons</v>
      </c>
      <c r="E21" s="387">
        <f>IFERROR(IFERROR(1-VLOOKUP('Table 6-A| Controls &amp; Limits'!$K$25,'Emission Controls'!$A$20:$L$33,4,),1)*('Table 5-B| Reclaim MPTE'!G54*($C21/'Table 5-B| Reclaim MPTE'!$E54)),0)</f>
        <v>0</v>
      </c>
      <c r="F21" s="388">
        <f>IFERROR(IFERROR(1-VLOOKUP('Table 6-A| Controls &amp; Limits'!$K$25,'Emission Controls'!$A$20:$L$33,5,),1)*('Table 5-B| Reclaim MPTE'!H54*($C21/'Table 5-B| Reclaim MPTE'!$E54)),0)</f>
        <v>0</v>
      </c>
      <c r="G21" s="388">
        <f>IFERROR(IFERROR(1-VLOOKUP('Table 6-A| Controls &amp; Limits'!$K$25,'Emission Controls'!$A$20:$L$33,6,),1)*('Table 5-B| Reclaim MPTE'!I54*($C21/'Table 5-B| Reclaim MPTE'!$E54)),0)</f>
        <v>0</v>
      </c>
      <c r="H21" s="388">
        <f>IFERROR(IFERROR(1-VLOOKUP('Table 6-A| Controls &amp; Limits'!$K$25,'Emission Controls'!$A$20:$L$33,7,),1)*('Table 5-B| Reclaim MPTE'!J54*($C21/'Table 5-B| Reclaim MPTE'!$E54)),0)</f>
        <v>0</v>
      </c>
      <c r="I21" s="388">
        <f>IFERROR(IFERROR(1-VLOOKUP('Table 6-A| Controls &amp; Limits'!$K$25,'Emission Controls'!$A$20:$L$33,8,),1)*('Table 5-B| Reclaim MPTE'!K54*($C21/'Table 5-B| Reclaim MPTE'!$E54)),0)</f>
        <v>0</v>
      </c>
      <c r="J21" s="388">
        <f>IFERROR(IFERROR(1-VLOOKUP('Table 6-A| Controls &amp; Limits'!$K$25,'Emission Controls'!$A$20:$L$33,9,),1)*('Table 5-B| Reclaim MPTE'!L54*($C21/'Table 5-B| Reclaim MPTE'!$E54)),0)</f>
        <v>0</v>
      </c>
      <c r="K21" s="388">
        <f>IFERROR(IFERROR(1-VLOOKUP('Table 6-A| Controls &amp; Limits'!$K$25,'Emission Controls'!$A$20:$L$33,10,),1)*('Table 5-B| Reclaim MPTE'!M54*($C21/'Table 5-B| Reclaim MPTE'!$E54)),0)</f>
        <v>0</v>
      </c>
      <c r="L21" s="388">
        <f>IFERROR(IFERROR(1-VLOOKUP('Table 6-A| Controls &amp; Limits'!$K$25,'Emission Controls'!$A$20:$L$33,11,),1)*('Table 5-B| Reclaim MPTE'!N54*($C21/'Table 5-B| Reclaim MPTE'!$E54)),0)</f>
        <v>0</v>
      </c>
      <c r="M21" s="389">
        <f>IFERROR(IFERROR(1-VLOOKUP('Table 6-A| Controls &amp; Limits'!$K$25,'Emission Controls'!$A$20:$L$33,12,),1)*('Table 5-B| Reclaim MPTE'!O54*($C21/'Table 5-B| Reclaim MPTE'!$E54)),0)</f>
        <v>0</v>
      </c>
      <c r="Q21" s="1449" t="s">
        <v>2296</v>
      </c>
      <c r="R21" s="1385"/>
      <c r="S21" s="593">
        <f>IFERROR('Table 5-B| Reclaim MPTE'!AF80*('Table 7-B| Reclaim APTE'!S14/'Table 5-B| Reclaim MPTE'!AF73),0)</f>
        <v>0</v>
      </c>
      <c r="T21" s="593">
        <f>IFERROR('Table 5-B| Reclaim MPTE'!AG80*('Table 7-B| Reclaim APTE'!T14/'Table 5-B| Reclaim MPTE'!AG73),0)</f>
        <v>0</v>
      </c>
      <c r="U21" s="593">
        <f>IFERROR('Table 5-B| Reclaim MPTE'!AH80*('Table 7-B| Reclaim APTE'!U14/'Table 5-B| Reclaim MPTE'!AH73),0)</f>
        <v>0</v>
      </c>
      <c r="V21" s="593">
        <f>IFERROR('Table 5-B| Reclaim MPTE'!AI80*('Table 7-B| Reclaim APTE'!V14/'Table 5-B| Reclaim MPTE'!AI73),0)</f>
        <v>0</v>
      </c>
      <c r="W21" s="593">
        <f>IFERROR('Table 5-B| Reclaim MPTE'!AJ80*('Table 7-B| Reclaim APTE'!W14/'Table 5-B| Reclaim MPTE'!AJ73),0)</f>
        <v>0</v>
      </c>
      <c r="X21" s="593">
        <f>IFERROR('Table 5-B| Reclaim MPTE'!AK80*('Table 7-B| Reclaim APTE'!X14/'Table 5-B| Reclaim MPTE'!AK73),0)</f>
        <v>0</v>
      </c>
      <c r="Y21" s="593">
        <f>IFERROR('Table 5-B| Reclaim MPTE'!AL80*('Table 7-B| Reclaim APTE'!Y14/'Table 5-B| Reclaim MPTE'!AL73),0)</f>
        <v>0</v>
      </c>
      <c r="Z21" s="593">
        <f>IFERROR('Table 5-B| Reclaim MPTE'!AM80*('Table 7-B| Reclaim APTE'!Z14/'Table 5-B| Reclaim MPTE'!AM73),0)</f>
        <v>0</v>
      </c>
      <c r="AA21" s="593">
        <f>IFERROR('Table 5-B| Reclaim MPTE'!AN80*('Table 7-B| Reclaim APTE'!AA14/'Table 5-B| Reclaim MPTE'!AN73),0)</f>
        <v>0</v>
      </c>
      <c r="AB21" s="593">
        <f>IFERROR('Table 5-B| Reclaim MPTE'!AO80*('Table 7-B| Reclaim APTE'!AB14/'Table 5-B| Reclaim MPTE'!AO73),0)</f>
        <v>0</v>
      </c>
      <c r="AC21" s="593">
        <f>IFERROR('Table 5-B| Reclaim MPTE'!AP80*('Table 7-B| Reclaim APTE'!AC14/'Table 5-B| Reclaim MPTE'!AP73),0)</f>
        <v>0</v>
      </c>
      <c r="AD21" s="593">
        <f>IFERROR('Table 5-B| Reclaim MPTE'!AQ80*('Table 7-B| Reclaim APTE'!AD14/'Table 5-B| Reclaim MPTE'!AQ73),0)</f>
        <v>0</v>
      </c>
    </row>
    <row r="22" spans="1:30" ht="18" customHeight="1" x14ac:dyDescent="0.25">
      <c r="A22" s="302">
        <f>IF(OR('Table 3-A| Emission Units'!$A79=0,'Table 3-A| Emission Units'!$B79=0),0,'Table 3-A| Emission Units'!$A79&amp;"-"&amp;'Table 3-A| Emission Units'!$B79)</f>
        <v>0</v>
      </c>
      <c r="B22" s="303">
        <f>'Table 3-A| Emission Units'!$C79</f>
        <v>30501123</v>
      </c>
      <c r="C22" s="305">
        <f>IF($A22=$A21,0,IF('Table 6-A| Controls &amp; Limits'!$C$25="Yes",'Table 6-A| Controls &amp; Limits'!$E$25,'Table 6-A| Controls &amp; Limits'!$D$25))</f>
        <v>0</v>
      </c>
      <c r="D22" s="386" t="str">
        <f>'Table 5-B| Reclaim MPTE'!D55</f>
        <v>tons</v>
      </c>
      <c r="E22" s="387">
        <f>IFERROR(IFERROR(1-VLOOKUP('Table 6-A| Controls &amp; Limits'!$K$25,'Emission Controls'!$A$20:$L$33,4,),1)*('Table 5-B| Reclaim MPTE'!G55*($C22/'Table 5-B| Reclaim MPTE'!$E55)),0)</f>
        <v>0</v>
      </c>
      <c r="F22" s="388">
        <f>IFERROR(IFERROR(1-VLOOKUP('Table 6-A| Controls &amp; Limits'!$K$25,'Emission Controls'!$A$20:$L$33,5,),1)*('Table 5-B| Reclaim MPTE'!H55*($C22/'Table 5-B| Reclaim MPTE'!$E55)),0)</f>
        <v>0</v>
      </c>
      <c r="G22" s="388">
        <f>IFERROR(IFERROR(1-VLOOKUP('Table 6-A| Controls &amp; Limits'!$K$25,'Emission Controls'!$A$20:$L$33,6,),1)*('Table 5-B| Reclaim MPTE'!I55*($C22/'Table 5-B| Reclaim MPTE'!$E55)),0)</f>
        <v>0</v>
      </c>
      <c r="H22" s="388">
        <f>IFERROR(IFERROR(1-VLOOKUP('Table 6-A| Controls &amp; Limits'!$K$25,'Emission Controls'!$A$20:$L$33,7,),1)*('Table 5-B| Reclaim MPTE'!J55*($C22/'Table 5-B| Reclaim MPTE'!$E55)),0)</f>
        <v>0</v>
      </c>
      <c r="I22" s="388">
        <f>IFERROR(IFERROR(1-VLOOKUP('Table 6-A| Controls &amp; Limits'!$K$25,'Emission Controls'!$A$20:$L$33,8,),1)*('Table 5-B| Reclaim MPTE'!K55*($C22/'Table 5-B| Reclaim MPTE'!$E55)),0)</f>
        <v>0</v>
      </c>
      <c r="J22" s="388">
        <f>IFERROR(IFERROR(1-VLOOKUP('Table 6-A| Controls &amp; Limits'!$K$25,'Emission Controls'!$A$20:$L$33,9,),1)*('Table 5-B| Reclaim MPTE'!L55*($C22/'Table 5-B| Reclaim MPTE'!$E55)),0)</f>
        <v>0</v>
      </c>
      <c r="K22" s="388">
        <f>IFERROR(IFERROR(1-VLOOKUP('Table 6-A| Controls &amp; Limits'!$K$25,'Emission Controls'!$A$20:$L$33,10,),1)*('Table 5-B| Reclaim MPTE'!M55*($C22/'Table 5-B| Reclaim MPTE'!$E55)),0)</f>
        <v>0</v>
      </c>
      <c r="L22" s="388">
        <f>IFERROR(IFERROR(1-VLOOKUP('Table 6-A| Controls &amp; Limits'!$K$25,'Emission Controls'!$A$20:$L$33,11,),1)*('Table 5-B| Reclaim MPTE'!N55*($C22/'Table 5-B| Reclaim MPTE'!$E55)),0)</f>
        <v>0</v>
      </c>
      <c r="M22" s="389">
        <f>IFERROR(IFERROR(1-VLOOKUP('Table 6-A| Controls &amp; Limits'!$K$25,'Emission Controls'!$A$20:$L$33,12,),1)*('Table 5-B| Reclaim MPTE'!O55*($C22/'Table 5-B| Reclaim MPTE'!$E55)),0)</f>
        <v>0</v>
      </c>
      <c r="Q22" s="1449" t="s">
        <v>2297</v>
      </c>
      <c r="R22" s="1385"/>
      <c r="S22" s="593">
        <f>IFERROR('Table 5-B| Reclaim MPTE'!AF81*('Table 7-B| Reclaim APTE'!S15/'Table 5-B| Reclaim MPTE'!AF74),0)</f>
        <v>0</v>
      </c>
      <c r="T22" s="593">
        <f>IFERROR('Table 5-B| Reclaim MPTE'!AG81*('Table 7-B| Reclaim APTE'!T15/'Table 5-B| Reclaim MPTE'!AG74),0)</f>
        <v>0</v>
      </c>
      <c r="U22" s="593">
        <f>IFERROR('Table 5-B| Reclaim MPTE'!AH81*('Table 7-B| Reclaim APTE'!U15/'Table 5-B| Reclaim MPTE'!AH74),0)</f>
        <v>0</v>
      </c>
      <c r="V22" s="593">
        <f>IFERROR('Table 5-B| Reclaim MPTE'!AI81*('Table 7-B| Reclaim APTE'!V15/'Table 5-B| Reclaim MPTE'!AI74),0)</f>
        <v>0</v>
      </c>
      <c r="W22" s="593">
        <f>IFERROR('Table 5-B| Reclaim MPTE'!AJ81*('Table 7-B| Reclaim APTE'!W15/'Table 5-B| Reclaim MPTE'!AJ74),0)</f>
        <v>0</v>
      </c>
      <c r="X22" s="593">
        <f>IFERROR('Table 5-B| Reclaim MPTE'!AK81*('Table 7-B| Reclaim APTE'!X15/'Table 5-B| Reclaim MPTE'!AK74),0)</f>
        <v>0</v>
      </c>
      <c r="Y22" s="593">
        <f>IFERROR('Table 5-B| Reclaim MPTE'!AL81*('Table 7-B| Reclaim APTE'!Y15/'Table 5-B| Reclaim MPTE'!AL74),0)</f>
        <v>0</v>
      </c>
      <c r="Z22" s="593">
        <f>IFERROR('Table 5-B| Reclaim MPTE'!AM81*('Table 7-B| Reclaim APTE'!Z15/'Table 5-B| Reclaim MPTE'!AM74),0)</f>
        <v>0</v>
      </c>
      <c r="AA22" s="593">
        <f>IFERROR('Table 5-B| Reclaim MPTE'!AN81*('Table 7-B| Reclaim APTE'!AA15/'Table 5-B| Reclaim MPTE'!AN74),0)</f>
        <v>0</v>
      </c>
      <c r="AB22" s="593">
        <f>IFERROR('Table 5-B| Reclaim MPTE'!AO81*('Table 7-B| Reclaim APTE'!AB15/'Table 5-B| Reclaim MPTE'!AO74),0)</f>
        <v>0</v>
      </c>
      <c r="AC22" s="593">
        <f>IFERROR('Table 5-B| Reclaim MPTE'!AP81*('Table 7-B| Reclaim APTE'!AC15/'Table 5-B| Reclaim MPTE'!AP74),0)</f>
        <v>0</v>
      </c>
      <c r="AD22" s="593">
        <f>IFERROR('Table 5-B| Reclaim MPTE'!AQ81*('Table 7-B| Reclaim APTE'!AD15/'Table 5-B| Reclaim MPTE'!AQ74),0)</f>
        <v>0</v>
      </c>
    </row>
    <row r="23" spans="1:30" ht="18" customHeight="1" thickBot="1" x14ac:dyDescent="0.3">
      <c r="A23" s="309">
        <f>IF(OR('Table 3-A| Emission Units'!$A80=0,'Table 3-A| Emission Units'!$B80=0),0,'Table 3-A| Emission Units'!$A80&amp;"-"&amp;'Table 3-A| Emission Units'!$B80)</f>
        <v>0</v>
      </c>
      <c r="B23" s="310">
        <f>'Table 3-A| Emission Units'!$C80</f>
        <v>30502032</v>
      </c>
      <c r="C23" s="312">
        <f>IF($A23=$A22,0,IF('Table 6-A| Controls &amp; Limits'!$C$25="Yes",'Table 6-A| Controls &amp; Limits'!$E$25,'Table 6-A| Controls &amp; Limits'!$D$25))</f>
        <v>0</v>
      </c>
      <c r="D23" s="390" t="str">
        <f>'Table 5-B| Reclaim MPTE'!D56</f>
        <v>tons</v>
      </c>
      <c r="E23" s="391">
        <f>IFERROR(('Table 5-B| Reclaim MPTE'!G56*($C23/'Table 5-B| Reclaim MPTE'!$E56)),0)</f>
        <v>0</v>
      </c>
      <c r="F23" s="392">
        <f>IFERROR(('Table 5-B| Reclaim MPTE'!H56*($C23/'Table 5-B| Reclaim MPTE'!$E56)),0)</f>
        <v>0</v>
      </c>
      <c r="G23" s="392">
        <f>IFERROR(IFERROR(1-VLOOKUP('Table 6-A| Controls &amp; Limits'!$K$25,'Emission Controls'!$A$20:$L$33,6,),1)*('Table 5-B| Reclaim MPTE'!I56*($C23/'Table 5-B| Reclaim MPTE'!$E56)),0)</f>
        <v>0</v>
      </c>
      <c r="H23" s="392">
        <f>IFERROR(IFERROR(1-VLOOKUP('Table 6-A| Controls &amp; Limits'!$K$25,'Emission Controls'!$A$20:$L$33,7,),1)*('Table 5-B| Reclaim MPTE'!J56*($C23/'Table 5-B| Reclaim MPTE'!$E56)),0)</f>
        <v>0</v>
      </c>
      <c r="I23" s="392">
        <f>IFERROR(IFERROR(1-VLOOKUP('Table 6-A| Controls &amp; Limits'!$K$25,'Emission Controls'!$A$20:$L$33,8,),1)*('Table 5-B| Reclaim MPTE'!K56*($C23/'Table 5-B| Reclaim MPTE'!$E56)),0)</f>
        <v>0</v>
      </c>
      <c r="J23" s="392">
        <f>IFERROR(IFERROR(1-VLOOKUP('Table 6-A| Controls &amp; Limits'!$K$25,'Emission Controls'!$A$20:$L$33,9,),1)*('Table 5-B| Reclaim MPTE'!L56*($C23/'Table 5-B| Reclaim MPTE'!$E56)),0)</f>
        <v>0</v>
      </c>
      <c r="K23" s="392">
        <f>IFERROR(IFERROR(1-VLOOKUP('Table 6-A| Controls &amp; Limits'!$K$25,'Emission Controls'!$A$20:$L$33,10,),1)*('Table 5-B| Reclaim MPTE'!M56*($C23/'Table 5-B| Reclaim MPTE'!$E56)),0)</f>
        <v>0</v>
      </c>
      <c r="L23" s="392">
        <f>IFERROR(IFERROR(1-VLOOKUP('Table 6-A| Controls &amp; Limits'!$K$25,'Emission Controls'!$A$20:$L$33,11,),1)*('Table 5-B| Reclaim MPTE'!N56*($C23/'Table 5-B| Reclaim MPTE'!$E56)),0)</f>
        <v>0</v>
      </c>
      <c r="M23" s="393">
        <f>IFERROR(IFERROR(1-VLOOKUP('Table 6-A| Controls &amp; Limits'!$K$25,'Emission Controls'!$A$20:$L$33,12,),1)*('Table 5-B| Reclaim MPTE'!O56*($C23/'Table 5-B| Reclaim MPTE'!$E56)),0)</f>
        <v>0</v>
      </c>
      <c r="Q23" s="1449" t="s">
        <v>2298</v>
      </c>
      <c r="R23" s="1385"/>
      <c r="S23" s="713"/>
      <c r="T23" s="713"/>
      <c r="U23" s="713"/>
      <c r="V23" s="713"/>
      <c r="W23" s="713"/>
      <c r="X23" s="713"/>
      <c r="Y23" s="593">
        <f>IFERROR('Table 5-B| Reclaim MPTE'!AL82*('Table 7-B| Reclaim APTE'!Y16/'Table 5-B| Reclaim MPTE'!AL75),0)</f>
        <v>0</v>
      </c>
      <c r="Z23" s="593">
        <f>IFERROR('Table 5-B| Reclaim MPTE'!AM82*('Table 7-B| Reclaim APTE'!Z16/'Table 5-B| Reclaim MPTE'!AM75),0)</f>
        <v>0</v>
      </c>
      <c r="AA23" s="593">
        <f>IFERROR('Table 5-B| Reclaim MPTE'!AN82*('Table 7-B| Reclaim APTE'!AA16/'Table 5-B| Reclaim MPTE'!AN75),0)</f>
        <v>0</v>
      </c>
      <c r="AB23" s="593">
        <f>IFERROR('Table 5-B| Reclaim MPTE'!AO82*('Table 7-B| Reclaim APTE'!AB16/'Table 5-B| Reclaim MPTE'!AO75),0)</f>
        <v>0</v>
      </c>
      <c r="AC23" s="593">
        <f>IFERROR('Table 5-B| Reclaim MPTE'!AP82*('Table 7-B| Reclaim APTE'!AC16/'Table 5-B| Reclaim MPTE'!AP75),0)</f>
        <v>0</v>
      </c>
      <c r="AD23" s="593">
        <f>IFERROR('Table 5-B| Reclaim MPTE'!AQ82*('Table 7-B| Reclaim APTE'!AD16/'Table 5-B| Reclaim MPTE'!AQ75),0)</f>
        <v>0</v>
      </c>
    </row>
    <row r="24" spans="1:30" ht="18" customHeight="1" x14ac:dyDescent="0.25">
      <c r="A24" s="633">
        <f>IF(OR('Table 3-A| Emission Units'!$A81=0,'Table 3-A| Emission Units'!$B81=0),0,'Table 3-A| Emission Units'!$A81&amp;"-"&amp;'Table 3-A| Emission Units'!$B81)</f>
        <v>0</v>
      </c>
      <c r="B24" s="628">
        <f>'Table 3-A| Emission Units'!$C81</f>
        <v>30502031</v>
      </c>
      <c r="C24" s="635">
        <f>IF($A24=$A23,0,IF('Table 6-A| Controls &amp; Limits'!$C$26="Yes",'Table 6-A| Controls &amp; Limits'!$E$26,'Table 6-A| Controls &amp; Limits'!$D$26))</f>
        <v>0</v>
      </c>
      <c r="D24" s="627" t="str">
        <f>'Table 5-B| Reclaim MPTE'!D57</f>
        <v>tons</v>
      </c>
      <c r="E24" s="636">
        <f>IFERROR(('Table 5-B| Reclaim MPTE'!G57*($C24/'Table 5-B| Reclaim MPTE'!$E57)),0)</f>
        <v>0</v>
      </c>
      <c r="F24" s="637">
        <f>IFERROR(('Table 5-B| Reclaim MPTE'!H57*($C24/'Table 5-B| Reclaim MPTE'!$E57)),0)</f>
        <v>0</v>
      </c>
      <c r="G24" s="637">
        <f>IFERROR(IFERROR(1-VLOOKUP('Table 6-A| Controls &amp; Limits'!$K$26,'Emission Controls'!$A$20:$L$33,6,),1)*('Table 5-B| Reclaim MPTE'!I57*($C24/'Table 5-B| Reclaim MPTE'!$E57)),0)</f>
        <v>0</v>
      </c>
      <c r="H24" s="637">
        <f>IFERROR(IFERROR(1-VLOOKUP('Table 6-A| Controls &amp; Limits'!$K$26,'Emission Controls'!$A$20:$L$33,7,),1)*('Table 5-B| Reclaim MPTE'!J57*($C24/'Table 5-B| Reclaim MPTE'!$E57)),0)</f>
        <v>0</v>
      </c>
      <c r="I24" s="637">
        <f>IFERROR(IFERROR(1-VLOOKUP('Table 6-A| Controls &amp; Limits'!$K$26,'Emission Controls'!$A$20:$L$33,8,),1)*('Table 5-B| Reclaim MPTE'!K57*($C24/'Table 5-B| Reclaim MPTE'!$E57)),0)</f>
        <v>0</v>
      </c>
      <c r="J24" s="637">
        <f>IFERROR(IFERROR(1-VLOOKUP('Table 6-A| Controls &amp; Limits'!$K$26,'Emission Controls'!$A$20:$L$33,9,),1)*('Table 5-B| Reclaim MPTE'!L57*($C24/'Table 5-B| Reclaim MPTE'!$E57)),0)</f>
        <v>0</v>
      </c>
      <c r="K24" s="637">
        <f>IFERROR(IFERROR(1-VLOOKUP('Table 6-A| Controls &amp; Limits'!$K$26,'Emission Controls'!$A$20:$L$33,10,),1)*('Table 5-B| Reclaim MPTE'!M57*($C24/'Table 5-B| Reclaim MPTE'!$E57)),0)</f>
        <v>0</v>
      </c>
      <c r="L24" s="637">
        <f>IFERROR(IFERROR(1-VLOOKUP('Table 6-A| Controls &amp; Limits'!$K$26,'Emission Controls'!$A$20:$L$33,11,),1)*('Table 5-B| Reclaim MPTE'!N57*($C24/'Table 5-B| Reclaim MPTE'!$E57)),0)</f>
        <v>0</v>
      </c>
      <c r="M24" s="638">
        <f>IFERROR(IFERROR(1-VLOOKUP('Table 6-A| Controls &amp; Limits'!$K$26,'Emission Controls'!$A$20:$L$33,12,),1)*('Table 5-B| Reclaim MPTE'!O57*($C24/'Table 5-B| Reclaim MPTE'!$E57)),0)</f>
        <v>0</v>
      </c>
      <c r="Q24" s="1449" t="s">
        <v>2299</v>
      </c>
      <c r="R24" s="1385"/>
      <c r="S24" s="713"/>
      <c r="T24" s="713"/>
      <c r="U24" s="713"/>
      <c r="V24" s="713"/>
      <c r="W24" s="713"/>
      <c r="X24" s="713"/>
      <c r="Y24" s="593">
        <f>IFERROR('Table 5-B| Reclaim MPTE'!AL83*('Table 7-B| Reclaim APTE'!Y17/'Table 5-B| Reclaim MPTE'!AL76),0)</f>
        <v>0</v>
      </c>
      <c r="Z24" s="593">
        <f>IFERROR('Table 5-B| Reclaim MPTE'!AM83*('Table 7-B| Reclaim APTE'!Z17/'Table 5-B| Reclaim MPTE'!AM76),0)</f>
        <v>0</v>
      </c>
      <c r="AA24" s="593">
        <f>IFERROR('Table 5-B| Reclaim MPTE'!AN83*('Table 7-B| Reclaim APTE'!AA17/'Table 5-B| Reclaim MPTE'!AN76),0)</f>
        <v>0</v>
      </c>
      <c r="AB24" s="593">
        <f>IFERROR('Table 5-B| Reclaim MPTE'!AO83*('Table 7-B| Reclaim APTE'!AB17/'Table 5-B| Reclaim MPTE'!AO76),0)</f>
        <v>0</v>
      </c>
      <c r="AC24" s="593">
        <f>IFERROR('Table 5-B| Reclaim MPTE'!AP83*('Table 7-B| Reclaim APTE'!AC17/'Table 5-B| Reclaim MPTE'!AP76),0)</f>
        <v>0</v>
      </c>
      <c r="AD24" s="593">
        <f>IFERROR('Table 5-B| Reclaim MPTE'!AQ83*('Table 7-B| Reclaim APTE'!AD17/'Table 5-B| Reclaim MPTE'!AQ76),0)</f>
        <v>0</v>
      </c>
    </row>
    <row r="25" spans="1:30" ht="18" customHeight="1" x14ac:dyDescent="0.25">
      <c r="A25" s="302">
        <f>IF(OR('Table 3-A| Emission Units'!$A82=0,'Table 3-A| Emission Units'!$B82=0),0,'Table 3-A| Emission Units'!$A82&amp;"-"&amp;'Table 3-A| Emission Units'!$B82)</f>
        <v>0</v>
      </c>
      <c r="B25" s="303">
        <f>'Table 3-A| Emission Units'!$C82</f>
        <v>30501123</v>
      </c>
      <c r="C25" s="305">
        <f>IF($A25=$A24,0,IF('Table 6-A| Controls &amp; Limits'!$C$26="Yes",'Table 6-A| Controls &amp; Limits'!$E$26,'Table 6-A| Controls &amp; Limits'!$D$26))</f>
        <v>0</v>
      </c>
      <c r="D25" s="386" t="str">
        <f>'Table 5-B| Reclaim MPTE'!D58</f>
        <v>tons</v>
      </c>
      <c r="E25" s="387">
        <f>IFERROR(('Table 5-B| Reclaim MPTE'!G58*($C25/'Table 5-B| Reclaim MPTE'!$E58)),0)</f>
        <v>0</v>
      </c>
      <c r="F25" s="388">
        <f>IFERROR(('Table 5-B| Reclaim MPTE'!H58*($C25/'Table 5-B| Reclaim MPTE'!$E58)),0)</f>
        <v>0</v>
      </c>
      <c r="G25" s="388">
        <f>IFERROR(IFERROR(1-VLOOKUP('Table 6-A| Controls &amp; Limits'!$K$26,'Emission Controls'!$A$20:$L$33,6,),1)*('Table 5-B| Reclaim MPTE'!I58*($C25/'Table 5-B| Reclaim MPTE'!$E58)),0)</f>
        <v>0</v>
      </c>
      <c r="H25" s="388">
        <f>IFERROR(IFERROR(1-VLOOKUP('Table 6-A| Controls &amp; Limits'!$K$26,'Emission Controls'!$A$20:$L$33,7,),1)*('Table 5-B| Reclaim MPTE'!J58*($C25/'Table 5-B| Reclaim MPTE'!$E58)),0)</f>
        <v>0</v>
      </c>
      <c r="I25" s="388">
        <f>IFERROR(IFERROR(1-VLOOKUP('Table 6-A| Controls &amp; Limits'!$K$26,'Emission Controls'!$A$20:$L$33,8,),1)*('Table 5-B| Reclaim MPTE'!K58*($C25/'Table 5-B| Reclaim MPTE'!$E58)),0)</f>
        <v>0</v>
      </c>
      <c r="J25" s="388">
        <f>IFERROR(IFERROR(1-VLOOKUP('Table 6-A| Controls &amp; Limits'!$K$26,'Emission Controls'!$A$20:$L$33,9,),1)*('Table 5-B| Reclaim MPTE'!L58*($C25/'Table 5-B| Reclaim MPTE'!$E58)),0)</f>
        <v>0</v>
      </c>
      <c r="K25" s="388">
        <f>IFERROR(IFERROR(1-VLOOKUP('Table 6-A| Controls &amp; Limits'!$K$26,'Emission Controls'!$A$20:$L$33,10,),1)*('Table 5-B| Reclaim MPTE'!M58*($C25/'Table 5-B| Reclaim MPTE'!$E58)),0)</f>
        <v>0</v>
      </c>
      <c r="L25" s="388">
        <f>IFERROR(IFERROR(1-VLOOKUP('Table 6-A| Controls &amp; Limits'!$K$26,'Emission Controls'!$A$20:$L$33,11,),1)*('Table 5-B| Reclaim MPTE'!N58*($C25/'Table 5-B| Reclaim MPTE'!$E58)),0)</f>
        <v>0</v>
      </c>
      <c r="M25" s="389">
        <f>IFERROR(IFERROR(1-VLOOKUP('Table 6-A| Controls &amp; Limits'!$K$26,'Emission Controls'!$A$20:$L$33,12,),1)*('Table 5-B| Reclaim MPTE'!O58*($C25/'Table 5-B| Reclaim MPTE'!$E58)),0)</f>
        <v>0</v>
      </c>
    </row>
    <row r="26" spans="1:30" ht="18" customHeight="1" x14ac:dyDescent="0.25">
      <c r="A26" s="302">
        <f>IF(OR('Table 3-A| Emission Units'!$A83=0,'Table 3-A| Emission Units'!$B83=0),0,'Table 3-A| Emission Units'!$A83&amp;"-"&amp;'Table 3-A| Emission Units'!$B83)</f>
        <v>0</v>
      </c>
      <c r="B26" s="303">
        <f>'Table 3-A| Emission Units'!$C83</f>
        <v>30501123</v>
      </c>
      <c r="C26" s="305">
        <f>IF($A26=$A25,0,IF('Table 6-A| Controls &amp; Limits'!$C$26="Yes",'Table 6-A| Controls &amp; Limits'!$E$26,'Table 6-A| Controls &amp; Limits'!$D$26))</f>
        <v>0</v>
      </c>
      <c r="D26" s="386" t="str">
        <f>'Table 5-B| Reclaim MPTE'!D59</f>
        <v>tons</v>
      </c>
      <c r="E26" s="387">
        <f>IFERROR(('Table 5-B| Reclaim MPTE'!G59*($C26/'Table 5-B| Reclaim MPTE'!$E59)),0)</f>
        <v>0</v>
      </c>
      <c r="F26" s="388">
        <f>IFERROR(('Table 5-B| Reclaim MPTE'!H59*($C26/'Table 5-B| Reclaim MPTE'!$E59)),0)</f>
        <v>0</v>
      </c>
      <c r="G26" s="388">
        <f>IFERROR(IFERROR(1-VLOOKUP('Table 6-A| Controls &amp; Limits'!$K$26,'Emission Controls'!$A$20:$L$33,6,),1)*('Table 5-B| Reclaim MPTE'!I59*($C26/'Table 5-B| Reclaim MPTE'!$E59)),0)</f>
        <v>0</v>
      </c>
      <c r="H26" s="388">
        <f>IFERROR(IFERROR(1-VLOOKUP('Table 6-A| Controls &amp; Limits'!$K$26,'Emission Controls'!$A$20:$L$33,7,),1)*('Table 5-B| Reclaim MPTE'!J59*($C26/'Table 5-B| Reclaim MPTE'!$E59)),0)</f>
        <v>0</v>
      </c>
      <c r="I26" s="388">
        <f>IFERROR(IFERROR(1-VLOOKUP('Table 6-A| Controls &amp; Limits'!$K$26,'Emission Controls'!$A$20:$L$33,8,),1)*('Table 5-B| Reclaim MPTE'!K59*($C26/'Table 5-B| Reclaim MPTE'!$E59)),0)</f>
        <v>0</v>
      </c>
      <c r="J26" s="388">
        <f>IFERROR(IFERROR(1-VLOOKUP('Table 6-A| Controls &amp; Limits'!$K$26,'Emission Controls'!$A$20:$L$33,9,),1)*('Table 5-B| Reclaim MPTE'!L59*($C26/'Table 5-B| Reclaim MPTE'!$E59)),0)</f>
        <v>0</v>
      </c>
      <c r="K26" s="388">
        <f>IFERROR(IFERROR(1-VLOOKUP('Table 6-A| Controls &amp; Limits'!$K$26,'Emission Controls'!$A$20:$L$33,10,),1)*('Table 5-B| Reclaim MPTE'!M59*($C26/'Table 5-B| Reclaim MPTE'!$E59)),0)</f>
        <v>0</v>
      </c>
      <c r="L26" s="388">
        <f>IFERROR(IFERROR(1-VLOOKUP('Table 6-A| Controls &amp; Limits'!$K$26,'Emission Controls'!$A$20:$L$33,11,),1)*('Table 5-B| Reclaim MPTE'!N59*($C26/'Table 5-B| Reclaim MPTE'!$E59)),0)</f>
        <v>0</v>
      </c>
      <c r="M26" s="389">
        <f>IFERROR(IFERROR(1-VLOOKUP('Table 6-A| Controls &amp; Limits'!$K$26,'Emission Controls'!$A$20:$L$33,12,),1)*('Table 5-B| Reclaim MPTE'!O59*($C26/'Table 5-B| Reclaim MPTE'!$E59)),0)</f>
        <v>0</v>
      </c>
      <c r="S26" s="1450" t="s">
        <v>2315</v>
      </c>
      <c r="T26" s="1451"/>
      <c r="U26" s="1451"/>
      <c r="V26" s="1451"/>
      <c r="W26" s="1451"/>
      <c r="X26" s="1452"/>
      <c r="Y26" s="1450" t="s">
        <v>2316</v>
      </c>
      <c r="Z26" s="1451"/>
      <c r="AA26" s="1451"/>
      <c r="AB26" s="1451"/>
      <c r="AC26" s="1451"/>
      <c r="AD26" s="1452"/>
    </row>
    <row r="27" spans="1:30" ht="18" customHeight="1" x14ac:dyDescent="0.25">
      <c r="A27" s="302">
        <f>IF(OR('Table 3-A| Emission Units'!$A84=0,'Table 3-A| Emission Units'!$B84=0),0,'Table 3-A| Emission Units'!$A84&amp;"-"&amp;'Table 3-A| Emission Units'!$B84)</f>
        <v>0</v>
      </c>
      <c r="B27" s="303">
        <f>'Table 3-A| Emission Units'!$C84</f>
        <v>30502001</v>
      </c>
      <c r="C27" s="305">
        <f>IF($A27=$A26,0,IF('Table 6-A| Controls &amp; Limits'!$C$26="Yes",'Table 6-A| Controls &amp; Limits'!$E$26,'Table 6-A| Controls &amp; Limits'!$D$26))</f>
        <v>0</v>
      </c>
      <c r="D27" s="386" t="str">
        <f>'Table 5-B| Reclaim MPTE'!D60</f>
        <v>tons</v>
      </c>
      <c r="E27" s="387">
        <f>IFERROR(IFERROR(1-VLOOKUP('Table 6-A| Controls &amp; Limits'!$K$26,'Emission Controls'!$A$20:$L$33,4,),1)*('Table 5-B| Reclaim MPTE'!G60*($C27/'Table 5-B| Reclaim MPTE'!$E60)),0)</f>
        <v>0</v>
      </c>
      <c r="F27" s="388">
        <f>IFERROR(IFERROR(1-VLOOKUP('Table 6-A| Controls &amp; Limits'!$K$26,'Emission Controls'!$A$20:$L$33,5,),1)*('Table 5-B| Reclaim MPTE'!H60*($C27/'Table 5-B| Reclaim MPTE'!$E60)),0)</f>
        <v>0</v>
      </c>
      <c r="G27" s="388">
        <f>IFERROR(IFERROR(1-VLOOKUP('Table 6-A| Controls &amp; Limits'!$K$26,'Emission Controls'!$A$20:$L$33,6,),1)*('Table 5-B| Reclaim MPTE'!I60*($C27/'Table 5-B| Reclaim MPTE'!$E60)),0)</f>
        <v>0</v>
      </c>
      <c r="H27" s="388">
        <f>IFERROR(IFERROR(1-VLOOKUP('Table 6-A| Controls &amp; Limits'!$K$26,'Emission Controls'!$A$20:$L$33,7,),1)*('Table 5-B| Reclaim MPTE'!J60*($C27/'Table 5-B| Reclaim MPTE'!$E60)),0)</f>
        <v>0</v>
      </c>
      <c r="I27" s="388">
        <f>IFERROR(IFERROR(1-VLOOKUP('Table 6-A| Controls &amp; Limits'!$K$26,'Emission Controls'!$A$20:$L$33,8,),1)*('Table 5-B| Reclaim MPTE'!K60*($C27/'Table 5-B| Reclaim MPTE'!$E60)),0)</f>
        <v>0</v>
      </c>
      <c r="J27" s="388">
        <f>IFERROR(IFERROR(1-VLOOKUP('Table 6-A| Controls &amp; Limits'!$K$26,'Emission Controls'!$A$20:$L$33,9,),1)*('Table 5-B| Reclaim MPTE'!L60*($C27/'Table 5-B| Reclaim MPTE'!$E60)),0)</f>
        <v>0</v>
      </c>
      <c r="K27" s="388">
        <f>IFERROR(IFERROR(1-VLOOKUP('Table 6-A| Controls &amp; Limits'!$K$26,'Emission Controls'!$A$20:$L$33,10,),1)*('Table 5-B| Reclaim MPTE'!M60*($C27/'Table 5-B| Reclaim MPTE'!$E60)),0)</f>
        <v>0</v>
      </c>
      <c r="L27" s="388">
        <f>IFERROR(IFERROR(1-VLOOKUP('Table 6-A| Controls &amp; Limits'!$K$26,'Emission Controls'!$A$20:$L$33,11,),1)*('Table 5-B| Reclaim MPTE'!N60*($C27/'Table 5-B| Reclaim MPTE'!$E60)),0)</f>
        <v>0</v>
      </c>
      <c r="M27" s="389">
        <f>IFERROR(IFERROR(1-VLOOKUP('Table 6-A| Controls &amp; Limits'!$K$26,'Emission Controls'!$A$20:$L$33,12,),1)*('Table 5-B| Reclaim MPTE'!O60*($C27/'Table 5-B| Reclaim MPTE'!$E60)),0)</f>
        <v>0</v>
      </c>
      <c r="S27" s="539" t="s">
        <v>2219</v>
      </c>
      <c r="T27" s="539" t="s">
        <v>2220</v>
      </c>
      <c r="U27" s="539" t="s">
        <v>2221</v>
      </c>
      <c r="V27" s="539" t="s">
        <v>2222</v>
      </c>
      <c r="W27" s="539" t="s">
        <v>2223</v>
      </c>
      <c r="X27" s="539" t="s">
        <v>2224</v>
      </c>
      <c r="Y27" s="539" t="s">
        <v>2219</v>
      </c>
      <c r="Z27" s="539" t="s">
        <v>2220</v>
      </c>
      <c r="AA27" s="539" t="s">
        <v>2221</v>
      </c>
      <c r="AB27" s="539" t="s">
        <v>2222</v>
      </c>
      <c r="AC27" s="539" t="s">
        <v>2223</v>
      </c>
      <c r="AD27" s="539" t="s">
        <v>2224</v>
      </c>
    </row>
    <row r="28" spans="1:30" ht="18" customHeight="1" x14ac:dyDescent="0.25">
      <c r="A28" s="302">
        <f>IF(OR('Table 3-A| Emission Units'!$A85=0,'Table 3-A| Emission Units'!$B85=0),0,'Table 3-A| Emission Units'!$A85&amp;"-"&amp;'Table 3-A| Emission Units'!$B85)</f>
        <v>0</v>
      </c>
      <c r="B28" s="303">
        <f>'Table 3-A| Emission Units'!$C85</f>
        <v>30502003</v>
      </c>
      <c r="C28" s="305">
        <f>IF($A28=$A27,0,IF('Table 6-A| Controls &amp; Limits'!$C$26="Yes",'Table 6-A| Controls &amp; Limits'!$E$26,'Table 6-A| Controls &amp; Limits'!$D$26))</f>
        <v>0</v>
      </c>
      <c r="D28" s="386" t="str">
        <f>'Table 5-B| Reclaim MPTE'!D61</f>
        <v>tons</v>
      </c>
      <c r="E28" s="387">
        <f>IFERROR(IFERROR(1-VLOOKUP('Table 6-A| Controls &amp; Limits'!$K$26,'Emission Controls'!$A$20:$L$33,4,),1)*('Table 5-B| Reclaim MPTE'!G61*($C28/'Table 5-B| Reclaim MPTE'!$E61)),0)</f>
        <v>0</v>
      </c>
      <c r="F28" s="388">
        <f>IFERROR(IFERROR(1-VLOOKUP('Table 6-A| Controls &amp; Limits'!$K$26,'Emission Controls'!$A$20:$L$33,5,),1)*('Table 5-B| Reclaim MPTE'!H61*($C28/'Table 5-B| Reclaim MPTE'!$E61)),0)</f>
        <v>0</v>
      </c>
      <c r="G28" s="388">
        <f>IFERROR(IFERROR(1-VLOOKUP('Table 6-A| Controls &amp; Limits'!$K$26,'Emission Controls'!$A$20:$L$33,6,),1)*('Table 5-B| Reclaim MPTE'!I61*($C28/'Table 5-B| Reclaim MPTE'!$E61)),0)</f>
        <v>0</v>
      </c>
      <c r="H28" s="388">
        <f>IFERROR(IFERROR(1-VLOOKUP('Table 6-A| Controls &amp; Limits'!$K$26,'Emission Controls'!$A$20:$L$33,7,),1)*('Table 5-B| Reclaim MPTE'!J61*($C28/'Table 5-B| Reclaim MPTE'!$E61)),0)</f>
        <v>0</v>
      </c>
      <c r="I28" s="388">
        <f>IFERROR(IFERROR(1-VLOOKUP('Table 6-A| Controls &amp; Limits'!$K$26,'Emission Controls'!$A$20:$L$33,8,),1)*('Table 5-B| Reclaim MPTE'!K61*($C28/'Table 5-B| Reclaim MPTE'!$E61)),0)</f>
        <v>0</v>
      </c>
      <c r="J28" s="388">
        <f>IFERROR(IFERROR(1-VLOOKUP('Table 6-A| Controls &amp; Limits'!$K$26,'Emission Controls'!$A$20:$L$33,9,),1)*('Table 5-B| Reclaim MPTE'!L61*($C28/'Table 5-B| Reclaim MPTE'!$E61)),0)</f>
        <v>0</v>
      </c>
      <c r="K28" s="388">
        <f>IFERROR(IFERROR(1-VLOOKUP('Table 6-A| Controls &amp; Limits'!$K$26,'Emission Controls'!$A$20:$L$33,10,),1)*('Table 5-B| Reclaim MPTE'!M61*($C28/'Table 5-B| Reclaim MPTE'!$E61)),0)</f>
        <v>0</v>
      </c>
      <c r="L28" s="388">
        <f>IFERROR(IFERROR(1-VLOOKUP('Table 6-A| Controls &amp; Limits'!$K$26,'Emission Controls'!$A$20:$L$33,11,),1)*('Table 5-B| Reclaim MPTE'!N61*($C28/'Table 5-B| Reclaim MPTE'!$E61)),0)</f>
        <v>0</v>
      </c>
      <c r="M28" s="389">
        <f>IFERROR(IFERROR(1-VLOOKUP('Table 6-A| Controls &amp; Limits'!$K$26,'Emission Controls'!$A$20:$L$33,12,),1)*('Table 5-B| Reclaim MPTE'!O61*($C28/'Table 5-B| Reclaim MPTE'!$E61)),0)</f>
        <v>0</v>
      </c>
      <c r="Q28" s="1449" t="s">
        <v>2296</v>
      </c>
      <c r="R28" s="1385"/>
      <c r="S28" s="593">
        <f>IFERROR('Table 5-B| Reclaim MPTE'!AF87*('Table 7-B| Reclaim APTE'!S14/'Table 5-B| Reclaim MPTE'!AF73),0)</f>
        <v>0</v>
      </c>
      <c r="T28" s="593">
        <f>IFERROR('Table 5-B| Reclaim MPTE'!AG87*('Table 7-B| Reclaim APTE'!T14/'Table 5-B| Reclaim MPTE'!AG73),0)</f>
        <v>0</v>
      </c>
      <c r="U28" s="593">
        <f>IFERROR('Table 5-B| Reclaim MPTE'!AH87*('Table 7-B| Reclaim APTE'!U14/'Table 5-B| Reclaim MPTE'!AH73),0)</f>
        <v>0</v>
      </c>
      <c r="V28" s="593">
        <f>IFERROR('Table 5-B| Reclaim MPTE'!AI87*('Table 7-B| Reclaim APTE'!V14/'Table 5-B| Reclaim MPTE'!AI73),0)</f>
        <v>0</v>
      </c>
      <c r="W28" s="593">
        <f>IFERROR('Table 5-B| Reclaim MPTE'!AJ87*('Table 7-B| Reclaim APTE'!W14/'Table 5-B| Reclaim MPTE'!AJ73),0)</f>
        <v>0</v>
      </c>
      <c r="X28" s="593">
        <f>IFERROR('Table 5-B| Reclaim MPTE'!AK87*('Table 7-B| Reclaim APTE'!X14/'Table 5-B| Reclaim MPTE'!AK73),0)</f>
        <v>0</v>
      </c>
      <c r="Y28" s="593">
        <f>IFERROR('Table 5-B| Reclaim MPTE'!AL87*('Table 7-B| Reclaim APTE'!Y14/'Table 5-B| Reclaim MPTE'!AL73),0)</f>
        <v>0</v>
      </c>
      <c r="Z28" s="593">
        <f>IFERROR('Table 5-B| Reclaim MPTE'!AM87*('Table 7-B| Reclaim APTE'!Z14/'Table 5-B| Reclaim MPTE'!AM73),0)</f>
        <v>0</v>
      </c>
      <c r="AA28" s="593">
        <f>IFERROR('Table 5-B| Reclaim MPTE'!AN87*('Table 7-B| Reclaim APTE'!AA14/'Table 5-B| Reclaim MPTE'!AN73),0)</f>
        <v>0</v>
      </c>
      <c r="AB28" s="593">
        <f>IFERROR('Table 5-B| Reclaim MPTE'!AO87*('Table 7-B| Reclaim APTE'!AB14/'Table 5-B| Reclaim MPTE'!AO73),0)</f>
        <v>0</v>
      </c>
      <c r="AC28" s="593">
        <f>IFERROR('Table 5-B| Reclaim MPTE'!AP87*('Table 7-B| Reclaim APTE'!AC14/'Table 5-B| Reclaim MPTE'!AP73),0)</f>
        <v>0</v>
      </c>
      <c r="AD28" s="593">
        <f>IFERROR('Table 5-B| Reclaim MPTE'!AQ87*('Table 7-B| Reclaim APTE'!AD14/'Table 5-B| Reclaim MPTE'!AQ73),0)</f>
        <v>0</v>
      </c>
    </row>
    <row r="29" spans="1:30" ht="18" customHeight="1" x14ac:dyDescent="0.25">
      <c r="A29" s="302">
        <f>IF(OR('Table 3-A| Emission Units'!$A86=0,'Table 3-A| Emission Units'!$B86=0),0,'Table 3-A| Emission Units'!$A86&amp;"-"&amp;'Table 3-A| Emission Units'!$B86)</f>
        <v>0</v>
      </c>
      <c r="B29" s="303">
        <f>'Table 3-A| Emission Units'!$C86</f>
        <v>30502006</v>
      </c>
      <c r="C29" s="305">
        <f>IF($A29=$A28,0,IF('Table 6-A| Controls &amp; Limits'!$C$26="Yes",'Table 6-A| Controls &amp; Limits'!$E$26*0.05,'Table 6-A| Controls &amp; Limits'!$D$26*0.05))</f>
        <v>0</v>
      </c>
      <c r="D29" s="386" t="str">
        <f>'Table 5-B| Reclaim MPTE'!D62</f>
        <v>tons</v>
      </c>
      <c r="E29" s="387">
        <f>IFERROR(IFERROR(1-VLOOKUP('Table 6-A| Controls &amp; Limits'!$K$26,'Emission Controls'!$A$20:$L$33,4,),1)*('Table 5-B| Reclaim MPTE'!G62*($C29/'Table 5-B| Reclaim MPTE'!$E62)),0)</f>
        <v>0</v>
      </c>
      <c r="F29" s="388">
        <f>IFERROR(IFERROR(1-VLOOKUP('Table 6-A| Controls &amp; Limits'!$K$26,'Emission Controls'!$A$20:$L$33,5,),1)*('Table 5-B| Reclaim MPTE'!H62*($C29/'Table 5-B| Reclaim MPTE'!$E62)),0)</f>
        <v>0</v>
      </c>
      <c r="G29" s="388">
        <f>IFERROR(IFERROR(1-VLOOKUP('Table 6-A| Controls &amp; Limits'!$K$26,'Emission Controls'!$A$20:$L$33,6,),1)*('Table 5-B| Reclaim MPTE'!I62*($C29/'Table 5-B| Reclaim MPTE'!$E62)),0)</f>
        <v>0</v>
      </c>
      <c r="H29" s="388">
        <f>IFERROR(IFERROR(1-VLOOKUP('Table 6-A| Controls &amp; Limits'!$K$26,'Emission Controls'!$A$20:$L$33,7,),1)*('Table 5-B| Reclaim MPTE'!J62*($C29/'Table 5-B| Reclaim MPTE'!$E62)),0)</f>
        <v>0</v>
      </c>
      <c r="I29" s="388">
        <f>IFERROR(IFERROR(1-VLOOKUP('Table 6-A| Controls &amp; Limits'!$K$26,'Emission Controls'!$A$20:$L$33,8,),1)*('Table 5-B| Reclaim MPTE'!K62*($C29/'Table 5-B| Reclaim MPTE'!$E62)),0)</f>
        <v>0</v>
      </c>
      <c r="J29" s="388">
        <f>IFERROR(IFERROR(1-VLOOKUP('Table 6-A| Controls &amp; Limits'!$K$26,'Emission Controls'!$A$20:$L$33,9,),1)*('Table 5-B| Reclaim MPTE'!L62*($C29/'Table 5-B| Reclaim MPTE'!$E62)),0)</f>
        <v>0</v>
      </c>
      <c r="K29" s="388">
        <f>IFERROR(IFERROR(1-VLOOKUP('Table 6-A| Controls &amp; Limits'!$K$26,'Emission Controls'!$A$20:$L$33,10,),1)*('Table 5-B| Reclaim MPTE'!M62*($C29/'Table 5-B| Reclaim MPTE'!$E62)),0)</f>
        <v>0</v>
      </c>
      <c r="L29" s="388">
        <f>IFERROR(IFERROR(1-VLOOKUP('Table 6-A| Controls &amp; Limits'!$K$26,'Emission Controls'!$A$20:$L$33,11,),1)*('Table 5-B| Reclaim MPTE'!N62*($C29/'Table 5-B| Reclaim MPTE'!$E62)),0)</f>
        <v>0</v>
      </c>
      <c r="M29" s="389">
        <f>IFERROR(IFERROR(1-VLOOKUP('Table 6-A| Controls &amp; Limits'!$K$26,'Emission Controls'!$A$20:$L$33,12,),1)*('Table 5-B| Reclaim MPTE'!O62*($C29/'Table 5-B| Reclaim MPTE'!$E62)),0)</f>
        <v>0</v>
      </c>
      <c r="Q29" s="1449" t="s">
        <v>2297</v>
      </c>
      <c r="R29" s="1385"/>
      <c r="S29" s="593">
        <f>IFERROR('Table 5-B| Reclaim MPTE'!AF88*('Table 7-B| Reclaim APTE'!S15/'Table 5-B| Reclaim MPTE'!AF74),0)</f>
        <v>0</v>
      </c>
      <c r="T29" s="593">
        <f>IFERROR('Table 5-B| Reclaim MPTE'!AG88*('Table 7-B| Reclaim APTE'!T15/'Table 5-B| Reclaim MPTE'!AG74),0)</f>
        <v>0</v>
      </c>
      <c r="U29" s="593">
        <f>IFERROR('Table 5-B| Reclaim MPTE'!AH88*('Table 7-B| Reclaim APTE'!U15/'Table 5-B| Reclaim MPTE'!AH74),0)</f>
        <v>0</v>
      </c>
      <c r="V29" s="593">
        <f>IFERROR('Table 5-B| Reclaim MPTE'!AI88*('Table 7-B| Reclaim APTE'!V15/'Table 5-B| Reclaim MPTE'!AI74),0)</f>
        <v>0</v>
      </c>
      <c r="W29" s="593">
        <f>IFERROR('Table 5-B| Reclaim MPTE'!AJ88*('Table 7-B| Reclaim APTE'!W15/'Table 5-B| Reclaim MPTE'!AJ74),0)</f>
        <v>0</v>
      </c>
      <c r="X29" s="593">
        <f>IFERROR('Table 5-B| Reclaim MPTE'!AK88*('Table 7-B| Reclaim APTE'!X15/'Table 5-B| Reclaim MPTE'!AK74),0)</f>
        <v>0</v>
      </c>
      <c r="Y29" s="593">
        <f>IFERROR('Table 5-B| Reclaim MPTE'!AL88*('Table 7-B| Reclaim APTE'!Y15/'Table 5-B| Reclaim MPTE'!AL74),0)</f>
        <v>0</v>
      </c>
      <c r="Z29" s="593">
        <f>IFERROR('Table 5-B| Reclaim MPTE'!AM88*('Table 7-B| Reclaim APTE'!Z15/'Table 5-B| Reclaim MPTE'!AM74),0)</f>
        <v>0</v>
      </c>
      <c r="AA29" s="593">
        <f>IFERROR('Table 5-B| Reclaim MPTE'!AN88*('Table 7-B| Reclaim APTE'!AA15/'Table 5-B| Reclaim MPTE'!AN74),0)</f>
        <v>0</v>
      </c>
      <c r="AB29" s="593">
        <f>IFERROR('Table 5-B| Reclaim MPTE'!AO88*('Table 7-B| Reclaim APTE'!AB15/'Table 5-B| Reclaim MPTE'!AO74),0)</f>
        <v>0</v>
      </c>
      <c r="AC29" s="593">
        <f>IFERROR('Table 5-B| Reclaim MPTE'!AP88*('Table 7-B| Reclaim APTE'!AC15/'Table 5-B| Reclaim MPTE'!AP74),0)</f>
        <v>0</v>
      </c>
      <c r="AD29" s="593">
        <f>IFERROR('Table 5-B| Reclaim MPTE'!AQ88*('Table 7-B| Reclaim APTE'!AD15/'Table 5-B| Reclaim MPTE'!AQ74),0)</f>
        <v>0</v>
      </c>
    </row>
    <row r="30" spans="1:30" ht="18" customHeight="1" x14ac:dyDescent="0.25">
      <c r="A30" s="302">
        <f>IF(OR('Table 3-A| Emission Units'!$A87=0,'Table 3-A| Emission Units'!$B87=0),0,'Table 3-A| Emission Units'!$A87&amp;"-"&amp;'Table 3-A| Emission Units'!$B87)</f>
        <v>0</v>
      </c>
      <c r="B30" s="303">
        <f>'Table 3-A| Emission Units'!$C87</f>
        <v>30501123</v>
      </c>
      <c r="C30" s="305">
        <f>IF($A30=$A29,0,IF('Table 6-A| Controls &amp; Limits'!$C$26="Yes",'Table 6-A| Controls &amp; Limits'!$E$26*0.05,'Table 6-A| Controls &amp; Limits'!$D$26*0.05))</f>
        <v>0</v>
      </c>
      <c r="D30" s="386" t="str">
        <f>'Table 5-B| Reclaim MPTE'!D63</f>
        <v>tons</v>
      </c>
      <c r="E30" s="387">
        <f>IFERROR(IFERROR(1-VLOOKUP('Table 6-A| Controls &amp; Limits'!$K$26,'Emission Controls'!$A$20:$L$33,4,),1)*('Table 5-B| Reclaim MPTE'!G63*($C30/'Table 5-B| Reclaim MPTE'!$E63)),0)</f>
        <v>0</v>
      </c>
      <c r="F30" s="388">
        <f>IFERROR(IFERROR(1-VLOOKUP('Table 6-A| Controls &amp; Limits'!$K$26,'Emission Controls'!$A$20:$L$33,5,),1)*('Table 5-B| Reclaim MPTE'!H63*($C30/'Table 5-B| Reclaim MPTE'!$E63)),0)</f>
        <v>0</v>
      </c>
      <c r="G30" s="388">
        <f>IFERROR(IFERROR(1-VLOOKUP('Table 6-A| Controls &amp; Limits'!$K$26,'Emission Controls'!$A$20:$L$33,6,),1)*('Table 5-B| Reclaim MPTE'!I63*($C30/'Table 5-B| Reclaim MPTE'!$E63)),0)</f>
        <v>0</v>
      </c>
      <c r="H30" s="388">
        <f>IFERROR(IFERROR(1-VLOOKUP('Table 6-A| Controls &amp; Limits'!$K$26,'Emission Controls'!$A$20:$L$33,7,),1)*('Table 5-B| Reclaim MPTE'!J63*($C30/'Table 5-B| Reclaim MPTE'!$E63)),0)</f>
        <v>0</v>
      </c>
      <c r="I30" s="388">
        <f>IFERROR(IFERROR(1-VLOOKUP('Table 6-A| Controls &amp; Limits'!$K$26,'Emission Controls'!$A$20:$L$33,8,),1)*('Table 5-B| Reclaim MPTE'!K63*($C30/'Table 5-B| Reclaim MPTE'!$E63)),0)</f>
        <v>0</v>
      </c>
      <c r="J30" s="388">
        <f>IFERROR(IFERROR(1-VLOOKUP('Table 6-A| Controls &amp; Limits'!$K$26,'Emission Controls'!$A$20:$L$33,9,),1)*('Table 5-B| Reclaim MPTE'!L63*($C30/'Table 5-B| Reclaim MPTE'!$E63)),0)</f>
        <v>0</v>
      </c>
      <c r="K30" s="388">
        <f>IFERROR(IFERROR(1-VLOOKUP('Table 6-A| Controls &amp; Limits'!$K$26,'Emission Controls'!$A$20:$L$33,10,),1)*('Table 5-B| Reclaim MPTE'!M63*($C30/'Table 5-B| Reclaim MPTE'!$E63)),0)</f>
        <v>0</v>
      </c>
      <c r="L30" s="388">
        <f>IFERROR(IFERROR(1-VLOOKUP('Table 6-A| Controls &amp; Limits'!$K$26,'Emission Controls'!$A$20:$L$33,11,),1)*('Table 5-B| Reclaim MPTE'!N63*($C30/'Table 5-B| Reclaim MPTE'!$E63)),0)</f>
        <v>0</v>
      </c>
      <c r="M30" s="389">
        <f>IFERROR(IFERROR(1-VLOOKUP('Table 6-A| Controls &amp; Limits'!$K$26,'Emission Controls'!$A$20:$L$33,12,),1)*('Table 5-B| Reclaim MPTE'!O63*($C30/'Table 5-B| Reclaim MPTE'!$E63)),0)</f>
        <v>0</v>
      </c>
      <c r="Q30" s="1449" t="s">
        <v>2298</v>
      </c>
      <c r="R30" s="1385"/>
      <c r="S30" s="713"/>
      <c r="T30" s="713"/>
      <c r="U30" s="713"/>
      <c r="V30" s="713"/>
      <c r="W30" s="713"/>
      <c r="X30" s="713"/>
      <c r="Y30" s="593">
        <f>IFERROR('Table 5-B| Reclaim MPTE'!AL89*('Table 7-B| Reclaim APTE'!Y16/'Table 5-B| Reclaim MPTE'!AL75),0)</f>
        <v>0</v>
      </c>
      <c r="Z30" s="593">
        <f>IFERROR('Table 5-B| Reclaim MPTE'!AM89*('Table 7-B| Reclaim APTE'!Z16/'Table 5-B| Reclaim MPTE'!AM75),0)</f>
        <v>0</v>
      </c>
      <c r="AA30" s="593">
        <f>IFERROR('Table 5-B| Reclaim MPTE'!AN89*('Table 7-B| Reclaim APTE'!AA16/'Table 5-B| Reclaim MPTE'!AN75),0)</f>
        <v>0</v>
      </c>
      <c r="AB30" s="593">
        <f>IFERROR('Table 5-B| Reclaim MPTE'!AO89*('Table 7-B| Reclaim APTE'!AB16/'Table 5-B| Reclaim MPTE'!AO75),0)</f>
        <v>0</v>
      </c>
      <c r="AC30" s="593">
        <f>IFERROR('Table 5-B| Reclaim MPTE'!AP89*('Table 7-B| Reclaim APTE'!AC16/'Table 5-B| Reclaim MPTE'!AP75),0)</f>
        <v>0</v>
      </c>
      <c r="AD30" s="593">
        <f>IFERROR('Table 5-B| Reclaim MPTE'!AQ89*('Table 7-B| Reclaim APTE'!AD16/'Table 5-B| Reclaim MPTE'!AQ75),0)</f>
        <v>0</v>
      </c>
    </row>
    <row r="31" spans="1:30" ht="18" customHeight="1" x14ac:dyDescent="0.25">
      <c r="A31" s="302">
        <f>IF(OR('Table 3-A| Emission Units'!$A88=0,'Table 3-A| Emission Units'!$B88=0),0,'Table 3-A| Emission Units'!$A88&amp;"-"&amp;'Table 3-A| Emission Units'!$B88)</f>
        <v>0</v>
      </c>
      <c r="B31" s="303">
        <f>'Table 3-A| Emission Units'!$C88</f>
        <v>30502002</v>
      </c>
      <c r="C31" s="305">
        <f>IF($A31=$A30,0,IF('Table 6-A| Controls &amp; Limits'!$C$26="Yes",'Table 6-A| Controls &amp; Limits'!$E$26*0.05,'Table 6-A| Controls &amp; Limits'!$D$26*0.05))</f>
        <v>0</v>
      </c>
      <c r="D31" s="386" t="str">
        <f>'Table 5-B| Reclaim MPTE'!D64</f>
        <v>tons</v>
      </c>
      <c r="E31" s="387">
        <f>IFERROR(IFERROR(1-VLOOKUP('Table 6-A| Controls &amp; Limits'!$K$26,'Emission Controls'!$A$20:$L$33,4,),1)*('Table 5-B| Reclaim MPTE'!G64*($C31/'Table 5-B| Reclaim MPTE'!$E64)),0)</f>
        <v>0</v>
      </c>
      <c r="F31" s="388">
        <f>IFERROR(IFERROR(1-VLOOKUP('Table 6-A| Controls &amp; Limits'!$K$26,'Emission Controls'!$A$20:$L$33,5,),1)*('Table 5-B| Reclaim MPTE'!H64*($C31/'Table 5-B| Reclaim MPTE'!$E64)),0)</f>
        <v>0</v>
      </c>
      <c r="G31" s="388">
        <f>IFERROR(IFERROR(1-VLOOKUP('Table 6-A| Controls &amp; Limits'!$K$26,'Emission Controls'!$A$20:$L$33,6,),1)*('Table 5-B| Reclaim MPTE'!I64*($C31/'Table 5-B| Reclaim MPTE'!$E64)),0)</f>
        <v>0</v>
      </c>
      <c r="H31" s="388">
        <f>IFERROR(IFERROR(1-VLOOKUP('Table 6-A| Controls &amp; Limits'!$K$26,'Emission Controls'!$A$20:$L$33,7,),1)*('Table 5-B| Reclaim MPTE'!J64*($C31/'Table 5-B| Reclaim MPTE'!$E64)),0)</f>
        <v>0</v>
      </c>
      <c r="I31" s="388">
        <f>IFERROR(IFERROR(1-VLOOKUP('Table 6-A| Controls &amp; Limits'!$K$26,'Emission Controls'!$A$20:$L$33,8,),1)*('Table 5-B| Reclaim MPTE'!K64*($C31/'Table 5-B| Reclaim MPTE'!$E64)),0)</f>
        <v>0</v>
      </c>
      <c r="J31" s="388">
        <f>IFERROR(IFERROR(1-VLOOKUP('Table 6-A| Controls &amp; Limits'!$K$26,'Emission Controls'!$A$20:$L$33,9,),1)*('Table 5-B| Reclaim MPTE'!L64*($C31/'Table 5-B| Reclaim MPTE'!$E64)),0)</f>
        <v>0</v>
      </c>
      <c r="K31" s="388">
        <f>IFERROR(IFERROR(1-VLOOKUP('Table 6-A| Controls &amp; Limits'!$K$26,'Emission Controls'!$A$20:$L$33,10,),1)*('Table 5-B| Reclaim MPTE'!M64*($C31/'Table 5-B| Reclaim MPTE'!$E64)),0)</f>
        <v>0</v>
      </c>
      <c r="L31" s="388">
        <f>IFERROR(IFERROR(1-VLOOKUP('Table 6-A| Controls &amp; Limits'!$K$26,'Emission Controls'!$A$20:$L$33,11,),1)*('Table 5-B| Reclaim MPTE'!N64*($C31/'Table 5-B| Reclaim MPTE'!$E64)),0)</f>
        <v>0</v>
      </c>
      <c r="M31" s="389">
        <f>IFERROR(IFERROR(1-VLOOKUP('Table 6-A| Controls &amp; Limits'!$K$26,'Emission Controls'!$A$20:$L$33,12,),1)*('Table 5-B| Reclaim MPTE'!O64*($C31/'Table 5-B| Reclaim MPTE'!$E64)),0)</f>
        <v>0</v>
      </c>
      <c r="Q31" s="1449" t="s">
        <v>2299</v>
      </c>
      <c r="R31" s="1385"/>
      <c r="S31" s="713"/>
      <c r="T31" s="713"/>
      <c r="U31" s="713"/>
      <c r="V31" s="713"/>
      <c r="W31" s="713"/>
      <c r="X31" s="713"/>
      <c r="Y31" s="593">
        <f>IFERROR('Table 5-B| Reclaim MPTE'!AL90*('Table 7-B| Reclaim APTE'!Y17/'Table 5-B| Reclaim MPTE'!AL76),0)</f>
        <v>0</v>
      </c>
      <c r="Z31" s="593">
        <f>IFERROR('Table 5-B| Reclaim MPTE'!AM90*('Table 7-B| Reclaim APTE'!Z17/'Table 5-B| Reclaim MPTE'!AM76),0)</f>
        <v>0</v>
      </c>
      <c r="AA31" s="593">
        <f>IFERROR('Table 5-B| Reclaim MPTE'!AN90*('Table 7-B| Reclaim APTE'!AA17/'Table 5-B| Reclaim MPTE'!AN76),0)</f>
        <v>0</v>
      </c>
      <c r="AB31" s="593">
        <f>IFERROR('Table 5-B| Reclaim MPTE'!AO90*('Table 7-B| Reclaim APTE'!AB17/'Table 5-B| Reclaim MPTE'!AO76),0)</f>
        <v>0</v>
      </c>
      <c r="AC31" s="593">
        <f>IFERROR('Table 5-B| Reclaim MPTE'!AP90*('Table 7-B| Reclaim APTE'!AC17/'Table 5-B| Reclaim MPTE'!AP76),0)</f>
        <v>0</v>
      </c>
      <c r="AD31" s="593">
        <f>IFERROR('Table 5-B| Reclaim MPTE'!AQ90*('Table 7-B| Reclaim APTE'!AD17/'Table 5-B| Reclaim MPTE'!AQ76),0)</f>
        <v>0</v>
      </c>
    </row>
    <row r="32" spans="1:30" ht="18" customHeight="1" thickBot="1" x14ac:dyDescent="0.3">
      <c r="A32" s="302">
        <f>IF(OR('Table 3-A| Emission Units'!$A89=0,'Table 3-A| Emission Units'!$B89=0),0,'Table 3-A| Emission Units'!$A89&amp;"-"&amp;'Table 3-A| Emission Units'!$B89)</f>
        <v>0</v>
      </c>
      <c r="B32" s="303">
        <f>'Table 3-A| Emission Units'!$C89</f>
        <v>30502006</v>
      </c>
      <c r="C32" s="305">
        <f>IF($A32=$A31,0,IF('Table 6-A| Controls &amp; Limits'!$C$26="Yes",'Table 6-A| Controls &amp; Limits'!$E$26,'Table 6-A| Controls &amp; Limits'!$D$26))</f>
        <v>0</v>
      </c>
      <c r="D32" s="386" t="str">
        <f>'Table 5-B| Reclaim MPTE'!D65</f>
        <v>tons</v>
      </c>
      <c r="E32" s="387">
        <f>IFERROR(IFERROR(1-VLOOKUP('Table 6-A| Controls &amp; Limits'!$K$26,'Emission Controls'!$A$20:$L$33,4,),1)*('Table 5-B| Reclaim MPTE'!G65*($C32/'Table 5-B| Reclaim MPTE'!$E65)),0)</f>
        <v>0</v>
      </c>
      <c r="F32" s="388">
        <f>IFERROR(IFERROR(1-VLOOKUP('Table 6-A| Controls &amp; Limits'!$K$26,'Emission Controls'!$A$20:$L$33,5,),1)*('Table 5-B| Reclaim MPTE'!H65*($C32/'Table 5-B| Reclaim MPTE'!$E65)),0)</f>
        <v>0</v>
      </c>
      <c r="G32" s="388">
        <f>IFERROR(IFERROR(1-VLOOKUP('Table 6-A| Controls &amp; Limits'!$K$26,'Emission Controls'!$A$20:$L$33,6,),1)*('Table 5-B| Reclaim MPTE'!I65*($C32/'Table 5-B| Reclaim MPTE'!$E65)),0)</f>
        <v>0</v>
      </c>
      <c r="H32" s="388">
        <f>IFERROR(IFERROR(1-VLOOKUP('Table 6-A| Controls &amp; Limits'!$K$26,'Emission Controls'!$A$20:$L$33,7,),1)*('Table 5-B| Reclaim MPTE'!J65*($C32/'Table 5-B| Reclaim MPTE'!$E65)),0)</f>
        <v>0</v>
      </c>
      <c r="I32" s="388">
        <f>IFERROR(IFERROR(1-VLOOKUP('Table 6-A| Controls &amp; Limits'!$K$26,'Emission Controls'!$A$20:$L$33,8,),1)*('Table 5-B| Reclaim MPTE'!K65*($C32/'Table 5-B| Reclaim MPTE'!$E65)),0)</f>
        <v>0</v>
      </c>
      <c r="J32" s="388">
        <f>IFERROR(IFERROR(1-VLOOKUP('Table 6-A| Controls &amp; Limits'!$K$26,'Emission Controls'!$A$20:$L$33,9,),1)*('Table 5-B| Reclaim MPTE'!L65*($C32/'Table 5-B| Reclaim MPTE'!$E65)),0)</f>
        <v>0</v>
      </c>
      <c r="K32" s="388">
        <f>IFERROR(IFERROR(1-VLOOKUP('Table 6-A| Controls &amp; Limits'!$K$26,'Emission Controls'!$A$20:$L$33,10,),1)*('Table 5-B| Reclaim MPTE'!M65*($C32/'Table 5-B| Reclaim MPTE'!$E65)),0)</f>
        <v>0</v>
      </c>
      <c r="L32" s="388">
        <f>IFERROR(IFERROR(1-VLOOKUP('Table 6-A| Controls &amp; Limits'!$K$26,'Emission Controls'!$A$20:$L$33,11,),1)*('Table 5-B| Reclaim MPTE'!N65*($C32/'Table 5-B| Reclaim MPTE'!$E65)),0)</f>
        <v>0</v>
      </c>
      <c r="M32" s="389">
        <f>IFERROR(IFERROR(1-VLOOKUP('Table 6-A| Controls &amp; Limits'!$K$26,'Emission Controls'!$A$20:$L$33,12,),1)*('Table 5-B| Reclaim MPTE'!O65*($C32/'Table 5-B| Reclaim MPTE'!$E65)),0)</f>
        <v>0</v>
      </c>
    </row>
    <row r="33" spans="1:25" ht="18" customHeight="1" x14ac:dyDescent="0.25">
      <c r="A33" s="302">
        <f>IF(OR('Table 3-A| Emission Units'!$A90=0,'Table 3-A| Emission Units'!$B90=0),0,'Table 3-A| Emission Units'!$A90&amp;"-"&amp;'Table 3-A| Emission Units'!$B90)</f>
        <v>0</v>
      </c>
      <c r="B33" s="303">
        <f>'Table 3-A| Emission Units'!$C90</f>
        <v>30501123</v>
      </c>
      <c r="C33" s="305">
        <f>IF($A33=$A32,0,IF('Table 6-A| Controls &amp; Limits'!$C$26="Yes",'Table 6-A| Controls &amp; Limits'!$E$26,'Table 6-A| Controls &amp; Limits'!$D$26))</f>
        <v>0</v>
      </c>
      <c r="D33" s="386" t="str">
        <f>'Table 5-B| Reclaim MPTE'!D66</f>
        <v>tons</v>
      </c>
      <c r="E33" s="387">
        <f>IFERROR(IFERROR(1-VLOOKUP('Table 6-A| Controls &amp; Limits'!$K$26,'Emission Controls'!$A$20:$L$33,4,),1)*('Table 5-B| Reclaim MPTE'!G66*($C33/'Table 5-B| Reclaim MPTE'!$E66)),0)</f>
        <v>0</v>
      </c>
      <c r="F33" s="388">
        <f>IFERROR(IFERROR(1-VLOOKUP('Table 6-A| Controls &amp; Limits'!$K$26,'Emission Controls'!$A$20:$L$33,5,),1)*('Table 5-B| Reclaim MPTE'!H66*($C33/'Table 5-B| Reclaim MPTE'!$E66)),0)</f>
        <v>0</v>
      </c>
      <c r="G33" s="388">
        <f>IFERROR(IFERROR(1-VLOOKUP('Table 6-A| Controls &amp; Limits'!$K$26,'Emission Controls'!$A$20:$L$33,6,),1)*('Table 5-B| Reclaim MPTE'!I66*($C33/'Table 5-B| Reclaim MPTE'!$E66)),0)</f>
        <v>0</v>
      </c>
      <c r="H33" s="388">
        <f>IFERROR(IFERROR(1-VLOOKUP('Table 6-A| Controls &amp; Limits'!$K$26,'Emission Controls'!$A$20:$L$33,7,),1)*('Table 5-B| Reclaim MPTE'!J66*($C33/'Table 5-B| Reclaim MPTE'!$E66)),0)</f>
        <v>0</v>
      </c>
      <c r="I33" s="388">
        <f>IFERROR(IFERROR(1-VLOOKUP('Table 6-A| Controls &amp; Limits'!$K$26,'Emission Controls'!$A$20:$L$33,8,),1)*('Table 5-B| Reclaim MPTE'!K66*($C33/'Table 5-B| Reclaim MPTE'!$E66)),0)</f>
        <v>0</v>
      </c>
      <c r="J33" s="388">
        <f>IFERROR(IFERROR(1-VLOOKUP('Table 6-A| Controls &amp; Limits'!$K$26,'Emission Controls'!$A$20:$L$33,9,),1)*('Table 5-B| Reclaim MPTE'!L66*($C33/'Table 5-B| Reclaim MPTE'!$E66)),0)</f>
        <v>0</v>
      </c>
      <c r="K33" s="388">
        <f>IFERROR(IFERROR(1-VLOOKUP('Table 6-A| Controls &amp; Limits'!$K$26,'Emission Controls'!$A$20:$L$33,10,),1)*('Table 5-B| Reclaim MPTE'!M66*($C33/'Table 5-B| Reclaim MPTE'!$E66)),0)</f>
        <v>0</v>
      </c>
      <c r="L33" s="388">
        <f>IFERROR(IFERROR(1-VLOOKUP('Table 6-A| Controls &amp; Limits'!$K$26,'Emission Controls'!$A$20:$L$33,11,),1)*('Table 5-B| Reclaim MPTE'!N66*($C33/'Table 5-B| Reclaim MPTE'!$E66)),0)</f>
        <v>0</v>
      </c>
      <c r="M33" s="389">
        <f>IFERROR(IFERROR(1-VLOOKUP('Table 6-A| Controls &amp; Limits'!$K$26,'Emission Controls'!$A$20:$L$33,12,),1)*('Table 5-B| Reclaim MPTE'!O66*($C33/'Table 5-B| Reclaim MPTE'!$E66)),0)</f>
        <v>0</v>
      </c>
      <c r="Q33" s="1391" t="str">
        <f>'Table 5-B| Reclaim MPTE'!S83</f>
        <v>Haul Road Emission Totals for Crushing &amp; Screening</v>
      </c>
      <c r="R33" s="1392">
        <f>'Table 5-A| Primary MPTE'!T118</f>
        <v>0</v>
      </c>
      <c r="S33" s="1392">
        <f>'Table 5-A| Primary MPTE'!U118</f>
        <v>0</v>
      </c>
      <c r="T33" s="1392">
        <f>'Table 5-A| Primary MPTE'!V118</f>
        <v>0</v>
      </c>
      <c r="U33" s="1392">
        <f>'Table 5-A| Primary MPTE'!W118</f>
        <v>0</v>
      </c>
      <c r="V33" s="1392">
        <f>'Table 5-A| Primary MPTE'!X118</f>
        <v>0</v>
      </c>
      <c r="W33" s="1392">
        <f>'Table 5-A| Primary MPTE'!Y118</f>
        <v>0</v>
      </c>
      <c r="X33" s="1392">
        <f>'Table 5-A| Primary MPTE'!Z118</f>
        <v>0</v>
      </c>
      <c r="Y33" s="1393">
        <f>'Table 5-A| Primary MPTE'!AA118</f>
        <v>0</v>
      </c>
    </row>
    <row r="34" spans="1:25" ht="18" customHeight="1" thickBot="1" x14ac:dyDescent="0.3">
      <c r="A34" s="309">
        <f>IF(OR('Table 3-A| Emission Units'!$A91=0,'Table 3-A| Emission Units'!$B91=0),0,'Table 3-A| Emission Units'!$A91&amp;"-"&amp;'Table 3-A| Emission Units'!$B91)</f>
        <v>0</v>
      </c>
      <c r="B34" s="310">
        <f>'Table 3-A| Emission Units'!$C91</f>
        <v>30502032</v>
      </c>
      <c r="C34" s="312">
        <f>IF($A34=$A33,0,IF('Table 6-A| Controls &amp; Limits'!$C$26="Yes",'Table 6-A| Controls &amp; Limits'!$E$26,'Table 6-A| Controls &amp; Limits'!$D$26))</f>
        <v>0</v>
      </c>
      <c r="D34" s="390" t="str">
        <f>'Table 5-B| Reclaim MPTE'!D67</f>
        <v>tons</v>
      </c>
      <c r="E34" s="391">
        <f>IFERROR(('Table 5-B| Reclaim MPTE'!G67*($C34/'Table 5-B| Reclaim MPTE'!$E67)),0)</f>
        <v>0</v>
      </c>
      <c r="F34" s="392">
        <f>IFERROR(('Table 5-B| Reclaim MPTE'!H67*($C34/'Table 5-B| Reclaim MPTE'!$E67)),0)</f>
        <v>0</v>
      </c>
      <c r="G34" s="392">
        <f>IFERROR(IFERROR(1-VLOOKUP('Table 6-A| Controls &amp; Limits'!$K$26,'Emission Controls'!$A$20:$L$33,6,),1)*('Table 5-B| Reclaim MPTE'!I67*($C34/'Table 5-B| Reclaim MPTE'!$E67)),0)</f>
        <v>0</v>
      </c>
      <c r="H34" s="392">
        <f>IFERROR(IFERROR(1-VLOOKUP('Table 6-A| Controls &amp; Limits'!$K$26,'Emission Controls'!$A$20:$L$33,7,),1)*('Table 5-B| Reclaim MPTE'!J67*($C34/'Table 5-B| Reclaim MPTE'!$E67)),0)</f>
        <v>0</v>
      </c>
      <c r="I34" s="392">
        <f>IFERROR(IFERROR(1-VLOOKUP('Table 6-A| Controls &amp; Limits'!$K$26,'Emission Controls'!$A$20:$L$33,8,),1)*('Table 5-B| Reclaim MPTE'!K67*($C34/'Table 5-B| Reclaim MPTE'!$E67)),0)</f>
        <v>0</v>
      </c>
      <c r="J34" s="392">
        <f>IFERROR(IFERROR(1-VLOOKUP('Table 6-A| Controls &amp; Limits'!$K$26,'Emission Controls'!$A$20:$L$33,9,),1)*('Table 5-B| Reclaim MPTE'!L67*($C34/'Table 5-B| Reclaim MPTE'!$E67)),0)</f>
        <v>0</v>
      </c>
      <c r="K34" s="392">
        <f>IFERROR(IFERROR(1-VLOOKUP('Table 6-A| Controls &amp; Limits'!$K$26,'Emission Controls'!$A$20:$L$33,10,),1)*('Table 5-B| Reclaim MPTE'!M67*($C34/'Table 5-B| Reclaim MPTE'!$E67)),0)</f>
        <v>0</v>
      </c>
      <c r="L34" s="392">
        <f>IFERROR(IFERROR(1-VLOOKUP('Table 6-A| Controls &amp; Limits'!$K$26,'Emission Controls'!$A$20:$L$33,11,),1)*('Table 5-B| Reclaim MPTE'!N67*($C34/'Table 5-B| Reclaim MPTE'!$E67)),0)</f>
        <v>0</v>
      </c>
      <c r="M34" s="393">
        <f>IFERROR(IFERROR(1-VLOOKUP('Table 6-A| Controls &amp; Limits'!$K$26,'Emission Controls'!$A$20:$L$33,12,),1)*('Table 5-B| Reclaim MPTE'!O67*($C34/'Table 5-B| Reclaim MPTE'!$E67)),0)</f>
        <v>0</v>
      </c>
      <c r="N34" s="1376" t="s">
        <v>2317</v>
      </c>
      <c r="O34" s="1376"/>
      <c r="P34" s="725" t="str">
        <f>'Table 5-A| Primary MPTE'!R119</f>
        <v>Trucks-&gt;</v>
      </c>
      <c r="Q34" s="679" t="str">
        <f>'Table 5-A| Primary MPTE'!S119</f>
        <v>PM10 =</v>
      </c>
      <c r="R34" s="665">
        <f>SUM(S21:X21)</f>
        <v>0</v>
      </c>
      <c r="S34" s="585" t="str">
        <f>'Table 5-A| Primary MPTE'!U119</f>
        <v>PM2.5=</v>
      </c>
      <c r="T34" s="668">
        <f>SUM(S28:X28)</f>
        <v>0</v>
      </c>
      <c r="U34" s="666"/>
      <c r="V34" s="580" t="s">
        <v>2348</v>
      </c>
      <c r="W34" s="666">
        <f>SUM(S14:X14)</f>
        <v>0</v>
      </c>
      <c r="X34" s="580"/>
      <c r="Y34" s="667"/>
    </row>
    <row r="35" spans="1:25" ht="18" customHeight="1" x14ac:dyDescent="0.25">
      <c r="A35" s="633">
        <f>IF(OR('Table 3-A| Emission Units'!$A92=0,'Table 3-A| Emission Units'!$B92=0),0,'Table 3-A| Emission Units'!$A92&amp;"-"&amp;'Table 3-A| Emission Units'!$B92)</f>
        <v>0</v>
      </c>
      <c r="B35" s="628">
        <f>'Table 3-A| Emission Units'!$C92</f>
        <v>30502031</v>
      </c>
      <c r="C35" s="635">
        <f>IF($A35=$A34,0,IF('Table 6-A| Controls &amp; Limits'!$C$27="Yes",'Table 6-A| Controls &amp; Limits'!$E$27,'Table 6-A| Controls &amp; Limits'!$D$27))</f>
        <v>0</v>
      </c>
      <c r="D35" s="627" t="str">
        <f>'Table 5-B| Reclaim MPTE'!D68</f>
        <v>tons</v>
      </c>
      <c r="E35" s="636">
        <f>IFERROR(('Table 5-B| Reclaim MPTE'!G68*($C35/'Table 5-B| Reclaim MPTE'!$E68)),0)</f>
        <v>0</v>
      </c>
      <c r="F35" s="637">
        <f>IFERROR(('Table 5-B| Reclaim MPTE'!H68*($C35/'Table 5-B| Reclaim MPTE'!$E68)),0)</f>
        <v>0</v>
      </c>
      <c r="G35" s="637">
        <f>IFERROR(IFERROR(1-VLOOKUP('Table 6-A| Controls &amp; Limits'!$K$27,'Emission Controls'!$A$20:$L$33,6,),1)*('Table 5-B| Reclaim MPTE'!I68*($C35/'Table 5-B| Reclaim MPTE'!$E68)),0)</f>
        <v>0</v>
      </c>
      <c r="H35" s="637">
        <f>IFERROR(IFERROR(1-VLOOKUP('Table 6-A| Controls &amp; Limits'!$K$27,'Emission Controls'!$A$20:$L$33,7,),1)*('Table 5-B| Reclaim MPTE'!J68*($C35/'Table 5-B| Reclaim MPTE'!$E68)),0)</f>
        <v>0</v>
      </c>
      <c r="I35" s="637">
        <f>IFERROR(IFERROR(1-VLOOKUP('Table 6-A| Controls &amp; Limits'!$K$27,'Emission Controls'!$A$20:$L$33,8,),1)*('Table 5-B| Reclaim MPTE'!K68*($C35/'Table 5-B| Reclaim MPTE'!$E68)),0)</f>
        <v>0</v>
      </c>
      <c r="J35" s="637">
        <f>IFERROR(IFERROR(1-VLOOKUP('Table 6-A| Controls &amp; Limits'!$K$27,'Emission Controls'!$A$20:$L$33,9,),1)*('Table 5-B| Reclaim MPTE'!L68*($C35/'Table 5-B| Reclaim MPTE'!$E68)),0)</f>
        <v>0</v>
      </c>
      <c r="K35" s="637">
        <f>IFERROR(IFERROR(1-VLOOKUP('Table 6-A| Controls &amp; Limits'!$K$27,'Emission Controls'!$A$20:$L$33,10,),1)*('Table 5-B| Reclaim MPTE'!M68*($C35/'Table 5-B| Reclaim MPTE'!$E68)),0)</f>
        <v>0</v>
      </c>
      <c r="L35" s="637">
        <f>IFERROR(IFERROR(1-VLOOKUP('Table 6-A| Controls &amp; Limits'!$K$27,'Emission Controls'!$A$20:$L$33,11,),1)*('Table 5-B| Reclaim MPTE'!N68*($C35/'Table 5-B| Reclaim MPTE'!$E68)),0)</f>
        <v>0</v>
      </c>
      <c r="M35" s="638">
        <f>IFERROR(IFERROR(1-VLOOKUP('Table 6-A| Controls &amp; Limits'!$K$27,'Emission Controls'!$A$20:$L$33,12,),1)*('Table 5-B| Reclaim MPTE'!O68*($C35/'Table 5-B| Reclaim MPTE'!$E68)),0)</f>
        <v>0</v>
      </c>
      <c r="N35" s="1376"/>
      <c r="O35" s="1376"/>
      <c r="P35" s="726" t="str">
        <f>'Table 5-A| Primary MPTE'!R120</f>
        <v>Loaders-&gt;</v>
      </c>
      <c r="Q35" s="584" t="str">
        <f>'Table 5-A| Primary MPTE'!S120</f>
        <v>PM10 =</v>
      </c>
      <c r="R35" s="665">
        <f>SUM(Y21:AD21,Y23:AD23)</f>
        <v>0</v>
      </c>
      <c r="S35" s="585" t="str">
        <f>'Table 5-A| Primary MPTE'!U120</f>
        <v>PM2.5=</v>
      </c>
      <c r="T35" s="668">
        <f>SUM(Y28:AD28,Y30:AD30)</f>
        <v>0</v>
      </c>
      <c r="U35" s="666"/>
      <c r="V35" s="580" t="s">
        <v>2348</v>
      </c>
      <c r="W35" s="666">
        <f>SUM(Y14:AD14,Y16:AD16)</f>
        <v>0</v>
      </c>
      <c r="X35" s="580"/>
      <c r="Y35" s="667"/>
    </row>
    <row r="36" spans="1:25" ht="18" customHeight="1" x14ac:dyDescent="0.25">
      <c r="A36" s="302">
        <f>IF(OR('Table 3-A| Emission Units'!$A93=0,'Table 3-A| Emission Units'!$B93=0),0,'Table 3-A| Emission Units'!$A93&amp;"-"&amp;'Table 3-A| Emission Units'!$B93)</f>
        <v>0</v>
      </c>
      <c r="B36" s="303">
        <f>'Table 3-A| Emission Units'!$C93</f>
        <v>30501123</v>
      </c>
      <c r="C36" s="305">
        <f>IF($A36=$A35,0,IF('Table 6-A| Controls &amp; Limits'!$C$27="Yes",'Table 6-A| Controls &amp; Limits'!$E$27,'Table 6-A| Controls &amp; Limits'!$D$27))</f>
        <v>0</v>
      </c>
      <c r="D36" s="386" t="str">
        <f>'Table 5-B| Reclaim MPTE'!D69</f>
        <v>tons</v>
      </c>
      <c r="E36" s="387">
        <f>IFERROR(('Table 5-B| Reclaim MPTE'!G69*($C36/'Table 5-B| Reclaim MPTE'!$E69)),0)</f>
        <v>0</v>
      </c>
      <c r="F36" s="388">
        <f>IFERROR(('Table 5-B| Reclaim MPTE'!H69*($C36/'Table 5-B| Reclaim MPTE'!$E69)),0)</f>
        <v>0</v>
      </c>
      <c r="G36" s="388">
        <f>IFERROR(IFERROR(1-VLOOKUP('Table 6-A| Controls &amp; Limits'!$K$27,'Emission Controls'!$A$20:$L$33,6,),1)*('Table 5-B| Reclaim MPTE'!I69*($C36/'Table 5-B| Reclaim MPTE'!$E69)),0)</f>
        <v>0</v>
      </c>
      <c r="H36" s="388">
        <f>IFERROR(IFERROR(1-VLOOKUP('Table 6-A| Controls &amp; Limits'!$K$27,'Emission Controls'!$A$20:$L$33,7,),1)*('Table 5-B| Reclaim MPTE'!J69*($C36/'Table 5-B| Reclaim MPTE'!$E69)),0)</f>
        <v>0</v>
      </c>
      <c r="I36" s="388">
        <f>IFERROR(IFERROR(1-VLOOKUP('Table 6-A| Controls &amp; Limits'!$K$27,'Emission Controls'!$A$20:$L$33,8,),1)*('Table 5-B| Reclaim MPTE'!K69*($C36/'Table 5-B| Reclaim MPTE'!$E69)),0)</f>
        <v>0</v>
      </c>
      <c r="J36" s="388">
        <f>IFERROR(IFERROR(1-VLOOKUP('Table 6-A| Controls &amp; Limits'!$K$27,'Emission Controls'!$A$20:$L$33,9,),1)*('Table 5-B| Reclaim MPTE'!L69*($C36/'Table 5-B| Reclaim MPTE'!$E69)),0)</f>
        <v>0</v>
      </c>
      <c r="K36" s="388">
        <f>IFERROR(IFERROR(1-VLOOKUP('Table 6-A| Controls &amp; Limits'!$K$27,'Emission Controls'!$A$20:$L$33,10,),1)*('Table 5-B| Reclaim MPTE'!M69*($C36/'Table 5-B| Reclaim MPTE'!$E69)),0)</f>
        <v>0</v>
      </c>
      <c r="L36" s="388">
        <f>IFERROR(IFERROR(1-VLOOKUP('Table 6-A| Controls &amp; Limits'!$K$27,'Emission Controls'!$A$20:$L$33,11,),1)*('Table 5-B| Reclaim MPTE'!N69*($C36/'Table 5-B| Reclaim MPTE'!$E69)),0)</f>
        <v>0</v>
      </c>
      <c r="M36" s="389">
        <f>IFERROR(IFERROR(1-VLOOKUP('Table 6-A| Controls &amp; Limits'!$K$27,'Emission Controls'!$A$20:$L$33,12,),1)*('Table 5-B| Reclaim MPTE'!O69*($C36/'Table 5-B| Reclaim MPTE'!$E69)),0)</f>
        <v>0</v>
      </c>
      <c r="N36" s="1376" t="s">
        <v>2318</v>
      </c>
      <c r="O36" s="1376"/>
      <c r="P36" s="726" t="str">
        <f>'Table 5-A| Primary MPTE'!R121</f>
        <v>Trucks-&gt;</v>
      </c>
      <c r="Q36" s="582" t="str">
        <f>'Table 5-A| Primary MPTE'!S121</f>
        <v>PM10 =</v>
      </c>
      <c r="R36" s="666">
        <f>SUM(S22:X22)</f>
        <v>0</v>
      </c>
      <c r="S36" s="580" t="str">
        <f>'Table 5-A| Primary MPTE'!U121</f>
        <v>PM2.5=</v>
      </c>
      <c r="T36" s="668">
        <f>SUM(S29:X29)</f>
        <v>0</v>
      </c>
      <c r="U36" s="666"/>
      <c r="V36" s="580" t="s">
        <v>2348</v>
      </c>
      <c r="W36" s="666">
        <f>SUM(S15:X15)</f>
        <v>0</v>
      </c>
      <c r="X36" s="580"/>
      <c r="Y36" s="667"/>
    </row>
    <row r="37" spans="1:25" ht="18" customHeight="1" thickBot="1" x14ac:dyDescent="0.3">
      <c r="A37" s="302">
        <f>IF(OR('Table 3-A| Emission Units'!$A94=0,'Table 3-A| Emission Units'!$B94=0),0,'Table 3-A| Emission Units'!$A94&amp;"-"&amp;'Table 3-A| Emission Units'!$B94)</f>
        <v>0</v>
      </c>
      <c r="B37" s="303">
        <f>'Table 3-A| Emission Units'!$C94</f>
        <v>30501123</v>
      </c>
      <c r="C37" s="305">
        <f>IF($A37=$A36,0,IF('Table 6-A| Controls &amp; Limits'!$C$27="Yes",'Table 6-A| Controls &amp; Limits'!$E$27,'Table 6-A| Controls &amp; Limits'!$D$27))</f>
        <v>0</v>
      </c>
      <c r="D37" s="386" t="str">
        <f>'Table 5-B| Reclaim MPTE'!D70</f>
        <v>tons</v>
      </c>
      <c r="E37" s="387">
        <f>IFERROR(('Table 5-B| Reclaim MPTE'!G70*($C37/'Table 5-B| Reclaim MPTE'!$E70)),0)</f>
        <v>0</v>
      </c>
      <c r="F37" s="388">
        <f>IFERROR(('Table 5-B| Reclaim MPTE'!H70*($C37/'Table 5-B| Reclaim MPTE'!$E70)),0)</f>
        <v>0</v>
      </c>
      <c r="G37" s="388">
        <f>IFERROR(IFERROR(1-VLOOKUP('Table 6-A| Controls &amp; Limits'!$K$27,'Emission Controls'!$A$20:$L$33,6,),1)*('Table 5-B| Reclaim MPTE'!I70*($C37/'Table 5-B| Reclaim MPTE'!$E70)),0)</f>
        <v>0</v>
      </c>
      <c r="H37" s="388">
        <f>IFERROR(IFERROR(1-VLOOKUP('Table 6-A| Controls &amp; Limits'!$K$27,'Emission Controls'!$A$20:$L$33,7,),1)*('Table 5-B| Reclaim MPTE'!J70*($C37/'Table 5-B| Reclaim MPTE'!$E70)),0)</f>
        <v>0</v>
      </c>
      <c r="I37" s="388">
        <f>IFERROR(IFERROR(1-VLOOKUP('Table 6-A| Controls &amp; Limits'!$K$27,'Emission Controls'!$A$20:$L$33,8,),1)*('Table 5-B| Reclaim MPTE'!K70*($C37/'Table 5-B| Reclaim MPTE'!$E70)),0)</f>
        <v>0</v>
      </c>
      <c r="J37" s="388">
        <f>IFERROR(IFERROR(1-VLOOKUP('Table 6-A| Controls &amp; Limits'!$K$27,'Emission Controls'!$A$20:$L$33,9,),1)*('Table 5-B| Reclaim MPTE'!L70*($C37/'Table 5-B| Reclaim MPTE'!$E70)),0)</f>
        <v>0</v>
      </c>
      <c r="K37" s="388">
        <f>IFERROR(IFERROR(1-VLOOKUP('Table 6-A| Controls &amp; Limits'!$K$27,'Emission Controls'!$A$20:$L$33,10,),1)*('Table 5-B| Reclaim MPTE'!M70*($C37/'Table 5-B| Reclaim MPTE'!$E70)),0)</f>
        <v>0</v>
      </c>
      <c r="L37" s="388">
        <f>IFERROR(IFERROR(1-VLOOKUP('Table 6-A| Controls &amp; Limits'!$K$27,'Emission Controls'!$A$20:$L$33,11,),1)*('Table 5-B| Reclaim MPTE'!N70*($C37/'Table 5-B| Reclaim MPTE'!$E70)),0)</f>
        <v>0</v>
      </c>
      <c r="M37" s="389">
        <f>IFERROR(IFERROR(1-VLOOKUP('Table 6-A| Controls &amp; Limits'!$K$27,'Emission Controls'!$A$20:$L$33,12,),1)*('Table 5-B| Reclaim MPTE'!O70*($C37/'Table 5-B| Reclaim MPTE'!$E70)),0)</f>
        <v>0</v>
      </c>
      <c r="N37" s="1376"/>
      <c r="O37" s="1376"/>
      <c r="P37" s="726" t="str">
        <f>'Table 5-A| Primary MPTE'!R122</f>
        <v>Loaders-&gt;</v>
      </c>
      <c r="Q37" s="586" t="str">
        <f>'Table 5-A| Primary MPTE'!S122</f>
        <v>PM10 =</v>
      </c>
      <c r="R37" s="680">
        <f>SUM(Y22:AD22,Y24:AD24)</f>
        <v>0</v>
      </c>
      <c r="S37" s="587" t="str">
        <f>'Table 5-A| Primary MPTE'!U122</f>
        <v>PM2.5=</v>
      </c>
      <c r="T37" s="681">
        <f>SUM(Y29:AD29,Y31:AD31)</f>
        <v>0</v>
      </c>
      <c r="U37" s="680"/>
      <c r="V37" s="587" t="s">
        <v>2348</v>
      </c>
      <c r="W37" s="680">
        <f>SUM(Y15:AD15,Y17:AD17)</f>
        <v>0</v>
      </c>
      <c r="X37" s="587"/>
      <c r="Y37" s="682"/>
    </row>
    <row r="38" spans="1:25" ht="18" customHeight="1" x14ac:dyDescent="0.25">
      <c r="A38" s="302">
        <f>IF(OR('Table 3-A| Emission Units'!$A95=0,'Table 3-A| Emission Units'!$B95=0),0,'Table 3-A| Emission Units'!$A95&amp;"-"&amp;'Table 3-A| Emission Units'!$B95)</f>
        <v>0</v>
      </c>
      <c r="B38" s="303">
        <f>'Table 3-A| Emission Units'!$C95</f>
        <v>30502001</v>
      </c>
      <c r="C38" s="305">
        <f>IF($A38=$A37,0,IF('Table 6-A| Controls &amp; Limits'!$C$27="Yes",'Table 6-A| Controls &amp; Limits'!$E$27,'Table 6-A| Controls &amp; Limits'!$D$27))</f>
        <v>0</v>
      </c>
      <c r="D38" s="386" t="str">
        <f>'Table 5-B| Reclaim MPTE'!D71</f>
        <v>tons</v>
      </c>
      <c r="E38" s="387">
        <f>IFERROR(IFERROR(1-VLOOKUP('Table 6-A| Controls &amp; Limits'!$K$27,'Emission Controls'!$A$20:$L$33,4,),1)*('Table 5-B| Reclaim MPTE'!G71*($C38/'Table 5-B| Reclaim MPTE'!$E71)),0)</f>
        <v>0</v>
      </c>
      <c r="F38" s="388">
        <f>IFERROR(IFERROR(1-VLOOKUP('Table 6-A| Controls &amp; Limits'!$K$27,'Emission Controls'!$A$20:$L$33,5,),1)*('Table 5-B| Reclaim MPTE'!H71*($C38/'Table 5-B| Reclaim MPTE'!$E71)),0)</f>
        <v>0</v>
      </c>
      <c r="G38" s="388">
        <f>IFERROR(IFERROR(1-VLOOKUP('Table 6-A| Controls &amp; Limits'!$K$27,'Emission Controls'!$A$20:$L$33,6,),1)*('Table 5-B| Reclaim MPTE'!I71*($C38/'Table 5-B| Reclaim MPTE'!$E71)),0)</f>
        <v>0</v>
      </c>
      <c r="H38" s="388">
        <f>IFERROR(IFERROR(1-VLOOKUP('Table 6-A| Controls &amp; Limits'!$K$27,'Emission Controls'!$A$20:$L$33,7,),1)*('Table 5-B| Reclaim MPTE'!J71*($C38/'Table 5-B| Reclaim MPTE'!$E71)),0)</f>
        <v>0</v>
      </c>
      <c r="I38" s="388">
        <f>IFERROR(IFERROR(1-VLOOKUP('Table 6-A| Controls &amp; Limits'!$K$27,'Emission Controls'!$A$20:$L$33,8,),1)*('Table 5-B| Reclaim MPTE'!K71*($C38/'Table 5-B| Reclaim MPTE'!$E71)),0)</f>
        <v>0</v>
      </c>
      <c r="J38" s="388">
        <f>IFERROR(IFERROR(1-VLOOKUP('Table 6-A| Controls &amp; Limits'!$K$27,'Emission Controls'!$A$20:$L$33,9,),1)*('Table 5-B| Reclaim MPTE'!L71*($C38/'Table 5-B| Reclaim MPTE'!$E71)),0)</f>
        <v>0</v>
      </c>
      <c r="K38" s="388">
        <f>IFERROR(IFERROR(1-VLOOKUP('Table 6-A| Controls &amp; Limits'!$K$27,'Emission Controls'!$A$20:$L$33,10,),1)*('Table 5-B| Reclaim MPTE'!M71*($C38/'Table 5-B| Reclaim MPTE'!$E71)),0)</f>
        <v>0</v>
      </c>
      <c r="L38" s="388">
        <f>IFERROR(IFERROR(1-VLOOKUP('Table 6-A| Controls &amp; Limits'!$K$27,'Emission Controls'!$A$20:$L$33,11,),1)*('Table 5-B| Reclaim MPTE'!N71*($C38/'Table 5-B| Reclaim MPTE'!$E71)),0)</f>
        <v>0</v>
      </c>
      <c r="M38" s="389">
        <f>IFERROR(IFERROR(1-VLOOKUP('Table 6-A| Controls &amp; Limits'!$K$27,'Emission Controls'!$A$20:$L$33,12,),1)*('Table 5-B| Reclaim MPTE'!O71*($C38/'Table 5-B| Reclaim MPTE'!$E71)),0)</f>
        <v>0</v>
      </c>
    </row>
    <row r="39" spans="1:25" ht="18" customHeight="1" x14ac:dyDescent="0.25">
      <c r="A39" s="302">
        <f>IF(OR('Table 3-A| Emission Units'!$A96=0,'Table 3-A| Emission Units'!$B96=0),0,'Table 3-A| Emission Units'!$A96&amp;"-"&amp;'Table 3-A| Emission Units'!$B96)</f>
        <v>0</v>
      </c>
      <c r="B39" s="303">
        <f>'Table 3-A| Emission Units'!$C96</f>
        <v>30502003</v>
      </c>
      <c r="C39" s="305">
        <f>IF($A39=$A38,0,IF('Table 6-A| Controls &amp; Limits'!$C$27="Yes",'Table 6-A| Controls &amp; Limits'!$E$27,'Table 6-A| Controls &amp; Limits'!$D$27))</f>
        <v>0</v>
      </c>
      <c r="D39" s="386" t="str">
        <f>'Table 5-B| Reclaim MPTE'!D72</f>
        <v>tons</v>
      </c>
      <c r="E39" s="387">
        <f>IFERROR(IFERROR(1-VLOOKUP('Table 6-A| Controls &amp; Limits'!$K$27,'Emission Controls'!$A$20:$L$33,4,),1)*('Table 5-B| Reclaim MPTE'!G72*($C39/'Table 5-B| Reclaim MPTE'!$E72)),0)</f>
        <v>0</v>
      </c>
      <c r="F39" s="388">
        <f>IFERROR(IFERROR(1-VLOOKUP('Table 6-A| Controls &amp; Limits'!$K$27,'Emission Controls'!$A$20:$L$33,5,),1)*('Table 5-B| Reclaim MPTE'!H72*($C39/'Table 5-B| Reclaim MPTE'!$E72)),0)</f>
        <v>0</v>
      </c>
      <c r="G39" s="388">
        <f>IFERROR(IFERROR(1-VLOOKUP('Table 6-A| Controls &amp; Limits'!$K$27,'Emission Controls'!$A$20:$L$33,6,),1)*('Table 5-B| Reclaim MPTE'!I72*($C39/'Table 5-B| Reclaim MPTE'!$E72)),0)</f>
        <v>0</v>
      </c>
      <c r="H39" s="388">
        <f>IFERROR(IFERROR(1-VLOOKUP('Table 6-A| Controls &amp; Limits'!$K$27,'Emission Controls'!$A$20:$L$33,7,),1)*('Table 5-B| Reclaim MPTE'!J72*($C39/'Table 5-B| Reclaim MPTE'!$E72)),0)</f>
        <v>0</v>
      </c>
      <c r="I39" s="388">
        <f>IFERROR(IFERROR(1-VLOOKUP('Table 6-A| Controls &amp; Limits'!$K$27,'Emission Controls'!$A$20:$L$33,8,),1)*('Table 5-B| Reclaim MPTE'!K72*($C39/'Table 5-B| Reclaim MPTE'!$E72)),0)</f>
        <v>0</v>
      </c>
      <c r="J39" s="388">
        <f>IFERROR(IFERROR(1-VLOOKUP('Table 6-A| Controls &amp; Limits'!$K$27,'Emission Controls'!$A$20:$L$33,9,),1)*('Table 5-B| Reclaim MPTE'!L72*($C39/'Table 5-B| Reclaim MPTE'!$E72)),0)</f>
        <v>0</v>
      </c>
      <c r="K39" s="388">
        <f>IFERROR(IFERROR(1-VLOOKUP('Table 6-A| Controls &amp; Limits'!$K$27,'Emission Controls'!$A$20:$L$33,10,),1)*('Table 5-B| Reclaim MPTE'!M72*($C39/'Table 5-B| Reclaim MPTE'!$E72)),0)</f>
        <v>0</v>
      </c>
      <c r="L39" s="388">
        <f>IFERROR(IFERROR(1-VLOOKUP('Table 6-A| Controls &amp; Limits'!$K$27,'Emission Controls'!$A$20:$L$33,11,),1)*('Table 5-B| Reclaim MPTE'!N72*($C39/'Table 5-B| Reclaim MPTE'!$E72)),0)</f>
        <v>0</v>
      </c>
      <c r="M39" s="389">
        <f>IFERROR(IFERROR(1-VLOOKUP('Table 6-A| Controls &amp; Limits'!$K$27,'Emission Controls'!$A$20:$L$33,12,),1)*('Table 5-B| Reclaim MPTE'!O72*($C39/'Table 5-B| Reclaim MPTE'!$E72)),0)</f>
        <v>0</v>
      </c>
    </row>
    <row r="40" spans="1:25" ht="18" customHeight="1" x14ac:dyDescent="0.25">
      <c r="A40" s="302">
        <f>IF(OR('Table 3-A| Emission Units'!$A97=0,'Table 3-A| Emission Units'!$B97=0),0,'Table 3-A| Emission Units'!$A97&amp;"-"&amp;'Table 3-A| Emission Units'!$B97)</f>
        <v>0</v>
      </c>
      <c r="B40" s="303">
        <f>'Table 3-A| Emission Units'!$C97</f>
        <v>30502006</v>
      </c>
      <c r="C40" s="305">
        <f>IF($A40=$A39,0,IF('Table 6-A| Controls &amp; Limits'!$C$27="Yes",'Table 6-A| Controls &amp; Limits'!$E$27*0.05,'Table 6-A| Controls &amp; Limits'!$D$27*0.05))</f>
        <v>0</v>
      </c>
      <c r="D40" s="386" t="str">
        <f>'Table 5-B| Reclaim MPTE'!D73</f>
        <v>tons</v>
      </c>
      <c r="E40" s="387">
        <f>IFERROR(IFERROR(1-VLOOKUP('Table 6-A| Controls &amp; Limits'!$K$27,'Emission Controls'!$A$20:$L$33,4,),1)*('Table 5-B| Reclaim MPTE'!G73*($C40/'Table 5-B| Reclaim MPTE'!$E73)),0)</f>
        <v>0</v>
      </c>
      <c r="F40" s="388">
        <f>IFERROR(IFERROR(1-VLOOKUP('Table 6-A| Controls &amp; Limits'!$K$27,'Emission Controls'!$A$20:$L$33,5,),1)*('Table 5-B| Reclaim MPTE'!H73*($C40/'Table 5-B| Reclaim MPTE'!$E73)),0)</f>
        <v>0</v>
      </c>
      <c r="G40" s="388">
        <f>IFERROR(IFERROR(1-VLOOKUP('Table 6-A| Controls &amp; Limits'!$K$27,'Emission Controls'!$A$20:$L$33,6,),1)*('Table 5-B| Reclaim MPTE'!I73*($C40/'Table 5-B| Reclaim MPTE'!$E73)),0)</f>
        <v>0</v>
      </c>
      <c r="H40" s="388">
        <f>IFERROR(IFERROR(1-VLOOKUP('Table 6-A| Controls &amp; Limits'!$K$27,'Emission Controls'!$A$20:$L$33,7,),1)*('Table 5-B| Reclaim MPTE'!J73*($C40/'Table 5-B| Reclaim MPTE'!$E73)),0)</f>
        <v>0</v>
      </c>
      <c r="I40" s="388">
        <f>IFERROR(IFERROR(1-VLOOKUP('Table 6-A| Controls &amp; Limits'!$K$27,'Emission Controls'!$A$20:$L$33,8,),1)*('Table 5-B| Reclaim MPTE'!K73*($C40/'Table 5-B| Reclaim MPTE'!$E73)),0)</f>
        <v>0</v>
      </c>
      <c r="J40" s="388">
        <f>IFERROR(IFERROR(1-VLOOKUP('Table 6-A| Controls &amp; Limits'!$K$27,'Emission Controls'!$A$20:$L$33,9,),1)*('Table 5-B| Reclaim MPTE'!L73*($C40/'Table 5-B| Reclaim MPTE'!$E73)),0)</f>
        <v>0</v>
      </c>
      <c r="K40" s="388">
        <f>IFERROR(IFERROR(1-VLOOKUP('Table 6-A| Controls &amp; Limits'!$K$27,'Emission Controls'!$A$20:$L$33,10,),1)*('Table 5-B| Reclaim MPTE'!M73*($C40/'Table 5-B| Reclaim MPTE'!$E73)),0)</f>
        <v>0</v>
      </c>
      <c r="L40" s="388">
        <f>IFERROR(IFERROR(1-VLOOKUP('Table 6-A| Controls &amp; Limits'!$K$27,'Emission Controls'!$A$20:$L$33,11,),1)*('Table 5-B| Reclaim MPTE'!N73*($C40/'Table 5-B| Reclaim MPTE'!$E73)),0)</f>
        <v>0</v>
      </c>
      <c r="M40" s="389">
        <f>IFERROR(IFERROR(1-VLOOKUP('Table 6-A| Controls &amp; Limits'!$K$27,'Emission Controls'!$A$20:$L$33,12,),1)*('Table 5-B| Reclaim MPTE'!O73*($C40/'Table 5-B| Reclaim MPTE'!$E73)),0)</f>
        <v>0</v>
      </c>
    </row>
    <row r="41" spans="1:25" ht="18" customHeight="1" x14ac:dyDescent="0.25">
      <c r="A41" s="302">
        <f>IF(OR('Table 3-A| Emission Units'!$A98=0,'Table 3-A| Emission Units'!$B98=0),0,'Table 3-A| Emission Units'!$A98&amp;"-"&amp;'Table 3-A| Emission Units'!$B98)</f>
        <v>0</v>
      </c>
      <c r="B41" s="303">
        <f>'Table 3-A| Emission Units'!$C98</f>
        <v>30501123</v>
      </c>
      <c r="C41" s="305">
        <f>IF($A41=$A40,0,IF('Table 6-A| Controls &amp; Limits'!$C$27="Yes",'Table 6-A| Controls &amp; Limits'!$E$27*0.05,'Table 6-A| Controls &amp; Limits'!$D$27*0.05))</f>
        <v>0</v>
      </c>
      <c r="D41" s="386" t="str">
        <f>'Table 5-B| Reclaim MPTE'!D74</f>
        <v>tons</v>
      </c>
      <c r="E41" s="387">
        <f>IFERROR(IFERROR(1-VLOOKUP('Table 6-A| Controls &amp; Limits'!$K$27,'Emission Controls'!$A$20:$L$33,4,),1)*('Table 5-B| Reclaim MPTE'!G74*($C41/'Table 5-B| Reclaim MPTE'!$E74)),0)</f>
        <v>0</v>
      </c>
      <c r="F41" s="388">
        <f>IFERROR(IFERROR(1-VLOOKUP('Table 6-A| Controls &amp; Limits'!$K$27,'Emission Controls'!$A$20:$L$33,5,),1)*('Table 5-B| Reclaim MPTE'!H74*($C41/'Table 5-B| Reclaim MPTE'!$E74)),0)</f>
        <v>0</v>
      </c>
      <c r="G41" s="388">
        <f>IFERROR(IFERROR(1-VLOOKUP('Table 6-A| Controls &amp; Limits'!$K$27,'Emission Controls'!$A$20:$L$33,6,),1)*('Table 5-B| Reclaim MPTE'!I74*($C41/'Table 5-B| Reclaim MPTE'!$E74)),0)</f>
        <v>0</v>
      </c>
      <c r="H41" s="388">
        <f>IFERROR(IFERROR(1-VLOOKUP('Table 6-A| Controls &amp; Limits'!$K$27,'Emission Controls'!$A$20:$L$33,7,),1)*('Table 5-B| Reclaim MPTE'!J74*($C41/'Table 5-B| Reclaim MPTE'!$E74)),0)</f>
        <v>0</v>
      </c>
      <c r="I41" s="388">
        <f>IFERROR(IFERROR(1-VLOOKUP('Table 6-A| Controls &amp; Limits'!$K$27,'Emission Controls'!$A$20:$L$33,8,),1)*('Table 5-B| Reclaim MPTE'!K74*($C41/'Table 5-B| Reclaim MPTE'!$E74)),0)</f>
        <v>0</v>
      </c>
      <c r="J41" s="388">
        <f>IFERROR(IFERROR(1-VLOOKUP('Table 6-A| Controls &amp; Limits'!$K$27,'Emission Controls'!$A$20:$L$33,9,),1)*('Table 5-B| Reclaim MPTE'!L74*($C41/'Table 5-B| Reclaim MPTE'!$E74)),0)</f>
        <v>0</v>
      </c>
      <c r="K41" s="388">
        <f>IFERROR(IFERROR(1-VLOOKUP('Table 6-A| Controls &amp; Limits'!$K$27,'Emission Controls'!$A$20:$L$33,10,),1)*('Table 5-B| Reclaim MPTE'!M74*($C41/'Table 5-B| Reclaim MPTE'!$E74)),0)</f>
        <v>0</v>
      </c>
      <c r="L41" s="388">
        <f>IFERROR(IFERROR(1-VLOOKUP('Table 6-A| Controls &amp; Limits'!$K$27,'Emission Controls'!$A$20:$L$33,11,),1)*('Table 5-B| Reclaim MPTE'!N74*($C41/'Table 5-B| Reclaim MPTE'!$E74)),0)</f>
        <v>0</v>
      </c>
      <c r="M41" s="389">
        <f>IFERROR(IFERROR(1-VLOOKUP('Table 6-A| Controls &amp; Limits'!$K$27,'Emission Controls'!$A$20:$L$33,12,),1)*('Table 5-B| Reclaim MPTE'!O74*($C41/'Table 5-B| Reclaim MPTE'!$E74)),0)</f>
        <v>0</v>
      </c>
    </row>
    <row r="42" spans="1:25" ht="18" customHeight="1" x14ac:dyDescent="0.25">
      <c r="A42" s="302">
        <f>IF(OR('Table 3-A| Emission Units'!$A99=0,'Table 3-A| Emission Units'!$B99=0),0,'Table 3-A| Emission Units'!$A99&amp;"-"&amp;'Table 3-A| Emission Units'!$B99)</f>
        <v>0</v>
      </c>
      <c r="B42" s="303">
        <f>'Table 3-A| Emission Units'!$C99</f>
        <v>30502002</v>
      </c>
      <c r="C42" s="305">
        <f>IF($A42=$A41,0,IF('Table 6-A| Controls &amp; Limits'!$C$27="Yes",'Table 6-A| Controls &amp; Limits'!$E$27*0.05,'Table 6-A| Controls &amp; Limits'!$D$27*0.05))</f>
        <v>0</v>
      </c>
      <c r="D42" s="386" t="str">
        <f>'Table 5-B| Reclaim MPTE'!D75</f>
        <v>tons</v>
      </c>
      <c r="E42" s="387">
        <f>IFERROR(IFERROR(1-VLOOKUP('Table 6-A| Controls &amp; Limits'!$K$27,'Emission Controls'!$A$20:$L$33,4,),1)*('Table 5-B| Reclaim MPTE'!G75*($C42/'Table 5-B| Reclaim MPTE'!$E75)),0)</f>
        <v>0</v>
      </c>
      <c r="F42" s="388">
        <f>IFERROR(IFERROR(1-VLOOKUP('Table 6-A| Controls &amp; Limits'!$K$27,'Emission Controls'!$A$20:$L$33,5,),1)*('Table 5-B| Reclaim MPTE'!H75*($C42/'Table 5-B| Reclaim MPTE'!$E75)),0)</f>
        <v>0</v>
      </c>
      <c r="G42" s="388">
        <f>IFERROR(IFERROR(1-VLOOKUP('Table 6-A| Controls &amp; Limits'!$K$27,'Emission Controls'!$A$20:$L$33,6,),1)*('Table 5-B| Reclaim MPTE'!I75*($C42/'Table 5-B| Reclaim MPTE'!$E75)),0)</f>
        <v>0</v>
      </c>
      <c r="H42" s="388">
        <f>IFERROR(IFERROR(1-VLOOKUP('Table 6-A| Controls &amp; Limits'!$K$27,'Emission Controls'!$A$20:$L$33,7,),1)*('Table 5-B| Reclaim MPTE'!J75*($C42/'Table 5-B| Reclaim MPTE'!$E75)),0)</f>
        <v>0</v>
      </c>
      <c r="I42" s="388">
        <f>IFERROR(IFERROR(1-VLOOKUP('Table 6-A| Controls &amp; Limits'!$K$27,'Emission Controls'!$A$20:$L$33,8,),1)*('Table 5-B| Reclaim MPTE'!K75*($C42/'Table 5-B| Reclaim MPTE'!$E75)),0)</f>
        <v>0</v>
      </c>
      <c r="J42" s="388">
        <f>IFERROR(IFERROR(1-VLOOKUP('Table 6-A| Controls &amp; Limits'!$K$27,'Emission Controls'!$A$20:$L$33,9,),1)*('Table 5-B| Reclaim MPTE'!L75*($C42/'Table 5-B| Reclaim MPTE'!$E75)),0)</f>
        <v>0</v>
      </c>
      <c r="K42" s="388">
        <f>IFERROR(IFERROR(1-VLOOKUP('Table 6-A| Controls &amp; Limits'!$K$27,'Emission Controls'!$A$20:$L$33,10,),1)*('Table 5-B| Reclaim MPTE'!M75*($C42/'Table 5-B| Reclaim MPTE'!$E75)),0)</f>
        <v>0</v>
      </c>
      <c r="L42" s="388">
        <f>IFERROR(IFERROR(1-VLOOKUP('Table 6-A| Controls &amp; Limits'!$K$27,'Emission Controls'!$A$20:$L$33,11,),1)*('Table 5-B| Reclaim MPTE'!N75*($C42/'Table 5-B| Reclaim MPTE'!$E75)),0)</f>
        <v>0</v>
      </c>
      <c r="M42" s="389">
        <f>IFERROR(IFERROR(1-VLOOKUP('Table 6-A| Controls &amp; Limits'!$K$27,'Emission Controls'!$A$20:$L$33,12,),1)*('Table 5-B| Reclaim MPTE'!O75*($C42/'Table 5-B| Reclaim MPTE'!$E75)),0)</f>
        <v>0</v>
      </c>
    </row>
    <row r="43" spans="1:25" ht="18" customHeight="1" x14ac:dyDescent="0.25">
      <c r="A43" s="302">
        <f>IF(OR('Table 3-A| Emission Units'!$A100=0,'Table 3-A| Emission Units'!$B100=0),0,'Table 3-A| Emission Units'!$A100&amp;"-"&amp;'Table 3-A| Emission Units'!$B100)</f>
        <v>0</v>
      </c>
      <c r="B43" s="303">
        <f>'Table 3-A| Emission Units'!$C100</f>
        <v>30502006</v>
      </c>
      <c r="C43" s="305">
        <f>IF($A43=$A42,0,IF('Table 6-A| Controls &amp; Limits'!$C$27="Yes",'Table 6-A| Controls &amp; Limits'!$E$27,'Table 6-A| Controls &amp; Limits'!$D$27))</f>
        <v>0</v>
      </c>
      <c r="D43" s="386" t="str">
        <f>'Table 5-B| Reclaim MPTE'!D76</f>
        <v>tons</v>
      </c>
      <c r="E43" s="387">
        <f>IFERROR(IFERROR(1-VLOOKUP('Table 6-A| Controls &amp; Limits'!$K$27,'Emission Controls'!$A$20:$L$33,4,),1)*('Table 5-B| Reclaim MPTE'!G76*($C43/'Table 5-B| Reclaim MPTE'!$E76)),0)</f>
        <v>0</v>
      </c>
      <c r="F43" s="388">
        <f>IFERROR(IFERROR(1-VLOOKUP('Table 6-A| Controls &amp; Limits'!$K$27,'Emission Controls'!$A$20:$L$33,5,),1)*('Table 5-B| Reclaim MPTE'!H76*($C43/'Table 5-B| Reclaim MPTE'!$E76)),0)</f>
        <v>0</v>
      </c>
      <c r="G43" s="388">
        <f>IFERROR(IFERROR(1-VLOOKUP('Table 6-A| Controls &amp; Limits'!$K$27,'Emission Controls'!$A$20:$L$33,6,),1)*('Table 5-B| Reclaim MPTE'!I76*($C43/'Table 5-B| Reclaim MPTE'!$E76)),0)</f>
        <v>0</v>
      </c>
      <c r="H43" s="388">
        <f>IFERROR(IFERROR(1-VLOOKUP('Table 6-A| Controls &amp; Limits'!$K$27,'Emission Controls'!$A$20:$L$33,7,),1)*('Table 5-B| Reclaim MPTE'!J76*($C43/'Table 5-B| Reclaim MPTE'!$E76)),0)</f>
        <v>0</v>
      </c>
      <c r="I43" s="388">
        <f>IFERROR(IFERROR(1-VLOOKUP('Table 6-A| Controls &amp; Limits'!$K$27,'Emission Controls'!$A$20:$L$33,8,),1)*('Table 5-B| Reclaim MPTE'!K76*($C43/'Table 5-B| Reclaim MPTE'!$E76)),0)</f>
        <v>0</v>
      </c>
      <c r="J43" s="388">
        <f>IFERROR(IFERROR(1-VLOOKUP('Table 6-A| Controls &amp; Limits'!$K$27,'Emission Controls'!$A$20:$L$33,9,),1)*('Table 5-B| Reclaim MPTE'!L76*($C43/'Table 5-B| Reclaim MPTE'!$E76)),0)</f>
        <v>0</v>
      </c>
      <c r="K43" s="388">
        <f>IFERROR(IFERROR(1-VLOOKUP('Table 6-A| Controls &amp; Limits'!$K$27,'Emission Controls'!$A$20:$L$33,10,),1)*('Table 5-B| Reclaim MPTE'!M76*($C43/'Table 5-B| Reclaim MPTE'!$E76)),0)</f>
        <v>0</v>
      </c>
      <c r="L43" s="388">
        <f>IFERROR(IFERROR(1-VLOOKUP('Table 6-A| Controls &amp; Limits'!$K$27,'Emission Controls'!$A$20:$L$33,11,),1)*('Table 5-B| Reclaim MPTE'!N76*($C43/'Table 5-B| Reclaim MPTE'!$E76)),0)</f>
        <v>0</v>
      </c>
      <c r="M43" s="389">
        <f>IFERROR(IFERROR(1-VLOOKUP('Table 6-A| Controls &amp; Limits'!$K$27,'Emission Controls'!$A$20:$L$33,12,),1)*('Table 5-B| Reclaim MPTE'!O76*($C43/'Table 5-B| Reclaim MPTE'!$E76)),0)</f>
        <v>0</v>
      </c>
    </row>
    <row r="44" spans="1:25" ht="18" customHeight="1" x14ac:dyDescent="0.25">
      <c r="A44" s="302">
        <f>IF(OR('Table 3-A| Emission Units'!$A101=0,'Table 3-A| Emission Units'!$B101=0),0,'Table 3-A| Emission Units'!$A101&amp;"-"&amp;'Table 3-A| Emission Units'!$B101)</f>
        <v>0</v>
      </c>
      <c r="B44" s="303">
        <f>'Table 3-A| Emission Units'!$C101</f>
        <v>30501123</v>
      </c>
      <c r="C44" s="305">
        <f>IF($A44=$A43,0,IF('Table 6-A| Controls &amp; Limits'!$C$27="Yes",'Table 6-A| Controls &amp; Limits'!$E$27,'Table 6-A| Controls &amp; Limits'!$D$27))</f>
        <v>0</v>
      </c>
      <c r="D44" s="386" t="str">
        <f>'Table 5-B| Reclaim MPTE'!D77</f>
        <v>tons</v>
      </c>
      <c r="E44" s="387">
        <f>IFERROR(IFERROR(1-VLOOKUP('Table 6-A| Controls &amp; Limits'!$K$27,'Emission Controls'!$A$20:$L$33,4,),1)*('Table 5-B| Reclaim MPTE'!G77*($C44/'Table 5-B| Reclaim MPTE'!$E77)),0)</f>
        <v>0</v>
      </c>
      <c r="F44" s="388">
        <f>IFERROR(IFERROR(1-VLOOKUP('Table 6-A| Controls &amp; Limits'!$K$27,'Emission Controls'!$A$20:$L$33,5,),1)*('Table 5-B| Reclaim MPTE'!H77*($C44/'Table 5-B| Reclaim MPTE'!$E77)),0)</f>
        <v>0</v>
      </c>
      <c r="G44" s="388">
        <f>IFERROR(IFERROR(1-VLOOKUP('Table 6-A| Controls &amp; Limits'!$K$27,'Emission Controls'!$A$20:$L$33,6,),1)*('Table 5-B| Reclaim MPTE'!I77*($C44/'Table 5-B| Reclaim MPTE'!$E77)),0)</f>
        <v>0</v>
      </c>
      <c r="H44" s="388">
        <f>IFERROR(IFERROR(1-VLOOKUP('Table 6-A| Controls &amp; Limits'!$K$27,'Emission Controls'!$A$20:$L$33,7,),1)*('Table 5-B| Reclaim MPTE'!J77*($C44/'Table 5-B| Reclaim MPTE'!$E77)),0)</f>
        <v>0</v>
      </c>
      <c r="I44" s="388">
        <f>IFERROR(IFERROR(1-VLOOKUP('Table 6-A| Controls &amp; Limits'!$K$27,'Emission Controls'!$A$20:$L$33,8,),1)*('Table 5-B| Reclaim MPTE'!K77*($C44/'Table 5-B| Reclaim MPTE'!$E77)),0)</f>
        <v>0</v>
      </c>
      <c r="J44" s="388">
        <f>IFERROR(IFERROR(1-VLOOKUP('Table 6-A| Controls &amp; Limits'!$K$27,'Emission Controls'!$A$20:$L$33,9,),1)*('Table 5-B| Reclaim MPTE'!L77*($C44/'Table 5-B| Reclaim MPTE'!$E77)),0)</f>
        <v>0</v>
      </c>
      <c r="K44" s="388">
        <f>IFERROR(IFERROR(1-VLOOKUP('Table 6-A| Controls &amp; Limits'!$K$27,'Emission Controls'!$A$20:$L$33,10,),1)*('Table 5-B| Reclaim MPTE'!M77*($C44/'Table 5-B| Reclaim MPTE'!$E77)),0)</f>
        <v>0</v>
      </c>
      <c r="L44" s="388">
        <f>IFERROR(IFERROR(1-VLOOKUP('Table 6-A| Controls &amp; Limits'!$K$27,'Emission Controls'!$A$20:$L$33,11,),1)*('Table 5-B| Reclaim MPTE'!N77*($C44/'Table 5-B| Reclaim MPTE'!$E77)),0)</f>
        <v>0</v>
      </c>
      <c r="M44" s="389">
        <f>IFERROR(IFERROR(1-VLOOKUP('Table 6-A| Controls &amp; Limits'!$K$27,'Emission Controls'!$A$20:$L$33,12,),1)*('Table 5-B| Reclaim MPTE'!O77*($C44/'Table 5-B| Reclaim MPTE'!$E77)),0)</f>
        <v>0</v>
      </c>
    </row>
    <row r="45" spans="1:25" ht="18" customHeight="1" thickBot="1" x14ac:dyDescent="0.3">
      <c r="A45" s="302">
        <f>IF(OR('Table 3-A| Emission Units'!$A102=0,'Table 3-A| Emission Units'!$B102=0),0,'Table 3-A| Emission Units'!$A102&amp;"-"&amp;'Table 3-A| Emission Units'!$B102)</f>
        <v>0</v>
      </c>
      <c r="B45" s="303">
        <f>'Table 3-A| Emission Units'!$C102</f>
        <v>30502032</v>
      </c>
      <c r="C45" s="305">
        <f>IF($A45=$A44,0,IF('Table 6-A| Controls &amp; Limits'!$C$27="Yes",'Table 6-A| Controls &amp; Limits'!$E$27,'Table 6-A| Controls &amp; Limits'!$D$27))</f>
        <v>0</v>
      </c>
      <c r="D45" s="386" t="str">
        <f>'Table 5-B| Reclaim MPTE'!D78</f>
        <v>tons</v>
      </c>
      <c r="E45" s="387">
        <f>IFERROR(('Table 5-B| Reclaim MPTE'!G78*($C45/'Table 5-B| Reclaim MPTE'!$E78)),0)</f>
        <v>0</v>
      </c>
      <c r="F45" s="388">
        <f>IFERROR(('Table 5-B| Reclaim MPTE'!H78*($C45/'Table 5-B| Reclaim MPTE'!$E78)),0)</f>
        <v>0</v>
      </c>
      <c r="G45" s="388">
        <f>IFERROR(IFERROR(1-VLOOKUP('Table 6-A| Controls &amp; Limits'!$K$27,'Emission Controls'!$A$20:$L$33,6,),1)*('Table 5-B| Reclaim MPTE'!I78*($C45/'Table 5-B| Reclaim MPTE'!$E78)),0)</f>
        <v>0</v>
      </c>
      <c r="H45" s="388">
        <f>IFERROR(IFERROR(1-VLOOKUP('Table 6-A| Controls &amp; Limits'!$K$27,'Emission Controls'!$A$20:$L$33,7,),1)*('Table 5-B| Reclaim MPTE'!J78*($C45/'Table 5-B| Reclaim MPTE'!$E78)),0)</f>
        <v>0</v>
      </c>
      <c r="I45" s="388">
        <f>IFERROR(IFERROR(1-VLOOKUP('Table 6-A| Controls &amp; Limits'!$K$27,'Emission Controls'!$A$20:$L$33,8,),1)*('Table 5-B| Reclaim MPTE'!K78*($C45/'Table 5-B| Reclaim MPTE'!$E78)),0)</f>
        <v>0</v>
      </c>
      <c r="J45" s="388">
        <f>IFERROR(IFERROR(1-VLOOKUP('Table 6-A| Controls &amp; Limits'!$K$27,'Emission Controls'!$A$20:$L$33,9,),1)*('Table 5-B| Reclaim MPTE'!L78*($C45/'Table 5-B| Reclaim MPTE'!$E78)),0)</f>
        <v>0</v>
      </c>
      <c r="K45" s="388">
        <f>IFERROR(IFERROR(1-VLOOKUP('Table 6-A| Controls &amp; Limits'!$K$27,'Emission Controls'!$A$20:$L$33,10,),1)*('Table 5-B| Reclaim MPTE'!M78*($C45/'Table 5-B| Reclaim MPTE'!$E78)),0)</f>
        <v>0</v>
      </c>
      <c r="L45" s="388">
        <f>IFERROR(IFERROR(1-VLOOKUP('Table 6-A| Controls &amp; Limits'!$K$27,'Emission Controls'!$A$20:$L$33,11,),1)*('Table 5-B| Reclaim MPTE'!N78*($C45/'Table 5-B| Reclaim MPTE'!$E78)),0)</f>
        <v>0</v>
      </c>
      <c r="M45" s="389">
        <f>IFERROR(IFERROR(1-VLOOKUP('Table 6-A| Controls &amp; Limits'!$K$27,'Emission Controls'!$A$20:$L$33,12,),1)*('Table 5-B| Reclaim MPTE'!O78*($C45/'Table 5-B| Reclaim MPTE'!$E78)),0)</f>
        <v>0</v>
      </c>
    </row>
    <row r="46" spans="1:25" ht="18" customHeight="1" x14ac:dyDescent="0.25">
      <c r="A46" s="1539" t="str">
        <f>'Table 5-B| Reclaim MPTE'!A79:O79</f>
        <v>Reclaimed Material Screening Emission Units</v>
      </c>
      <c r="B46" s="1540"/>
      <c r="C46" s="1540"/>
      <c r="D46" s="1540"/>
      <c r="E46" s="1540"/>
      <c r="F46" s="1540"/>
      <c r="G46" s="1540"/>
      <c r="H46" s="1540"/>
      <c r="I46" s="1540"/>
      <c r="J46" s="1540"/>
      <c r="K46" s="1540"/>
      <c r="L46" s="1540"/>
      <c r="M46" s="1541"/>
    </row>
    <row r="47" spans="1:25" ht="18" customHeight="1" x14ac:dyDescent="0.25">
      <c r="A47" s="302">
        <f>IF('Table 3-A| Emission Units'!$M104=0,0,'Table 3-A| Emission Units'!$A104&amp;"-"&amp;'Table 3-A| Emission Units'!$B104)</f>
        <v>0</v>
      </c>
      <c r="B47" s="303">
        <f>'Table 3-A| Emission Units'!$C104</f>
        <v>30502003</v>
      </c>
      <c r="C47" s="305">
        <f>IF($A47=$A46,0,IF('Table 6-A| Controls &amp; Limits'!$C29="Yes",'Table 6-A| Controls &amp; Limits'!$E29,'Table 6-A| Controls &amp; Limits'!$D29))</f>
        <v>0</v>
      </c>
      <c r="D47" s="386" t="str">
        <f>'Table 5-B| Reclaim MPTE'!D80</f>
        <v>tons</v>
      </c>
      <c r="E47" s="387">
        <f>IFERROR(IFERROR(1-VLOOKUP('Table 6-A| Controls &amp; Limits'!$K$29,'Emission Controls'!$A$20:$L$33,4,),1)*('Table 5-B| Reclaim MPTE'!G80*($C47/'Table 5-B| Reclaim MPTE'!$E80)),0)</f>
        <v>0</v>
      </c>
      <c r="F47" s="388">
        <f>IFERROR(IFERROR(1-VLOOKUP('Table 6-A| Controls &amp; Limits'!$K$29,'Emission Controls'!$A$20:$L$33,5,),1)*('Table 5-B| Reclaim MPTE'!H80*($C47/'Table 5-B| Reclaim MPTE'!$E80)),0)</f>
        <v>0</v>
      </c>
      <c r="G47" s="388">
        <f>IFERROR(IFERROR(1-VLOOKUP('Table 6-A| Controls &amp; Limits'!$K$29,'Emission Controls'!$A$20:$L$33,6,),1)*('Table 5-B| Reclaim MPTE'!I80*($C47/'Table 5-B| Reclaim MPTE'!$E80)),0)</f>
        <v>0</v>
      </c>
      <c r="H47" s="388">
        <f>IFERROR(IFERROR(1-VLOOKUP('Table 6-A| Controls &amp; Limits'!$K$29,'Emission Controls'!$A$20:$L$33,7,),1)*('Table 5-B| Reclaim MPTE'!J80*($C47/'Table 5-B| Reclaim MPTE'!$E80)),0)</f>
        <v>0</v>
      </c>
      <c r="I47" s="388">
        <f>IFERROR(IFERROR(1-VLOOKUP('Table 6-A| Controls &amp; Limits'!$K$29,'Emission Controls'!$A$20:$L$33,8,),1)*('Table 5-B| Reclaim MPTE'!K80*($C47/'Table 5-B| Reclaim MPTE'!$E80)),0)</f>
        <v>0</v>
      </c>
      <c r="J47" s="388">
        <f>IFERROR(IFERROR(1-VLOOKUP('Table 6-A| Controls &amp; Limits'!$K$29,'Emission Controls'!$A$20:$L$33,9,),1)*('Table 5-B| Reclaim MPTE'!L80*($C47/'Table 5-B| Reclaim MPTE'!$E80)),0)</f>
        <v>0</v>
      </c>
      <c r="K47" s="388">
        <f>IFERROR(IFERROR(1-VLOOKUP('Table 6-A| Controls &amp; Limits'!$K$29,'Emission Controls'!$A$20:$L$33,10,),1)*('Table 5-B| Reclaim MPTE'!M80*($C47/'Table 5-B| Reclaim MPTE'!$E80)),0)</f>
        <v>0</v>
      </c>
      <c r="L47" s="388">
        <f>IFERROR(IFERROR(1-VLOOKUP('Table 6-A| Controls &amp; Limits'!$K$29,'Emission Controls'!$A$20:$L$33,11,),1)*('Table 5-B| Reclaim MPTE'!N80*($C47/'Table 5-B| Reclaim MPTE'!$E80)),0)</f>
        <v>0</v>
      </c>
      <c r="M47" s="389">
        <f>IFERROR(IFERROR(1-VLOOKUP('Table 6-A| Controls &amp; Limits'!$K$29,'Emission Controls'!$A$20:$L$33,12,),1)*('Table 5-B| Reclaim MPTE'!O80*($C47/'Table 5-B| Reclaim MPTE'!$E80)),0)</f>
        <v>0</v>
      </c>
    </row>
    <row r="48" spans="1:25" ht="18" customHeight="1" x14ac:dyDescent="0.25">
      <c r="A48" s="302">
        <f>IF('Table 3-A| Emission Units'!$M105=0,0,'Table 3-A| Emission Units'!$A105&amp;"-"&amp;'Table 3-A| Emission Units'!$B105)</f>
        <v>0</v>
      </c>
      <c r="B48" s="303">
        <f>'Table 3-A| Emission Units'!$C105</f>
        <v>30502003</v>
      </c>
      <c r="C48" s="305">
        <f>IF($A48=$A47,0,IF('Table 6-A| Controls &amp; Limits'!$C30="Yes",'Table 6-A| Controls &amp; Limits'!$E30,'Table 6-A| Controls &amp; Limits'!$D30))</f>
        <v>0</v>
      </c>
      <c r="D48" s="386" t="str">
        <f>'Table 5-B| Reclaim MPTE'!D81</f>
        <v>tons</v>
      </c>
      <c r="E48" s="387">
        <f>IFERROR(IFERROR(1-VLOOKUP('Table 6-A| Controls &amp; Limits'!$K$30,'Emission Controls'!$A$20:$L$33,4,),1)*('Table 5-B| Reclaim MPTE'!G81*($C48/'Table 5-B| Reclaim MPTE'!$E81)),0)</f>
        <v>0</v>
      </c>
      <c r="F48" s="388">
        <f>IFERROR(IFERROR(1-VLOOKUP('Table 6-A| Controls &amp; Limits'!$K$30,'Emission Controls'!$A$20:$L$33,5,),1)*('Table 5-B| Reclaim MPTE'!H81*($C48/'Table 5-B| Reclaim MPTE'!$E81)),0)</f>
        <v>0</v>
      </c>
      <c r="G48" s="388">
        <f>IFERROR(IFERROR(1-VLOOKUP('Table 6-A| Controls &amp; Limits'!$K$30,'Emission Controls'!$A$20:$L$33,6,),1)*('Table 5-B| Reclaim MPTE'!I81*($C48/'Table 5-B| Reclaim MPTE'!$E81)),0)</f>
        <v>0</v>
      </c>
      <c r="H48" s="388">
        <f>IFERROR(IFERROR(1-VLOOKUP('Table 6-A| Controls &amp; Limits'!$K$30,'Emission Controls'!$A$20:$L$33,7,),1)*('Table 5-B| Reclaim MPTE'!J81*($C48/'Table 5-B| Reclaim MPTE'!$E81)),0)</f>
        <v>0</v>
      </c>
      <c r="I48" s="388">
        <f>IFERROR(IFERROR(1-VLOOKUP('Table 6-A| Controls &amp; Limits'!$K$30,'Emission Controls'!$A$20:$L$33,8,),1)*('Table 5-B| Reclaim MPTE'!K81*($C48/'Table 5-B| Reclaim MPTE'!$E81)),0)</f>
        <v>0</v>
      </c>
      <c r="J48" s="388">
        <f>IFERROR(IFERROR(1-VLOOKUP('Table 6-A| Controls &amp; Limits'!$K$30,'Emission Controls'!$A$20:$L$33,9,),1)*('Table 5-B| Reclaim MPTE'!L81*($C48/'Table 5-B| Reclaim MPTE'!$E81)),0)</f>
        <v>0</v>
      </c>
      <c r="K48" s="388">
        <f>IFERROR(IFERROR(1-VLOOKUP('Table 6-A| Controls &amp; Limits'!$K$30,'Emission Controls'!$A$20:$L$33,10,),1)*('Table 5-B| Reclaim MPTE'!M81*($C48/'Table 5-B| Reclaim MPTE'!$E81)),0)</f>
        <v>0</v>
      </c>
      <c r="L48" s="388">
        <f>IFERROR(IFERROR(1-VLOOKUP('Table 6-A| Controls &amp; Limits'!$K$30,'Emission Controls'!$A$20:$L$33,11,),1)*('Table 5-B| Reclaim MPTE'!N81*($C48/'Table 5-B| Reclaim MPTE'!$E81)),0)</f>
        <v>0</v>
      </c>
      <c r="M48" s="389">
        <f>IFERROR(IFERROR(1-VLOOKUP('Table 6-A| Controls &amp; Limits'!$K$30,'Emission Controls'!$A$20:$L$33,12,),1)*('Table 5-B| Reclaim MPTE'!O81*($C48/'Table 5-B| Reclaim MPTE'!$E81)),0)</f>
        <v>0</v>
      </c>
    </row>
    <row r="49" spans="1:13" ht="18" customHeight="1" thickBot="1" x14ac:dyDescent="0.3">
      <c r="A49" s="309">
        <f>IF('Table 3-A| Emission Units'!$M106=0,0,'Table 3-A| Emission Units'!$A106&amp;"-"&amp;'Table 3-A| Emission Units'!$B106)</f>
        <v>0</v>
      </c>
      <c r="B49" s="310">
        <f>'Table 3-A| Emission Units'!$C106</f>
        <v>30502003</v>
      </c>
      <c r="C49" s="312">
        <f>IF($A49=$A48,0,IF('Table 6-A| Controls &amp; Limits'!$C31="Yes",'Table 6-A| Controls &amp; Limits'!$E31,'Table 6-A| Controls &amp; Limits'!$D31))</f>
        <v>0</v>
      </c>
      <c r="D49" s="390" t="str">
        <f>'Table 5-B| Reclaim MPTE'!D82</f>
        <v>tons</v>
      </c>
      <c r="E49" s="391">
        <f>IFERROR(IFERROR(1-VLOOKUP('Table 6-A| Controls &amp; Limits'!$K$31,'Emission Controls'!$A$20:$L$33,4,),1)*('Table 5-B| Reclaim MPTE'!G82*($C49/'Table 5-B| Reclaim MPTE'!$E82)),0)</f>
        <v>0</v>
      </c>
      <c r="F49" s="392">
        <f>IFERROR(IFERROR(1-VLOOKUP('Table 6-A| Controls &amp; Limits'!$K$31,'Emission Controls'!$A$20:$L$33,5,),1)*('Table 5-B| Reclaim MPTE'!H82*($C49/'Table 5-B| Reclaim MPTE'!$E82)),0)</f>
        <v>0</v>
      </c>
      <c r="G49" s="392">
        <f>IFERROR(IFERROR(1-VLOOKUP('Table 6-A| Controls &amp; Limits'!$K$31,'Emission Controls'!$A$20:$L$33,6,),1)*('Table 5-B| Reclaim MPTE'!I82*($C49/'Table 5-B| Reclaim MPTE'!$E82)),0)</f>
        <v>0</v>
      </c>
      <c r="H49" s="392">
        <f>IFERROR(IFERROR(1-VLOOKUP('Table 6-A| Controls &amp; Limits'!$K$31,'Emission Controls'!$A$20:$L$33,7,),1)*('Table 5-B| Reclaim MPTE'!J82*($C49/'Table 5-B| Reclaim MPTE'!$E82)),0)</f>
        <v>0</v>
      </c>
      <c r="I49" s="392">
        <f>IFERROR(IFERROR(1-VLOOKUP('Table 6-A| Controls &amp; Limits'!$K$31,'Emission Controls'!$A$20:$L$33,8,),1)*('Table 5-B| Reclaim MPTE'!K82*($C49/'Table 5-B| Reclaim MPTE'!$E82)),0)</f>
        <v>0</v>
      </c>
      <c r="J49" s="392">
        <f>IFERROR(IFERROR(1-VLOOKUP('Table 6-A| Controls &amp; Limits'!$K$31,'Emission Controls'!$A$20:$L$33,9,),1)*('Table 5-B| Reclaim MPTE'!L82*($C49/'Table 5-B| Reclaim MPTE'!$E82)),0)</f>
        <v>0</v>
      </c>
      <c r="K49" s="392">
        <f>IFERROR(IFERROR(1-VLOOKUP('Table 6-A| Controls &amp; Limits'!$K$31,'Emission Controls'!$A$20:$L$33,10,),1)*('Table 5-B| Reclaim MPTE'!M82*($C49/'Table 5-B| Reclaim MPTE'!$E82)),0)</f>
        <v>0</v>
      </c>
      <c r="L49" s="392">
        <f>IFERROR(IFERROR(1-VLOOKUP('Table 6-A| Controls &amp; Limits'!$K$31,'Emission Controls'!$A$20:$L$33,11,),1)*('Table 5-B| Reclaim MPTE'!N82*($C49/'Table 5-B| Reclaim MPTE'!$E82)),0)</f>
        <v>0</v>
      </c>
      <c r="M49" s="393">
        <f>IFERROR(IFERROR(1-VLOOKUP('Table 6-A| Controls &amp; Limits'!$K$31,'Emission Controls'!$A$20:$L$33,12,),1)*('Table 5-B| Reclaim MPTE'!O82*($C49/'Table 5-B| Reclaim MPTE'!$E82)),0)</f>
        <v>0</v>
      </c>
    </row>
    <row r="50" spans="1:13" ht="18" customHeight="1" x14ac:dyDescent="0.25"/>
    <row r="51" spans="1:13" ht="18" customHeight="1" x14ac:dyDescent="0.25"/>
    <row r="52" spans="1:13" ht="18" customHeight="1" x14ac:dyDescent="0.25"/>
    <row r="53" spans="1:13" ht="18" customHeight="1" x14ac:dyDescent="0.25"/>
    <row r="54" spans="1:13" ht="18" customHeight="1" x14ac:dyDescent="0.25"/>
    <row r="55" spans="1:13" ht="18" customHeight="1" x14ac:dyDescent="0.25"/>
    <row r="56" spans="1:13" ht="18" customHeight="1" x14ac:dyDescent="0.25"/>
    <row r="57" spans="1:13" ht="18" customHeight="1" x14ac:dyDescent="0.25"/>
    <row r="58" spans="1:13" ht="18" customHeight="1" x14ac:dyDescent="0.25"/>
    <row r="59" spans="1:13" ht="18" customHeight="1" x14ac:dyDescent="0.25"/>
    <row r="60" spans="1:13" ht="18" customHeight="1" x14ac:dyDescent="0.25"/>
    <row r="61" spans="1:13" ht="18" customHeight="1" x14ac:dyDescent="0.25"/>
    <row r="62" spans="1:13" ht="18" customHeight="1" x14ac:dyDescent="0.25"/>
    <row r="63" spans="1:13" ht="18" customHeight="1" x14ac:dyDescent="0.25"/>
    <row r="64" spans="1:13" ht="18" customHeight="1" x14ac:dyDescent="0.25"/>
    <row r="65" ht="18" customHeight="1" x14ac:dyDescent="0.25"/>
    <row r="66" ht="18" customHeight="1" x14ac:dyDescent="0.25"/>
    <row r="67" ht="18" customHeight="1" x14ac:dyDescent="0.25"/>
    <row r="68" ht="18" customHeight="1" x14ac:dyDescent="0.25"/>
    <row r="69" ht="18" customHeight="1" x14ac:dyDescent="0.25"/>
    <row r="70" ht="18" customHeight="1" x14ac:dyDescent="0.25"/>
    <row r="71" ht="18" customHeight="1" x14ac:dyDescent="0.25"/>
    <row r="72" ht="18" customHeight="1" x14ac:dyDescent="0.25"/>
    <row r="73" ht="18" customHeight="1" x14ac:dyDescent="0.25"/>
    <row r="74" ht="18" customHeight="1" x14ac:dyDescent="0.25"/>
    <row r="75" ht="18" customHeight="1" x14ac:dyDescent="0.25"/>
    <row r="76" ht="18" customHeight="1" x14ac:dyDescent="0.25"/>
    <row r="77" ht="18" customHeight="1" x14ac:dyDescent="0.25"/>
    <row r="78" ht="18" customHeight="1" x14ac:dyDescent="0.25"/>
    <row r="79" ht="18" customHeight="1" x14ac:dyDescent="0.25"/>
    <row r="80" ht="18" customHeight="1" x14ac:dyDescent="0.25"/>
    <row r="81" spans="35:42" ht="18" customHeight="1" x14ac:dyDescent="0.25"/>
    <row r="82" spans="35:42" ht="18" customHeight="1" x14ac:dyDescent="0.25"/>
    <row r="83" spans="35:42" ht="18" customHeight="1" x14ac:dyDescent="0.25"/>
    <row r="84" spans="35:42" ht="18" customHeight="1" x14ac:dyDescent="0.25"/>
    <row r="85" spans="35:42" ht="18" customHeight="1" x14ac:dyDescent="0.25"/>
    <row r="86" spans="35:42" ht="18" customHeight="1" x14ac:dyDescent="0.25"/>
    <row r="87" spans="35:42" ht="18" customHeight="1" x14ac:dyDescent="0.25"/>
    <row r="88" spans="35:42" ht="18" customHeight="1" x14ac:dyDescent="0.25"/>
    <row r="89" spans="35:42" ht="18" customHeight="1" x14ac:dyDescent="0.25">
      <c r="AI89" s="64" t="s">
        <v>2227</v>
      </c>
      <c r="AJ89" s="64"/>
      <c r="AK89" s="64"/>
      <c r="AL89" s="64"/>
      <c r="AM89" s="64"/>
      <c r="AN89" s="124"/>
      <c r="AO89" s="124"/>
      <c r="AP89" s="124"/>
    </row>
    <row r="90" spans="35:42" ht="18" customHeight="1" x14ac:dyDescent="0.25">
      <c r="AI90" s="64"/>
      <c r="AJ90" s="64"/>
      <c r="AK90" s="64"/>
      <c r="AL90" s="64"/>
      <c r="AM90" s="64" t="s">
        <v>2228</v>
      </c>
      <c r="AN90" s="124"/>
      <c r="AO90" s="124"/>
      <c r="AP90" s="124"/>
    </row>
    <row r="91" spans="35:42" ht="18" customHeight="1" x14ac:dyDescent="0.25">
      <c r="AI91" s="659" t="s">
        <v>2229</v>
      </c>
      <c r="AJ91" s="660"/>
      <c r="AK91" s="660"/>
      <c r="AL91" s="660"/>
      <c r="AM91" s="660"/>
      <c r="AN91" s="661"/>
      <c r="AO91" s="661"/>
      <c r="AP91" s="661"/>
    </row>
    <row r="92" spans="35:42" ht="18" customHeight="1" x14ac:dyDescent="0.25">
      <c r="AI92" s="1425" t="s">
        <v>2230</v>
      </c>
      <c r="AJ92" s="1425"/>
      <c r="AK92" s="1425"/>
      <c r="AL92" s="64"/>
      <c r="AM92" s="124"/>
      <c r="AN92" s="124"/>
      <c r="AO92" s="124"/>
      <c r="AP92" s="124"/>
    </row>
    <row r="93" spans="35:42" ht="18" customHeight="1" x14ac:dyDescent="0.25">
      <c r="AI93" s="1424" t="s">
        <v>2231</v>
      </c>
      <c r="AJ93" s="1424"/>
      <c r="AK93" s="1424"/>
      <c r="AL93" s="66" t="s">
        <v>2202</v>
      </c>
      <c r="AM93" s="662">
        <v>2.2000000000000001E-3</v>
      </c>
      <c r="AN93" s="663" t="s">
        <v>2232</v>
      </c>
      <c r="AO93" s="124"/>
      <c r="AP93" s="124"/>
    </row>
    <row r="94" spans="35:42" ht="18" customHeight="1" x14ac:dyDescent="0.25">
      <c r="AM94" s="662">
        <v>5.4000000000000001E-4</v>
      </c>
      <c r="AN94" s="663" t="s">
        <v>2248</v>
      </c>
      <c r="AO94" s="124"/>
      <c r="AP94" s="124"/>
    </row>
    <row r="95" spans="35:42" ht="18" customHeight="1" x14ac:dyDescent="0.25">
      <c r="AI95" s="1423" t="s">
        <v>2233</v>
      </c>
      <c r="AJ95" s="1423"/>
      <c r="AK95" s="1423"/>
      <c r="AL95" s="66" t="s">
        <v>2202</v>
      </c>
      <c r="AM95" s="662">
        <v>12</v>
      </c>
      <c r="AN95" s="663" t="s">
        <v>2234</v>
      </c>
      <c r="AO95" s="124"/>
      <c r="AP95" s="124"/>
    </row>
    <row r="96" spans="35:42" ht="18" customHeight="1" x14ac:dyDescent="0.25">
      <c r="AI96" s="1423" t="s">
        <v>2235</v>
      </c>
      <c r="AJ96" s="1424"/>
      <c r="AK96" s="1424"/>
      <c r="AL96" s="66"/>
      <c r="AN96" s="663"/>
    </row>
    <row r="97" spans="35:40" ht="18" customHeight="1" x14ac:dyDescent="0.25"/>
    <row r="98" spans="35:40" ht="18" customHeight="1" x14ac:dyDescent="0.25">
      <c r="AI98" s="64" t="s">
        <v>2236</v>
      </c>
      <c r="AJ98" s="64"/>
      <c r="AK98" s="64"/>
      <c r="AL98" s="64"/>
      <c r="AM98" s="124"/>
      <c r="AN98" s="124"/>
    </row>
    <row r="99" spans="35:40" ht="18" customHeight="1" x14ac:dyDescent="0.25">
      <c r="AI99" s="64"/>
      <c r="AJ99" s="64"/>
      <c r="AK99" s="64"/>
      <c r="AL99" s="64"/>
      <c r="AM99" s="64" t="s">
        <v>2237</v>
      </c>
      <c r="AN99" s="124"/>
    </row>
    <row r="100" spans="35:40" ht="18" customHeight="1" x14ac:dyDescent="0.25">
      <c r="AI100" s="659"/>
      <c r="AJ100" s="660"/>
      <c r="AK100" s="660"/>
      <c r="AL100" s="660"/>
      <c r="AM100" s="660"/>
      <c r="AN100" s="661"/>
    </row>
    <row r="101" spans="35:40" ht="18" customHeight="1" x14ac:dyDescent="0.25">
      <c r="AI101" s="1425" t="s">
        <v>2238</v>
      </c>
      <c r="AJ101" s="1425"/>
      <c r="AK101" s="1425"/>
      <c r="AL101" s="64"/>
      <c r="AM101" s="124"/>
      <c r="AN101" s="124"/>
    </row>
    <row r="102" spans="35:40" ht="18" customHeight="1" x14ac:dyDescent="0.25">
      <c r="AI102" s="1424" t="s">
        <v>2231</v>
      </c>
      <c r="AJ102" s="1424"/>
      <c r="AK102" s="1424"/>
      <c r="AL102" s="66" t="s">
        <v>2202</v>
      </c>
      <c r="AM102" s="662">
        <v>1.5</v>
      </c>
      <c r="AN102" s="663" t="s">
        <v>2239</v>
      </c>
    </row>
    <row r="103" spans="35:40" ht="18" customHeight="1" x14ac:dyDescent="0.25">
      <c r="AM103" s="662">
        <v>0.15</v>
      </c>
      <c r="AN103" s="663" t="s">
        <v>2247</v>
      </c>
    </row>
    <row r="104" spans="35:40" ht="18" customHeight="1" x14ac:dyDescent="0.25">
      <c r="AI104" s="1423" t="s">
        <v>2240</v>
      </c>
      <c r="AJ104" s="1423"/>
      <c r="AK104" s="1423"/>
      <c r="AL104" s="66" t="s">
        <v>2202</v>
      </c>
      <c r="AM104" s="662">
        <v>10</v>
      </c>
      <c r="AN104" s="663" t="s">
        <v>2241</v>
      </c>
    </row>
    <row r="105" spans="35:40" ht="18" customHeight="1" x14ac:dyDescent="0.25">
      <c r="AI105" s="1423" t="s">
        <v>2242</v>
      </c>
      <c r="AJ105" s="1424"/>
      <c r="AK105" s="1424"/>
      <c r="AL105" s="66" t="s">
        <v>2202</v>
      </c>
      <c r="AM105" s="662">
        <v>0.9</v>
      </c>
      <c r="AN105" s="663" t="s">
        <v>2243</v>
      </c>
    </row>
    <row r="106" spans="35:40" ht="18" customHeight="1" x14ac:dyDescent="0.25">
      <c r="AI106" s="1423" t="s">
        <v>2235</v>
      </c>
      <c r="AJ106" s="1424"/>
      <c r="AK106" s="1424"/>
      <c r="AL106" s="66"/>
      <c r="AM106" s="124"/>
      <c r="AN106" s="124"/>
    </row>
    <row r="107" spans="35:40" ht="18" customHeight="1" x14ac:dyDescent="0.25">
      <c r="AI107" s="1423" t="s">
        <v>2244</v>
      </c>
      <c r="AJ107" s="1424"/>
      <c r="AK107" s="1424"/>
      <c r="AL107" s="66" t="s">
        <v>2202</v>
      </c>
      <c r="AM107" s="662">
        <v>0.45</v>
      </c>
      <c r="AN107" s="663" t="s">
        <v>2243</v>
      </c>
    </row>
    <row r="108" spans="35:40" ht="18" customHeight="1" x14ac:dyDescent="0.25"/>
    <row r="109" spans="35:40" ht="18" customHeight="1" x14ac:dyDescent="0.25"/>
    <row r="110" spans="35:40" ht="18" customHeight="1" x14ac:dyDescent="0.25"/>
    <row r="111" spans="35:40" ht="18" customHeight="1" x14ac:dyDescent="0.25"/>
    <row r="112" spans="35:40" ht="18" customHeight="1" x14ac:dyDescent="0.25"/>
    <row r="113" ht="18" customHeight="1" x14ac:dyDescent="0.25"/>
  </sheetData>
  <sheetProtection algorithmName="SHA-512" hashValue="jD7D1D/+4Ik1WPymiiqnJi/XuGVtIHKnoDfTeOkzYIBvaI2d43HZwlJ0uIfbGOPGXyMJkKsUIG7DeEArxiTGkg==" saltValue="etV4lvwIfgKZYtoP3uo4yg==" spinCount="100000" sheet="1" objects="1" scenarios="1"/>
  <mergeCells count="43">
    <mergeCell ref="AI107:AK107"/>
    <mergeCell ref="AI92:AK92"/>
    <mergeCell ref="AI93:AK93"/>
    <mergeCell ref="AI95:AK95"/>
    <mergeCell ref="AI96:AK96"/>
    <mergeCell ref="AI101:AK101"/>
    <mergeCell ref="AI102:AK102"/>
    <mergeCell ref="AI104:AK104"/>
    <mergeCell ref="AI105:AK105"/>
    <mergeCell ref="AI106:AK106"/>
    <mergeCell ref="A46:M46"/>
    <mergeCell ref="Q33:Y33"/>
    <mergeCell ref="N34:O35"/>
    <mergeCell ref="N36:O37"/>
    <mergeCell ref="Q28:R28"/>
    <mergeCell ref="Q29:R29"/>
    <mergeCell ref="Q30:R30"/>
    <mergeCell ref="Q31:R31"/>
    <mergeCell ref="Y26:AD26"/>
    <mergeCell ref="A12:M12"/>
    <mergeCell ref="Q21:R21"/>
    <mergeCell ref="Q22:R22"/>
    <mergeCell ref="Q23:R23"/>
    <mergeCell ref="Q24:R24"/>
    <mergeCell ref="S26:X26"/>
    <mergeCell ref="Y19:AD19"/>
    <mergeCell ref="Q14:R14"/>
    <mergeCell ref="Q15:R15"/>
    <mergeCell ref="Q16:R16"/>
    <mergeCell ref="Q17:R17"/>
    <mergeCell ref="S19:X19"/>
    <mergeCell ref="Y12:AD12"/>
    <mergeCell ref="A7:M7"/>
    <mergeCell ref="A8:M8"/>
    <mergeCell ref="A9:M9"/>
    <mergeCell ref="A10:M10"/>
    <mergeCell ref="S12:X12"/>
    <mergeCell ref="A6:M6"/>
    <mergeCell ref="A1:M1"/>
    <mergeCell ref="A2:M2"/>
    <mergeCell ref="A3:M3"/>
    <mergeCell ref="A4:M4"/>
    <mergeCell ref="A5:M5"/>
  </mergeCells>
  <conditionalFormatting sqref="A12:M49">
    <cfRule type="expression" dxfId="73" priority="1">
      <formula>$A12=0</formula>
    </cfRule>
  </conditionalFormatting>
  <conditionalFormatting sqref="A13:M45 A47:M49">
    <cfRule type="expression" dxfId="72" priority="6">
      <formula>$C13=0</formula>
    </cfRule>
  </conditionalFormatting>
  <conditionalFormatting sqref="A47:M49">
    <cfRule type="expression" dxfId="71" priority="5">
      <formula>$A47=""</formula>
    </cfRule>
  </conditionalFormatting>
  <conditionalFormatting sqref="B13:B45 B47:B49">
    <cfRule type="cellIs" dxfId="70" priority="9" operator="greaterThan">
      <formula>99999999</formula>
    </cfRule>
  </conditionalFormatting>
  <conditionalFormatting sqref="C13:M45 C47:M49">
    <cfRule type="cellIs" dxfId="69" priority="7" stopIfTrue="1" operator="greaterThanOrEqual">
      <formula>1000</formula>
    </cfRule>
    <cfRule type="cellIs" dxfId="68" priority="8" stopIfTrue="1" operator="equal">
      <formula>0</formula>
    </cfRule>
  </conditionalFormatting>
  <printOptions horizontalCentered="1"/>
  <pageMargins left="0.5" right="0.5" top="0.5" bottom="0.5" header="0.3" footer="0.3"/>
  <pageSetup scale="74" fitToHeight="0" orientation="landscape" r:id="rId1"/>
  <headerFooter>
    <oddFooter>&amp;LRev. 7/2016&amp;C&amp;A&amp;RPage &amp;P</oddFooter>
  </headerFooter>
  <rowBreaks count="1" manualBreakCount="1">
    <brk id="34" max="12" man="1"/>
  </rowBreaks>
  <drawing r:id="rId2"/>
  <legacyDrawing r:id="rId3"/>
  <oleObjects>
    <mc:AlternateContent xmlns:mc="http://schemas.openxmlformats.org/markup-compatibility/2006">
      <mc:Choice Requires="x14">
        <oleObject progId="Equation.3" shapeId="132097" r:id="rId4">
          <objectPr defaultSize="0" autoPict="0" r:id="rId5">
            <anchor moveWithCells="1">
              <from>
                <xdr:col>34</xdr:col>
                <xdr:colOff>38100</xdr:colOff>
                <xdr:row>89</xdr:row>
                <xdr:rowOff>104775</xdr:rowOff>
              </from>
              <to>
                <xdr:col>36</xdr:col>
                <xdr:colOff>600075</xdr:colOff>
                <xdr:row>90</xdr:row>
                <xdr:rowOff>133350</xdr:rowOff>
              </to>
            </anchor>
          </objectPr>
        </oleObject>
      </mc:Choice>
      <mc:Fallback>
        <oleObject progId="Equation.3" shapeId="132097" r:id="rId4"/>
      </mc:Fallback>
    </mc:AlternateContent>
    <mc:AlternateContent xmlns:mc="http://schemas.openxmlformats.org/markup-compatibility/2006">
      <mc:Choice Requires="x14">
        <oleObject progId="Equation.3" shapeId="132098" r:id="rId6">
          <objectPr defaultSize="0" autoPict="0" r:id="rId7">
            <anchor moveWithCells="1">
              <from>
                <xdr:col>34</xdr:col>
                <xdr:colOff>47625</xdr:colOff>
                <xdr:row>98</xdr:row>
                <xdr:rowOff>0</xdr:rowOff>
              </from>
              <to>
                <xdr:col>36</xdr:col>
                <xdr:colOff>600075</xdr:colOff>
                <xdr:row>99</xdr:row>
                <xdr:rowOff>161925</xdr:rowOff>
              </to>
            </anchor>
          </objectPr>
        </oleObject>
      </mc:Choice>
      <mc:Fallback>
        <oleObject progId="Equation.3" shapeId="132098" r:id="rId6"/>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2060"/>
  </sheetPr>
  <dimension ref="A1:Y90"/>
  <sheetViews>
    <sheetView showGridLines="0" zoomScaleNormal="100" workbookViewId="0">
      <selection sqref="A1:F6"/>
    </sheetView>
  </sheetViews>
  <sheetFormatPr defaultRowHeight="18" customHeight="1" x14ac:dyDescent="0.25"/>
  <cols>
    <col min="1" max="1" width="28" style="50" customWidth="1"/>
    <col min="2" max="6" width="16.28515625" style="48" customWidth="1"/>
    <col min="7" max="7" width="5" style="48" customWidth="1"/>
    <col min="8" max="13" width="11.7109375" style="48" customWidth="1"/>
    <col min="14" max="14" width="9.42578125" style="48" bestFit="1" customWidth="1"/>
    <col min="15" max="16384" width="9.140625" style="48"/>
  </cols>
  <sheetData>
    <row r="1" spans="1:19" s="47" customFormat="1" ht="24.95" customHeight="1" x14ac:dyDescent="0.25">
      <c r="A1" s="974"/>
      <c r="B1" s="974"/>
      <c r="C1" s="974"/>
      <c r="D1" s="974"/>
      <c r="E1" s="974"/>
      <c r="F1" s="974"/>
    </row>
    <row r="2" spans="1:19" s="47" customFormat="1" ht="18.95" customHeight="1" x14ac:dyDescent="0.25">
      <c r="A2" s="974"/>
      <c r="B2" s="974"/>
      <c r="C2" s="974"/>
      <c r="D2" s="974"/>
      <c r="E2" s="974"/>
      <c r="F2" s="974"/>
      <c r="G2" s="48"/>
      <c r="H2" s="48"/>
      <c r="I2" s="48"/>
      <c r="J2" s="48"/>
      <c r="K2" s="48"/>
      <c r="L2" s="48"/>
    </row>
    <row r="3" spans="1:19" s="47" customFormat="1" ht="18.95" customHeight="1" x14ac:dyDescent="0.25">
      <c r="A3" s="974"/>
      <c r="B3" s="974"/>
      <c r="C3" s="974"/>
      <c r="D3" s="974"/>
      <c r="E3" s="974"/>
      <c r="F3" s="974"/>
      <c r="G3" s="48"/>
      <c r="H3" s="48"/>
      <c r="I3" s="48"/>
      <c r="J3" s="48"/>
      <c r="K3" s="48"/>
      <c r="L3" s="48"/>
    </row>
    <row r="4" spans="1:19" s="47" customFormat="1" ht="18.95" customHeight="1" x14ac:dyDescent="0.25">
      <c r="A4" s="974"/>
      <c r="B4" s="974"/>
      <c r="C4" s="974"/>
      <c r="D4" s="974"/>
      <c r="E4" s="974"/>
      <c r="F4" s="974"/>
      <c r="G4" s="48"/>
      <c r="H4" s="48"/>
      <c r="I4" s="48"/>
      <c r="J4" s="48"/>
      <c r="K4" s="48"/>
      <c r="L4" s="48"/>
    </row>
    <row r="5" spans="1:19" s="47" customFormat="1" ht="18.95" customHeight="1" x14ac:dyDescent="0.25">
      <c r="A5" s="974"/>
      <c r="B5" s="974"/>
      <c r="C5" s="974"/>
      <c r="D5" s="974"/>
      <c r="E5" s="974"/>
      <c r="F5" s="974"/>
      <c r="G5" s="48"/>
      <c r="H5" s="48"/>
      <c r="I5" s="48"/>
      <c r="J5" s="48"/>
      <c r="K5" s="48"/>
      <c r="L5" s="48"/>
    </row>
    <row r="6" spans="1:19" s="47" customFormat="1" ht="15.95" customHeight="1" x14ac:dyDescent="0.25">
      <c r="A6" s="974"/>
      <c r="B6" s="974"/>
      <c r="C6" s="974"/>
      <c r="D6" s="974"/>
      <c r="E6" s="974"/>
      <c r="F6" s="974"/>
      <c r="G6" s="48"/>
      <c r="H6" s="48"/>
      <c r="I6" s="48"/>
      <c r="J6" s="48"/>
      <c r="K6" s="48"/>
      <c r="L6" s="48"/>
    </row>
    <row r="7" spans="1:19" ht="17.100000000000001" customHeight="1" x14ac:dyDescent="0.25">
      <c r="A7" s="988" t="s">
        <v>1375</v>
      </c>
      <c r="B7" s="990" t="s">
        <v>1902</v>
      </c>
      <c r="C7" s="990"/>
      <c r="D7" s="990" t="s">
        <v>1903</v>
      </c>
      <c r="E7" s="990"/>
      <c r="F7" s="990"/>
    </row>
    <row r="8" spans="1:19" ht="17.100000000000001" customHeight="1" x14ac:dyDescent="0.25">
      <c r="A8" s="988"/>
      <c r="B8" s="990" t="s">
        <v>1799</v>
      </c>
      <c r="C8" s="990"/>
      <c r="D8" s="990" t="s">
        <v>1904</v>
      </c>
      <c r="E8" s="990"/>
      <c r="F8" s="990"/>
      <c r="N8" s="81" t="b">
        <v>0</v>
      </c>
      <c r="O8" s="81" t="b">
        <v>0</v>
      </c>
      <c r="P8" s="81" t="b">
        <v>0</v>
      </c>
      <c r="Q8" s="81" t="b">
        <v>0</v>
      </c>
      <c r="S8" s="125" t="b">
        <f>IF(AND(N8=FALSE,O8=FALSE,P8=FALSE,Q8=FALSE),FALSE,TRUE)</f>
        <v>0</v>
      </c>
    </row>
    <row r="9" spans="1:19" ht="18" customHeight="1" thickBot="1" x14ac:dyDescent="0.3">
      <c r="A9" s="989" t="s">
        <v>1418</v>
      </c>
      <c r="B9" s="989"/>
      <c r="C9" s="989"/>
      <c r="D9" s="989"/>
      <c r="E9" s="989"/>
      <c r="F9" s="989"/>
    </row>
    <row r="10" spans="1:19" ht="24.95" customHeight="1" thickBot="1" x14ac:dyDescent="0.3">
      <c r="A10" s="904" t="s">
        <v>1703</v>
      </c>
      <c r="B10" s="905"/>
      <c r="C10" s="905"/>
      <c r="D10" s="905"/>
      <c r="E10" s="905"/>
      <c r="F10" s="906"/>
    </row>
    <row r="11" spans="1:19" ht="20.100000000000001" customHeight="1" x14ac:dyDescent="0.25">
      <c r="A11" s="35" t="s">
        <v>1364</v>
      </c>
      <c r="B11" s="975"/>
      <c r="C11" s="975"/>
      <c r="D11" s="975"/>
      <c r="E11" s="975"/>
      <c r="F11" s="976"/>
    </row>
    <row r="12" spans="1:19" ht="20.100000000000001" customHeight="1" x14ac:dyDescent="0.25">
      <c r="A12" s="36" t="s">
        <v>1368</v>
      </c>
      <c r="B12" s="967"/>
      <c r="C12" s="967"/>
      <c r="D12" s="967"/>
      <c r="E12" s="967"/>
      <c r="F12" s="968"/>
    </row>
    <row r="13" spans="1:19" ht="20.100000000000001" customHeight="1" x14ac:dyDescent="0.25">
      <c r="A13" s="36" t="s">
        <v>1365</v>
      </c>
      <c r="B13" s="43"/>
      <c r="C13" s="34" t="s">
        <v>1366</v>
      </c>
      <c r="D13" s="44"/>
      <c r="E13" s="34" t="s">
        <v>1367</v>
      </c>
      <c r="F13" s="45"/>
    </row>
    <row r="14" spans="1:19" ht="15" customHeight="1" x14ac:dyDescent="0.25">
      <c r="A14" s="896" t="s">
        <v>1369</v>
      </c>
      <c r="B14" s="238" t="s">
        <v>1779</v>
      </c>
      <c r="C14" s="995" t="str">
        <f>IF(AND(N14=TRUE,O14=TRUE),"Too many boxes checked.",IF(N14=TRUE,"If so, name the state where incorporated:",""))</f>
        <v/>
      </c>
      <c r="D14" s="995"/>
      <c r="E14" s="991"/>
      <c r="F14" s="992"/>
      <c r="N14" s="82" t="b">
        <v>0</v>
      </c>
      <c r="O14" s="82" t="b">
        <v>0</v>
      </c>
    </row>
    <row r="15" spans="1:19" ht="15" customHeight="1" thickBot="1" x14ac:dyDescent="0.3">
      <c r="A15" s="997"/>
      <c r="B15" s="239" t="s">
        <v>1780</v>
      </c>
      <c r="C15" s="996"/>
      <c r="D15" s="996"/>
      <c r="E15" s="993"/>
      <c r="F15" s="994"/>
    </row>
    <row r="16" spans="1:19" ht="24.95" customHeight="1" thickBot="1" x14ac:dyDescent="0.3">
      <c r="A16" s="904" t="s">
        <v>1704</v>
      </c>
      <c r="B16" s="905"/>
      <c r="C16" s="905"/>
      <c r="D16" s="905"/>
      <c r="E16" s="905"/>
      <c r="F16" s="906"/>
      <c r="N16" s="125" t="b">
        <f>IF(AND($S$8=TRUE,NOT(ISBLANK(B11)),NOT(ISBLANK(B12)),NOT(ISBLANK(B13)),NOT(ISBLANK(D13)),NOT(ISBLANK(F13)),OR(AND(N14=TRUE,O14=FALSE,NOT(ISBLANK(E14))),AND(N14=FALSE,O14=TRUE))),TRUE,FALSE)</f>
        <v>0</v>
      </c>
      <c r="O16" s="1037" t="s">
        <v>1745</v>
      </c>
      <c r="P16" s="1038"/>
      <c r="Q16" s="1038"/>
      <c r="R16" s="1038"/>
      <c r="S16" s="1039"/>
    </row>
    <row r="17" spans="1:21" ht="20.100000000000001" customHeight="1" thickBot="1" x14ac:dyDescent="0.3">
      <c r="A17" s="35" t="s">
        <v>292</v>
      </c>
      <c r="B17" s="975"/>
      <c r="C17" s="975"/>
      <c r="D17" s="975"/>
      <c r="E17" s="975"/>
      <c r="F17" s="976"/>
    </row>
    <row r="18" spans="1:21" ht="20.100000000000001" customHeight="1" thickBot="1" x14ac:dyDescent="0.3">
      <c r="A18" s="36" t="s">
        <v>293</v>
      </c>
      <c r="B18" s="986"/>
      <c r="C18" s="986"/>
      <c r="D18" s="986"/>
      <c r="E18" s="986"/>
      <c r="F18" s="987"/>
      <c r="G18" s="174" t="s">
        <v>1759</v>
      </c>
      <c r="H18" s="930" t="s">
        <v>1760</v>
      </c>
      <c r="I18" s="931"/>
      <c r="J18" s="931"/>
      <c r="K18" s="931"/>
      <c r="L18" s="932"/>
    </row>
    <row r="19" spans="1:21" ht="20.100000000000001" customHeight="1" thickBot="1" x14ac:dyDescent="0.3">
      <c r="A19" s="36" t="s">
        <v>294</v>
      </c>
      <c r="B19" s="967"/>
      <c r="C19" s="967"/>
      <c r="D19" s="967"/>
      <c r="E19" s="967"/>
      <c r="F19" s="968"/>
    </row>
    <row r="20" spans="1:21" ht="20.100000000000001" customHeight="1" x14ac:dyDescent="0.25">
      <c r="A20" s="36" t="s">
        <v>295</v>
      </c>
      <c r="B20" s="46"/>
      <c r="C20" s="34" t="s">
        <v>296</v>
      </c>
      <c r="D20" s="33" t="s">
        <v>1774</v>
      </c>
      <c r="E20" s="34" t="s">
        <v>297</v>
      </c>
      <c r="F20" s="45"/>
      <c r="H20" s="1028" t="s">
        <v>2263</v>
      </c>
      <c r="I20" s="1029"/>
      <c r="J20" s="1029"/>
      <c r="K20" s="1029"/>
      <c r="L20" s="1030"/>
    </row>
    <row r="21" spans="1:21" ht="27" customHeight="1" x14ac:dyDescent="0.25">
      <c r="A21" s="983" t="s">
        <v>298</v>
      </c>
      <c r="B21" s="434">
        <v>324121</v>
      </c>
      <c r="C21" s="980" t="str">
        <f>IF(ISBLANK(B21),"",IF(B21&gt;999999,"Invalid Entry",IFERROR(VLOOKUP(B21,'2012NAICS'!$A$3:$B$1067,2),"Invalid Entry")))</f>
        <v xml:space="preserve">Asphalt Paving Mixture and Block Manufacturing </v>
      </c>
      <c r="D21" s="981"/>
      <c r="E21" s="981"/>
      <c r="F21" s="982"/>
      <c r="G21" s="1001" t="s">
        <v>1390</v>
      </c>
      <c r="H21" s="1031"/>
      <c r="I21" s="1032"/>
      <c r="J21" s="1032"/>
      <c r="K21" s="1032"/>
      <c r="L21" s="1033"/>
    </row>
    <row r="22" spans="1:21" ht="27" customHeight="1" thickBot="1" x14ac:dyDescent="0.3">
      <c r="A22" s="984"/>
      <c r="B22" s="434">
        <v>238910</v>
      </c>
      <c r="C22" s="939" t="str">
        <f>IF(ISBLANK(B22),"",IF(B22&gt;999999,"Invalid Entry",IFERROR(VLOOKUP(B22,'2012NAICS'!$A$3:$B$1067,2),"Invalid Entry")))</f>
        <v>Site Preparation Contractors</v>
      </c>
      <c r="D22" s="940"/>
      <c r="E22" s="940"/>
      <c r="F22" s="941"/>
      <c r="G22" s="1001"/>
      <c r="H22" s="1034"/>
      <c r="I22" s="1035"/>
      <c r="J22" s="1035"/>
      <c r="K22" s="1035"/>
      <c r="L22" s="1036"/>
    </row>
    <row r="23" spans="1:21" ht="27" customHeight="1" thickBot="1" x14ac:dyDescent="0.3">
      <c r="A23" s="985"/>
      <c r="B23" s="435"/>
      <c r="C23" s="977" t="str">
        <f>IF(ISBLANK(B23),"",IF(B23&gt;999999,"Invalid Entry",IFERROR(VLOOKUP(B23,'2012NAICS'!$A$3:$B$1067,2),"Invalid Entry")))</f>
        <v/>
      </c>
      <c r="D23" s="978"/>
      <c r="E23" s="978"/>
      <c r="F23" s="979"/>
      <c r="G23" s="1002"/>
      <c r="H23" s="998" t="s">
        <v>1416</v>
      </c>
      <c r="I23" s="999"/>
      <c r="J23" s="999"/>
      <c r="K23" s="999"/>
      <c r="L23" s="1000"/>
      <c r="N23" s="125" t="b">
        <f>IF(AND(N16=TRUE,NOT(ISBLANK(B17)),NOT(ISBLANK(B18)),NOT(ISBLANK(B19)),NOT(ISBLANK(B20)),NOT(ISBLANK(F20)),NOT(ISBLANK(B21))),TRUE,FALSE)</f>
        <v>0</v>
      </c>
    </row>
    <row r="24" spans="1:21" ht="15" customHeight="1" x14ac:dyDescent="0.25">
      <c r="A24" s="896" t="s">
        <v>1377</v>
      </c>
      <c r="B24" s="238" t="s">
        <v>1779</v>
      </c>
      <c r="C24" s="969" t="str">
        <f>IF(AND(N24=TRUE,O24=TRUE),"Too many boxes checked.",IF(N24=TRUE,"If so, which state(s)?",""))</f>
        <v/>
      </c>
      <c r="D24" s="911" t="str">
        <f>IF(AND($N24=FALSE,$O24=TRUE),"","         Iowa")</f>
        <v xml:space="preserve">         Iowa</v>
      </c>
      <c r="E24" s="911" t="str">
        <f>IF(AND($N24=FALSE,$O24=TRUE),"","         Kansas")</f>
        <v xml:space="preserve">         Kansas</v>
      </c>
      <c r="F24" s="912" t="str">
        <f>IF(AND($N24=FALSE,$O24=TRUE),"","         Missouri")</f>
        <v xml:space="preserve">         Missouri</v>
      </c>
      <c r="H24" s="1019" t="s">
        <v>1905</v>
      </c>
      <c r="I24" s="1020"/>
      <c r="J24" s="1020"/>
      <c r="K24" s="1020"/>
      <c r="L24" s="1021"/>
      <c r="N24" s="82" t="b">
        <v>0</v>
      </c>
      <c r="O24" s="82" t="b">
        <v>0</v>
      </c>
      <c r="Q24" s="82" t="b">
        <v>0</v>
      </c>
      <c r="R24" s="82" t="b">
        <v>0</v>
      </c>
      <c r="S24" s="82" t="b">
        <v>0</v>
      </c>
      <c r="U24" s="125" t="b">
        <f>IF(AND(N24=TRUE,O24=TRUE),FALSE,IF(O24=TRUE,TRUE,IF(AND(N24=TRUE,OR(Q24=TRUE,R24=TRUE,S24=TRUE)),TRUE,FALSE)))</f>
        <v>0</v>
      </c>
    </row>
    <row r="25" spans="1:21" ht="15" customHeight="1" x14ac:dyDescent="0.25">
      <c r="A25" s="897"/>
      <c r="B25" s="240" t="s">
        <v>1780</v>
      </c>
      <c r="C25" s="970"/>
      <c r="D25" s="914"/>
      <c r="E25" s="914"/>
      <c r="F25" s="915"/>
      <c r="H25" s="1022"/>
      <c r="I25" s="1023"/>
      <c r="J25" s="1023"/>
      <c r="K25" s="1023"/>
      <c r="L25" s="1024"/>
    </row>
    <row r="26" spans="1:21" ht="15" customHeight="1" x14ac:dyDescent="0.25">
      <c r="A26" s="898" t="s">
        <v>1363</v>
      </c>
      <c r="B26" s="238" t="s">
        <v>1779</v>
      </c>
      <c r="C26" s="900" t="str">
        <f>IF(AND(N26=TRUE,O26=TRUE),"Too many boxes checked.",IF(AND(N26=FALSE,O26=TRUE),"",IF(N26=TRUE,"If yes, provide the following information:","")))</f>
        <v/>
      </c>
      <c r="D26" s="900"/>
      <c r="E26" s="900"/>
      <c r="F26" s="901"/>
      <c r="H26" s="1022"/>
      <c r="I26" s="1023"/>
      <c r="J26" s="1023"/>
      <c r="K26" s="1023"/>
      <c r="L26" s="1024"/>
      <c r="N26" s="82" t="b">
        <v>0</v>
      </c>
      <c r="O26" s="82" t="b">
        <v>0</v>
      </c>
    </row>
    <row r="27" spans="1:21" ht="15" customHeight="1" x14ac:dyDescent="0.25">
      <c r="A27" s="899"/>
      <c r="B27" s="240" t="s">
        <v>1780</v>
      </c>
      <c r="C27" s="902"/>
      <c r="D27" s="902"/>
      <c r="E27" s="902"/>
      <c r="F27" s="903"/>
      <c r="H27" s="1022"/>
      <c r="I27" s="1023"/>
      <c r="J27" s="1023"/>
      <c r="K27" s="1023"/>
      <c r="L27" s="1024"/>
    </row>
    <row r="28" spans="1:21" ht="20.100000000000001" customHeight="1" x14ac:dyDescent="0.25">
      <c r="A28" s="36" t="str">
        <f>IF(AND(N26=FALSE,O26=TRUE),"","Property Owner Name:")</f>
        <v>Property Owner Name:</v>
      </c>
      <c r="B28" s="1057"/>
      <c r="C28" s="1057"/>
      <c r="D28" s="1057"/>
      <c r="E28" s="1057"/>
      <c r="F28" s="1058"/>
      <c r="H28" s="1022"/>
      <c r="I28" s="1023"/>
      <c r="J28" s="1023"/>
      <c r="K28" s="1023"/>
      <c r="L28" s="1024"/>
    </row>
    <row r="29" spans="1:21" ht="20.100000000000001" customHeight="1" x14ac:dyDescent="0.25">
      <c r="A29" s="36" t="str">
        <f>IF(AND(N26=FALSE,O26=TRUE),"","Property Owner Address:")</f>
        <v>Property Owner Address:</v>
      </c>
      <c r="B29" s="967"/>
      <c r="C29" s="967"/>
      <c r="D29" s="967"/>
      <c r="E29" s="967"/>
      <c r="F29" s="968"/>
      <c r="H29" s="1022"/>
      <c r="I29" s="1023"/>
      <c r="J29" s="1023"/>
      <c r="K29" s="1023"/>
      <c r="L29" s="1024"/>
    </row>
    <row r="30" spans="1:21" ht="20.100000000000001" customHeight="1" thickBot="1" x14ac:dyDescent="0.3">
      <c r="A30" s="36" t="str">
        <f>IF(AND(N26=FALSE,O26=TRUE),"","Property Owner City:")</f>
        <v>Property Owner City:</v>
      </c>
      <c r="B30" s="43"/>
      <c r="C30" s="34" t="str">
        <f>IF(AND(N26=FALSE,O26=TRUE),"","State:")</f>
        <v>State:</v>
      </c>
      <c r="D30" s="44"/>
      <c r="E30" s="34" t="str">
        <f>IF(AND(N26=FALSE,O26=TRUE),"","ZIP:")</f>
        <v>ZIP:</v>
      </c>
      <c r="F30" s="45"/>
      <c r="H30" s="1022"/>
      <c r="I30" s="1023"/>
      <c r="J30" s="1023"/>
      <c r="K30" s="1023"/>
      <c r="L30" s="1024"/>
    </row>
    <row r="31" spans="1:21" ht="24.95" customHeight="1" thickBot="1" x14ac:dyDescent="0.3">
      <c r="A31" s="904" t="s">
        <v>1705</v>
      </c>
      <c r="B31" s="905"/>
      <c r="C31" s="905"/>
      <c r="D31" s="905"/>
      <c r="E31" s="905"/>
      <c r="F31" s="906"/>
      <c r="H31" s="1022"/>
      <c r="I31" s="1023"/>
      <c r="J31" s="1023"/>
      <c r="K31" s="1023"/>
      <c r="L31" s="1024"/>
      <c r="N31" s="125" t="b">
        <f>IF(AND(N16=TRUE,N23=TRUE,U24=TRUE,N26=TRUE,O26=FALSE,NOT(ISBLANK(B28)),NOT(ISBLANK(B29)),NOT(ISBLANK(B30)),NOT(ISBLANK(D30)),NOT(ISBLANK(F30))),TRUE,IF(AND(N16=TRUE,N26=FALSE,O26=TRUE,U24=TRUE),TRUE,FALSE))</f>
        <v>0</v>
      </c>
      <c r="O31" s="1037" t="s">
        <v>1748</v>
      </c>
      <c r="P31" s="1038"/>
      <c r="Q31" s="1038"/>
      <c r="R31" s="1038"/>
      <c r="S31" s="1039"/>
    </row>
    <row r="32" spans="1:21" ht="20.100000000000001" customHeight="1" thickBot="1" x14ac:dyDescent="0.3">
      <c r="A32" s="36" t="s">
        <v>1370</v>
      </c>
      <c r="B32" s="946"/>
      <c r="C32" s="947"/>
      <c r="D32" s="947"/>
      <c r="E32" s="947"/>
      <c r="F32" s="948"/>
      <c r="H32" s="1025"/>
      <c r="I32" s="1026"/>
      <c r="J32" s="1026"/>
      <c r="K32" s="1026"/>
      <c r="L32" s="1027"/>
    </row>
    <row r="33" spans="1:19" ht="27.95" customHeight="1" x14ac:dyDescent="0.25">
      <c r="A33" s="37" t="s">
        <v>1374</v>
      </c>
      <c r="B33" s="949"/>
      <c r="C33" s="950"/>
      <c r="D33" s="950"/>
      <c r="E33" s="950"/>
      <c r="F33" s="951"/>
    </row>
    <row r="34" spans="1:19" ht="20.100000000000001" customHeight="1" x14ac:dyDescent="0.25">
      <c r="A34" s="36" t="s">
        <v>1372</v>
      </c>
      <c r="B34" s="944"/>
      <c r="C34" s="945"/>
      <c r="D34" s="34" t="s">
        <v>1371</v>
      </c>
      <c r="E34" s="942"/>
      <c r="F34" s="943"/>
    </row>
    <row r="35" spans="1:19" ht="27.95" customHeight="1" x14ac:dyDescent="0.25">
      <c r="A35" s="37" t="s">
        <v>1439</v>
      </c>
      <c r="B35" s="944"/>
      <c r="C35" s="945"/>
      <c r="D35" s="83" t="s">
        <v>1440</v>
      </c>
      <c r="E35" s="907"/>
      <c r="F35" s="908"/>
      <c r="N35" s="125" t="b">
        <f>IF(AND(N31=TRUE,NOT(ISBLANK(B32)),NOT(ISBLANK(B33)),NOT(ISBLANK(B34)),NOT(ISBLANK(E34))),TRUE,FALSE)</f>
        <v>0</v>
      </c>
      <c r="O35" s="1037" t="s">
        <v>1746</v>
      </c>
      <c r="P35" s="1038"/>
      <c r="Q35" s="1038"/>
      <c r="R35" s="1038"/>
      <c r="S35" s="1039"/>
    </row>
    <row r="36" spans="1:19" ht="21.95" customHeight="1" x14ac:dyDescent="0.25">
      <c r="A36" s="965" t="s">
        <v>1373</v>
      </c>
      <c r="B36" s="958" t="s">
        <v>1781</v>
      </c>
      <c r="C36" s="958"/>
      <c r="D36" s="961" t="str">
        <f>IF(AND(N36=TRUE,O36=TRUE),"Too many boxes checked.",IF(O36=TRUE,"If other, provide the following information:",""))</f>
        <v/>
      </c>
      <c r="E36" s="961"/>
      <c r="F36" s="962"/>
      <c r="N36" s="82" t="b">
        <v>0</v>
      </c>
      <c r="O36" s="82" t="b">
        <v>0</v>
      </c>
    </row>
    <row r="37" spans="1:19" ht="21.95" customHeight="1" x14ac:dyDescent="0.25">
      <c r="A37" s="966"/>
      <c r="B37" s="909" t="s">
        <v>1782</v>
      </c>
      <c r="C37" s="910"/>
      <c r="D37" s="963"/>
      <c r="E37" s="963"/>
      <c r="F37" s="964"/>
    </row>
    <row r="38" spans="1:19" ht="20.100000000000001" customHeight="1" x14ac:dyDescent="0.25">
      <c r="A38" s="36" t="str">
        <f>IF(AND(N36=TRUE,O36=FALSE),"","Primary Contact Person:")</f>
        <v>Primary Contact Person:</v>
      </c>
      <c r="B38" s="949"/>
      <c r="C38" s="950"/>
      <c r="D38" s="950"/>
      <c r="E38" s="950"/>
      <c r="F38" s="951"/>
    </row>
    <row r="39" spans="1:19" ht="27.95" customHeight="1" x14ac:dyDescent="0.25">
      <c r="A39" s="37" t="str">
        <f>IF(AND(N36=TRUE,O36=FALSE),"","Primary Contact Person Company: (if different)")</f>
        <v>Primary Contact Person Company: (if different)</v>
      </c>
      <c r="B39" s="949"/>
      <c r="C39" s="950"/>
      <c r="D39" s="950"/>
      <c r="E39" s="950"/>
      <c r="F39" s="951"/>
    </row>
    <row r="40" spans="1:19" ht="20.100000000000001" customHeight="1" x14ac:dyDescent="0.25">
      <c r="A40" s="36" t="str">
        <f>IF(AND(N36=TRUE,O36=FALSE),"","Phone Number:")</f>
        <v>Phone Number:</v>
      </c>
      <c r="B40" s="944"/>
      <c r="C40" s="945"/>
      <c r="D40" s="34" t="str">
        <f>IF(AND(N36=TRUE,O36=FALSE),"","E-Mail:")</f>
        <v>E-Mail:</v>
      </c>
      <c r="E40" s="1055"/>
      <c r="F40" s="1056"/>
    </row>
    <row r="41" spans="1:19" ht="27.95" customHeight="1" thickBot="1" x14ac:dyDescent="0.3">
      <c r="A41" s="37" t="str">
        <f>IF(AND(N36=TRUE,O36=FALSE),"","Alternate Phone Number: (optional)")</f>
        <v>Alternate Phone Number: (optional)</v>
      </c>
      <c r="B41" s="944"/>
      <c r="C41" s="945"/>
      <c r="D41" s="83" t="str">
        <f>IF(AND(N36=TRUE,O36=FALSE),"","Fax Number: (optional)")</f>
        <v>Fax Number: (optional)</v>
      </c>
      <c r="E41" s="907"/>
      <c r="F41" s="908"/>
      <c r="N41" s="125" t="b">
        <f>IF(OR(AND(N31=TRUE,O36=TRUE,N36=FALSE,NOT(ISBLANK(B38)),NOT(ISBLANK(B40)),NOT(ISBLANK(E40))),AND(N36=TRUE,O36=FALSE)),TRUE,FALSE)</f>
        <v>0</v>
      </c>
      <c r="O41" s="1037" t="s">
        <v>1747</v>
      </c>
      <c r="P41" s="1038"/>
      <c r="Q41" s="1038"/>
      <c r="R41" s="1038"/>
      <c r="S41" s="1039"/>
    </row>
    <row r="42" spans="1:19" ht="24.95" customHeight="1" thickBot="1" x14ac:dyDescent="0.3">
      <c r="A42" s="904" t="s">
        <v>1706</v>
      </c>
      <c r="B42" s="905"/>
      <c r="C42" s="905"/>
      <c r="D42" s="905"/>
      <c r="E42" s="905"/>
      <c r="F42" s="906"/>
      <c r="N42" s="125" t="b">
        <f>IF(AND(N31=TRUE,N35=TRUE,N41=TRUE),TRUE,FALSE)</f>
        <v>0</v>
      </c>
      <c r="O42" s="1037" t="s">
        <v>1749</v>
      </c>
      <c r="P42" s="1038"/>
      <c r="Q42" s="1038"/>
      <c r="R42" s="1038"/>
      <c r="S42" s="1039"/>
    </row>
    <row r="43" spans="1:19" ht="20.100000000000001" customHeight="1" x14ac:dyDescent="0.25">
      <c r="A43" s="955" t="s">
        <v>1376</v>
      </c>
      <c r="B43" s="956"/>
      <c r="C43" s="956"/>
      <c r="D43" s="957"/>
      <c r="E43" s="234" t="s">
        <v>1779</v>
      </c>
      <c r="F43" s="235" t="s">
        <v>1780</v>
      </c>
      <c r="G43" s="1003" t="str">
        <f>IF(AND(N43=TRUE,O43=TRUE),"Too many boxes checked.","")</f>
        <v/>
      </c>
      <c r="H43" s="1004"/>
      <c r="I43" s="1004"/>
      <c r="J43" s="1004"/>
      <c r="N43" s="82" t="b">
        <v>0</v>
      </c>
      <c r="O43" s="82" t="b">
        <v>0</v>
      </c>
    </row>
    <row r="44" spans="1:19" ht="20.100000000000001" customHeight="1" x14ac:dyDescent="0.25">
      <c r="A44" s="917" t="str">
        <f>IF(AND(N43=FALSE,O43=TRUE),"","If so, what type of operating permit does the facility hold?")</f>
        <v>If so, what type of operating permit does the facility hold?</v>
      </c>
      <c r="B44" s="919"/>
      <c r="C44" s="913" t="str">
        <f>IF(AND(N43=FALSE,O43=TRUE),"","       Class I (Title V) - Major Source")</f>
        <v xml:space="preserve">       Class I (Title V) - Major Source</v>
      </c>
      <c r="D44" s="911"/>
      <c r="E44" s="911" t="str">
        <f>IF(AND(N43=FALSE,O43=TRUE),"","       Class II - Minor Source")</f>
        <v xml:space="preserve">       Class II - Minor Source</v>
      </c>
      <c r="F44" s="912"/>
      <c r="G44" s="1003" t="str">
        <f>IF(OR(AND(N44=TRUE,O44=TRUE),AND(N44=TRUE,P44=TRUE),AND(O44=TRUE,P44=TRUE)),"Too many boxes checked.","")</f>
        <v/>
      </c>
      <c r="H44" s="1004"/>
      <c r="I44" s="1004"/>
      <c r="J44" s="1004"/>
      <c r="N44" s="82" t="b">
        <v>0</v>
      </c>
      <c r="O44" s="82" t="b">
        <v>0</v>
      </c>
      <c r="P44" s="82" t="b">
        <v>0</v>
      </c>
    </row>
    <row r="45" spans="1:19" ht="20.100000000000001" customHeight="1" x14ac:dyDescent="0.25">
      <c r="A45" s="952"/>
      <c r="B45" s="954"/>
      <c r="C45" s="916" t="str">
        <f>IF(AND(N43=FALSE,O43=TRUE),"","       Class II - Synthetic Minor Source")</f>
        <v xml:space="preserve">       Class II - Synthetic Minor Source</v>
      </c>
      <c r="D45" s="914"/>
      <c r="E45" s="914"/>
      <c r="F45" s="915"/>
      <c r="G45" s="1003" t="str">
        <f>IF(AND(N45=TRUE,O45=TRUE),"Too many boxes checked.","")</f>
        <v/>
      </c>
      <c r="H45" s="1004"/>
      <c r="I45" s="1004"/>
      <c r="J45" s="1004"/>
      <c r="N45" s="125" t="b">
        <f>IF(AND(N41=TRUE,N43=TRUE,O43=FALSE,OR(AND(N44=TRUE,O44=FALSE,P44=FALSE),AND(N44=FALSE,O44=TRUE,P44=FALSE),AND(N44=FALSE,O44=FALSE,P44=TRUE))),TRUE,IF(AND(N41=TRUE,N43=FALSE,O43=TRUE),TRUE,FALSE))</f>
        <v>0</v>
      </c>
      <c r="O45" s="1037" t="s">
        <v>1750</v>
      </c>
      <c r="P45" s="1038"/>
      <c r="Q45" s="1038"/>
      <c r="R45" s="1038"/>
      <c r="S45" s="1039"/>
    </row>
    <row r="46" spans="1:19" ht="20.100000000000001" customHeight="1" x14ac:dyDescent="0.25">
      <c r="A46" s="1080" t="str">
        <f>IF(AND(N43=FALSE,O43=TRUE),"","What is the expiration date of the operating permit you currently hold?")</f>
        <v>What is the expiration date of the operating permit you currently hold?</v>
      </c>
      <c r="B46" s="1081"/>
      <c r="C46" s="1081"/>
      <c r="D46" s="1082"/>
      <c r="E46" s="1083"/>
      <c r="F46" s="1084"/>
      <c r="N46" s="125" t="b">
        <f>IF(AND(N45=TRUE,NOT(ISBLANK(E46))),TRUE,FALSE)</f>
        <v>0</v>
      </c>
      <c r="O46" s="1037" t="s">
        <v>1751</v>
      </c>
      <c r="P46" s="1038"/>
      <c r="Q46" s="1038"/>
      <c r="R46" s="1038"/>
      <c r="S46" s="1039"/>
    </row>
    <row r="47" spans="1:19" ht="30" customHeight="1" x14ac:dyDescent="0.25">
      <c r="A47" s="917" t="s">
        <v>1378</v>
      </c>
      <c r="B47" s="918"/>
      <c r="C47" s="918"/>
      <c r="D47" s="919"/>
      <c r="E47" s="236" t="s">
        <v>1779</v>
      </c>
      <c r="F47" s="237" t="s">
        <v>1780</v>
      </c>
      <c r="G47" s="1003" t="str">
        <f>IF(AND(N47=TRUE,O47=TRUE),"Too many boxes checked.","")</f>
        <v/>
      </c>
      <c r="H47" s="1004"/>
      <c r="I47" s="1004"/>
      <c r="J47" s="1004"/>
      <c r="N47" s="82" t="b">
        <v>0</v>
      </c>
      <c r="O47" s="82" t="b">
        <v>0</v>
      </c>
    </row>
    <row r="48" spans="1:19" ht="17.100000000000001" customHeight="1" x14ac:dyDescent="0.25">
      <c r="A48" s="917" t="str">
        <f>IF(AND(N47=FALSE,O47=TRUE),"","If so, list the numbers for all currently effective construction permits.  Do not include superceded permits.")</f>
        <v>If so, list the numbers for all currently effective construction permits.  Do not include superceded permits.</v>
      </c>
      <c r="B48" s="918"/>
      <c r="C48" s="919"/>
      <c r="D48" s="39"/>
      <c r="E48" s="39"/>
      <c r="F48" s="40"/>
      <c r="N48" s="125" t="b">
        <f>IF(OR(AND(N47=FALSE,O47=TRUE),AND(N47=TRUE,O47=FALSE,NOT(ISBLANK(D48)))),TRUE,FALSE)</f>
        <v>0</v>
      </c>
      <c r="O48" s="1037" t="s">
        <v>1752</v>
      </c>
      <c r="P48" s="1038"/>
      <c r="Q48" s="1038"/>
      <c r="R48" s="1038"/>
      <c r="S48" s="1039"/>
    </row>
    <row r="49" spans="1:24" ht="17.100000000000001" customHeight="1" x14ac:dyDescent="0.25">
      <c r="A49" s="952"/>
      <c r="B49" s="953"/>
      <c r="C49" s="954"/>
      <c r="D49" s="41"/>
      <c r="E49" s="41"/>
      <c r="F49" s="42"/>
    </row>
    <row r="50" spans="1:24" ht="20.100000000000001" customHeight="1" x14ac:dyDescent="0.25">
      <c r="A50" s="917" t="s">
        <v>1379</v>
      </c>
      <c r="B50" s="918"/>
      <c r="C50" s="913" t="s">
        <v>1907</v>
      </c>
      <c r="D50" s="911"/>
      <c r="E50" s="911" t="s">
        <v>1908</v>
      </c>
      <c r="F50" s="912"/>
      <c r="G50" s="1005" t="str">
        <f>IF(AND(S50=TRUE,N51=TRUE),"Your permit type will be determined later in the application.","")</f>
        <v/>
      </c>
      <c r="H50" s="1006"/>
      <c r="I50" s="1006"/>
      <c r="J50" s="1006"/>
      <c r="K50" s="1006"/>
      <c r="L50" s="1006"/>
      <c r="N50" s="82" t="b">
        <v>0</v>
      </c>
      <c r="O50" s="81" t="b">
        <v>0</v>
      </c>
      <c r="P50" s="82" t="b">
        <v>0</v>
      </c>
      <c r="Q50" s="82" t="b">
        <v>0</v>
      </c>
      <c r="S50" s="48" t="b">
        <v>0</v>
      </c>
      <c r="T50" s="48">
        <f>IF(N50=TRUE,1,0)</f>
        <v>0</v>
      </c>
      <c r="U50" s="48">
        <f>IF(O50=TRUE,1,0)</f>
        <v>0</v>
      </c>
      <c r="V50" s="48">
        <f>IF(P50=TRUE,1,0)</f>
        <v>0</v>
      </c>
      <c r="W50" s="48">
        <f>IF(Q50=TRUE,1,0)</f>
        <v>0</v>
      </c>
      <c r="X50" s="48">
        <f>IF(S50=TRUE,1,0)</f>
        <v>0</v>
      </c>
    </row>
    <row r="51" spans="1:24" ht="19.5" customHeight="1" x14ac:dyDescent="0.25">
      <c r="A51" s="920"/>
      <c r="B51" s="921"/>
      <c r="C51" s="927" t="s">
        <v>1909</v>
      </c>
      <c r="D51" s="928"/>
      <c r="E51" s="928"/>
      <c r="F51" s="929"/>
      <c r="G51" s="1007" t="str">
        <f>IF(AND(N50=FALSE,O50=FALSE,P50=FALSE,Q50=FALSE,N51=FALSE),"",IF(N51=FALSE,"Too many boxes checked.",""))</f>
        <v/>
      </c>
      <c r="H51" s="1008"/>
      <c r="I51" s="1008"/>
      <c r="J51" s="1008"/>
      <c r="K51" s="1008"/>
      <c r="L51" s="1008"/>
      <c r="N51" s="125" t="b">
        <f>IF(OR(SUM(T50:X50)=0,SUM(T50:X50)&gt;1),FALSE,TRUE)</f>
        <v>0</v>
      </c>
      <c r="O51" s="1037" t="s">
        <v>1753</v>
      </c>
      <c r="P51" s="1038"/>
      <c r="Q51" s="1038"/>
      <c r="R51" s="1038"/>
      <c r="S51" s="1039"/>
    </row>
    <row r="52" spans="1:24" ht="19.5" customHeight="1" thickBot="1" x14ac:dyDescent="0.3">
      <c r="A52" s="922"/>
      <c r="B52" s="923"/>
      <c r="C52" s="924" t="s">
        <v>1800</v>
      </c>
      <c r="D52" s="925"/>
      <c r="E52" s="925" t="s">
        <v>1906</v>
      </c>
      <c r="F52" s="926"/>
      <c r="G52" s="534"/>
      <c r="H52" s="534"/>
      <c r="I52" s="534"/>
      <c r="J52" s="534"/>
      <c r="K52" s="534"/>
      <c r="L52" s="534"/>
      <c r="N52" s="533"/>
      <c r="O52" s="533"/>
      <c r="P52" s="533"/>
      <c r="Q52" s="533"/>
      <c r="R52" s="533"/>
      <c r="S52" s="533"/>
    </row>
    <row r="53" spans="1:24" ht="24.95" customHeight="1" thickBot="1" x14ac:dyDescent="0.3">
      <c r="A53" s="904" t="s">
        <v>1707</v>
      </c>
      <c r="B53" s="905"/>
      <c r="C53" s="905"/>
      <c r="D53" s="905"/>
      <c r="E53" s="905"/>
      <c r="F53" s="906"/>
      <c r="N53" s="125" t="b">
        <f>IF(AND(N16=TRUE,N31=TRUE,N42=TRUE,N45=TRUE,N46=TRUE,N48=TRUE,N51=TRUE),TRUE,FALSE)</f>
        <v>0</v>
      </c>
      <c r="O53" s="1037" t="s">
        <v>1754</v>
      </c>
      <c r="P53" s="1038"/>
      <c r="Q53" s="1038"/>
      <c r="R53" s="1038"/>
      <c r="S53" s="1039"/>
    </row>
    <row r="54" spans="1:24" s="49" customFormat="1" ht="45" customHeight="1" x14ac:dyDescent="0.25">
      <c r="A54" s="959" t="s">
        <v>1382</v>
      </c>
      <c r="B54" s="933" t="s">
        <v>1726</v>
      </c>
      <c r="C54" s="934"/>
      <c r="D54" s="934"/>
      <c r="E54" s="934"/>
      <c r="F54" s="935"/>
      <c r="N54" s="84" t="b">
        <v>0</v>
      </c>
      <c r="O54" s="84" t="b">
        <v>0</v>
      </c>
    </row>
    <row r="55" spans="1:24" ht="15" customHeight="1" x14ac:dyDescent="0.25">
      <c r="A55" s="960"/>
      <c r="B55" s="936" t="s">
        <v>1727</v>
      </c>
      <c r="C55" s="937"/>
      <c r="D55" s="937"/>
      <c r="E55" s="937"/>
      <c r="F55" s="938"/>
      <c r="N55" s="125" t="b">
        <f>IF(OR(AND(N54=TRUE,O54=FALSE),AND(N54=FALSE,O54=TRUE)),TRUE,FALSE)</f>
        <v>0</v>
      </c>
      <c r="O55" s="1037" t="s">
        <v>1755</v>
      </c>
      <c r="P55" s="1038"/>
      <c r="Q55" s="1038"/>
      <c r="R55" s="1038"/>
      <c r="S55" s="1039"/>
    </row>
    <row r="56" spans="1:24" ht="30" customHeight="1" x14ac:dyDescent="0.25">
      <c r="A56" s="224" t="s">
        <v>1775</v>
      </c>
      <c r="B56" s="936" t="s">
        <v>1380</v>
      </c>
      <c r="C56" s="937"/>
      <c r="D56" s="937"/>
      <c r="E56" s="937"/>
      <c r="F56" s="938"/>
    </row>
    <row r="57" spans="1:24" ht="30" customHeight="1" x14ac:dyDescent="0.25">
      <c r="A57" s="225" t="s">
        <v>1776</v>
      </c>
      <c r="B57" s="1068" t="s">
        <v>1381</v>
      </c>
      <c r="C57" s="1069"/>
      <c r="D57" s="1069"/>
      <c r="E57" s="1069"/>
      <c r="F57" s="1070"/>
      <c r="N57" s="125" t="b">
        <f>IF(OR(AND(N58=TRUE,O58=FALSE),AND(N58=FALSE,O58=TRUE)),TRUE,FALSE)</f>
        <v>0</v>
      </c>
      <c r="O57" s="1037" t="s">
        <v>1756</v>
      </c>
      <c r="P57" s="1038"/>
      <c r="Q57" s="1038"/>
      <c r="R57" s="1038"/>
      <c r="S57" s="1039"/>
    </row>
    <row r="58" spans="1:24" s="49" customFormat="1" ht="30.75" customHeight="1" x14ac:dyDescent="0.25">
      <c r="A58" s="233" t="s">
        <v>1383</v>
      </c>
      <c r="B58" s="1071" t="s">
        <v>1801</v>
      </c>
      <c r="C58" s="1072"/>
      <c r="D58" s="1072"/>
      <c r="E58" s="1072"/>
      <c r="F58" s="1073"/>
      <c r="N58" s="84" t="b">
        <v>0</v>
      </c>
      <c r="O58" s="84" t="b">
        <v>0</v>
      </c>
    </row>
    <row r="59" spans="1:24" ht="18" customHeight="1" x14ac:dyDescent="0.25">
      <c r="A59" s="226" t="s">
        <v>1775</v>
      </c>
      <c r="B59" s="1074"/>
      <c r="C59" s="1075"/>
      <c r="D59" s="1075"/>
      <c r="E59" s="1075"/>
      <c r="F59" s="1076"/>
    </row>
    <row r="60" spans="1:24" ht="18" customHeight="1" thickBot="1" x14ac:dyDescent="0.3">
      <c r="A60" s="227" t="s">
        <v>1776</v>
      </c>
      <c r="B60" s="1077"/>
      <c r="C60" s="1078"/>
      <c r="D60" s="1078"/>
      <c r="E60" s="1078"/>
      <c r="F60" s="1079"/>
    </row>
    <row r="61" spans="1:24" s="49" customFormat="1" ht="33" customHeight="1" x14ac:dyDescent="0.25">
      <c r="A61" s="232" t="s">
        <v>1384</v>
      </c>
      <c r="B61" s="1049" t="s">
        <v>1802</v>
      </c>
      <c r="C61" s="1049"/>
      <c r="D61" s="1049"/>
      <c r="E61" s="1049"/>
      <c r="F61" s="1050"/>
      <c r="G61" s="1018" t="s">
        <v>1390</v>
      </c>
      <c r="H61" s="1009" t="s">
        <v>1385</v>
      </c>
      <c r="I61" s="1010"/>
      <c r="J61" s="1011"/>
      <c r="N61" s="84" t="b">
        <v>0</v>
      </c>
      <c r="O61" s="84" t="b">
        <v>0</v>
      </c>
      <c r="P61" s="84" t="b">
        <v>0</v>
      </c>
      <c r="Q61" s="125" t="b">
        <f>IF(OR(AND(N61=TRUE,O61=FALSE,P61=FALSE),AND(N61=FALSE,O61=TRUE,P61=FALSE),AND(N61=FALSE,O61=FALSE,P61=TRUE)),TRUE,FALSE)</f>
        <v>0</v>
      </c>
      <c r="R61" s="1037" t="s">
        <v>1757</v>
      </c>
      <c r="S61" s="1038"/>
      <c r="T61" s="1038"/>
      <c r="U61" s="1038"/>
      <c r="V61" s="1039"/>
    </row>
    <row r="62" spans="1:24" ht="20.100000000000001" customHeight="1" x14ac:dyDescent="0.25">
      <c r="A62" s="230" t="s">
        <v>1775</v>
      </c>
      <c r="B62" s="1051"/>
      <c r="C62" s="1051"/>
      <c r="D62" s="1051"/>
      <c r="E62" s="1051"/>
      <c r="F62" s="1052"/>
      <c r="G62" s="1018"/>
      <c r="H62" s="1012"/>
      <c r="I62" s="1013"/>
      <c r="J62" s="1014"/>
    </row>
    <row r="63" spans="1:24" ht="20.100000000000001" customHeight="1" x14ac:dyDescent="0.25">
      <c r="A63" s="230" t="s">
        <v>1776</v>
      </c>
      <c r="B63" s="1051"/>
      <c r="C63" s="1051"/>
      <c r="D63" s="1051"/>
      <c r="E63" s="1051"/>
      <c r="F63" s="1052"/>
      <c r="G63" s="1018"/>
      <c r="H63" s="1012"/>
      <c r="I63" s="1013"/>
      <c r="J63" s="1014"/>
    </row>
    <row r="64" spans="1:24" ht="20.100000000000001" customHeight="1" thickBot="1" x14ac:dyDescent="0.3">
      <c r="A64" s="231" t="s">
        <v>1777</v>
      </c>
      <c r="B64" s="1053"/>
      <c r="C64" s="1053"/>
      <c r="D64" s="1053"/>
      <c r="E64" s="1053"/>
      <c r="F64" s="1054"/>
      <c r="G64" s="1018"/>
      <c r="H64" s="1015"/>
      <c r="I64" s="1016"/>
      <c r="J64" s="1017"/>
    </row>
    <row r="65" spans="1:25" s="49" customFormat="1" ht="50.1" customHeight="1" x14ac:dyDescent="0.25">
      <c r="A65" s="232" t="s">
        <v>1778</v>
      </c>
      <c r="B65" s="1049" t="s">
        <v>1783</v>
      </c>
      <c r="C65" s="1049"/>
      <c r="D65" s="1049"/>
      <c r="E65" s="1049"/>
      <c r="F65" s="1050"/>
      <c r="N65" s="84" t="b">
        <v>0</v>
      </c>
      <c r="O65" s="84" t="b">
        <v>0</v>
      </c>
      <c r="Q65" s="125" t="b">
        <f>IF(OR(AND(N65=TRUE,O65=FALSE),AND(N65=FALSE,O65=TRUE)),TRUE,FALSE)</f>
        <v>0</v>
      </c>
      <c r="R65" s="1037" t="s">
        <v>1758</v>
      </c>
      <c r="S65" s="1038"/>
      <c r="T65" s="1038"/>
      <c r="U65" s="1038"/>
      <c r="V65" s="1039"/>
      <c r="W65" s="84" t="b">
        <v>0</v>
      </c>
      <c r="X65" s="84" t="b">
        <v>0</v>
      </c>
      <c r="Y65" s="178" t="b">
        <f>IF(OR(AND(W65=TRUE,X65=FALSE),AND(W65=FALSE,X65=TRUE)),TRUE,FALSE)</f>
        <v>0</v>
      </c>
    </row>
    <row r="66" spans="1:25" ht="50.1" customHeight="1" x14ac:dyDescent="0.25">
      <c r="A66" s="228" t="s">
        <v>1775</v>
      </c>
      <c r="B66" s="1051"/>
      <c r="C66" s="1051"/>
      <c r="D66" s="1051"/>
      <c r="E66" s="1051"/>
      <c r="F66" s="1052"/>
    </row>
    <row r="67" spans="1:25" ht="50.1" customHeight="1" thickBot="1" x14ac:dyDescent="0.3">
      <c r="A67" s="229" t="s">
        <v>1776</v>
      </c>
      <c r="B67" s="1053"/>
      <c r="C67" s="1053"/>
      <c r="D67" s="1053"/>
      <c r="E67" s="1053"/>
      <c r="F67" s="1054"/>
    </row>
    <row r="68" spans="1:25" ht="30" customHeight="1" x14ac:dyDescent="0.25">
      <c r="A68" s="37" t="s">
        <v>1386</v>
      </c>
      <c r="B68" s="1059"/>
      <c r="C68" s="1060"/>
      <c r="D68" s="1060"/>
      <c r="E68" s="1060"/>
      <c r="F68" s="1061"/>
      <c r="G68" s="1001" t="s">
        <v>1390</v>
      </c>
      <c r="H68" s="1040" t="s">
        <v>1391</v>
      </c>
      <c r="I68" s="1041"/>
      <c r="J68" s="1042"/>
    </row>
    <row r="69" spans="1:25" ht="30" customHeight="1" x14ac:dyDescent="0.25">
      <c r="A69" s="36" t="s">
        <v>1387</v>
      </c>
      <c r="B69" s="1062"/>
      <c r="C69" s="1063"/>
      <c r="D69" s="1063"/>
      <c r="E69" s="1063"/>
      <c r="F69" s="1064"/>
      <c r="G69" s="1001"/>
      <c r="H69" s="1043"/>
      <c r="I69" s="1044"/>
      <c r="J69" s="1045"/>
    </row>
    <row r="70" spans="1:25" ht="60" customHeight="1" x14ac:dyDescent="0.25">
      <c r="A70" s="37" t="s">
        <v>1388</v>
      </c>
      <c r="B70" s="1065"/>
      <c r="C70" s="1066"/>
      <c r="D70" s="1066"/>
      <c r="E70" s="1066"/>
      <c r="F70" s="1067"/>
      <c r="G70" s="1001"/>
      <c r="H70" s="1043"/>
      <c r="I70" s="1044"/>
      <c r="J70" s="1045"/>
    </row>
    <row r="71" spans="1:25" ht="36" customHeight="1" thickBot="1" x14ac:dyDescent="0.3">
      <c r="A71" s="38" t="s">
        <v>1389</v>
      </c>
      <c r="B71" s="1085"/>
      <c r="C71" s="1086"/>
      <c r="D71" s="1086"/>
      <c r="E71" s="1087"/>
      <c r="F71" s="851" t="str">
        <f>"Ver. "&amp;TEXT(Introduction!M3, "MM/YYYY")</f>
        <v>Ver. 01/2025</v>
      </c>
      <c r="G71" s="1001"/>
      <c r="H71" s="1046"/>
      <c r="I71" s="1047"/>
      <c r="J71" s="1048"/>
    </row>
    <row r="72" spans="1:25" ht="18" customHeight="1" thickBot="1" x14ac:dyDescent="0.3"/>
    <row r="73" spans="1:25" ht="18" customHeight="1" x14ac:dyDescent="0.25">
      <c r="A73" s="51" t="s">
        <v>1392</v>
      </c>
      <c r="B73" s="52"/>
      <c r="C73" s="52"/>
      <c r="D73" s="52"/>
      <c r="E73" s="52"/>
      <c r="F73" s="53"/>
    </row>
    <row r="74" spans="1:25" ht="60" customHeight="1" x14ac:dyDescent="0.25">
      <c r="A74" s="973" t="s">
        <v>1393</v>
      </c>
      <c r="B74" s="971"/>
      <c r="C74" s="971"/>
      <c r="D74" s="971"/>
      <c r="E74" s="971"/>
      <c r="F74" s="972"/>
    </row>
    <row r="75" spans="1:25" ht="15.95" customHeight="1" x14ac:dyDescent="0.25">
      <c r="A75" s="54" t="s">
        <v>1395</v>
      </c>
      <c r="B75" s="971" t="s">
        <v>1394</v>
      </c>
      <c r="C75" s="971"/>
      <c r="D75" s="971"/>
      <c r="E75" s="971"/>
      <c r="F75" s="972"/>
    </row>
    <row r="76" spans="1:25" ht="45" customHeight="1" x14ac:dyDescent="0.25">
      <c r="A76" s="55"/>
      <c r="B76" s="56" t="s">
        <v>1396</v>
      </c>
      <c r="C76" s="971" t="s">
        <v>1397</v>
      </c>
      <c r="D76" s="971"/>
      <c r="E76" s="971"/>
      <c r="F76" s="972"/>
    </row>
    <row r="77" spans="1:25" ht="45" customHeight="1" x14ac:dyDescent="0.25">
      <c r="A77" s="55"/>
      <c r="B77" s="56" t="s">
        <v>1398</v>
      </c>
      <c r="C77" s="971" t="s">
        <v>1399</v>
      </c>
      <c r="D77" s="971"/>
      <c r="E77" s="971"/>
      <c r="F77" s="972"/>
    </row>
    <row r="78" spans="1:25" ht="75" customHeight="1" x14ac:dyDescent="0.25">
      <c r="A78" s="55"/>
      <c r="B78" s="56" t="s">
        <v>1400</v>
      </c>
      <c r="C78" s="971" t="s">
        <v>1401</v>
      </c>
      <c r="D78" s="971"/>
      <c r="E78" s="971"/>
      <c r="F78" s="972"/>
    </row>
    <row r="79" spans="1:25" ht="55.5" customHeight="1" x14ac:dyDescent="0.25">
      <c r="A79" s="55"/>
      <c r="B79" s="57"/>
      <c r="C79" s="56" t="s">
        <v>1402</v>
      </c>
      <c r="D79" s="971" t="s">
        <v>1403</v>
      </c>
      <c r="E79" s="971"/>
      <c r="F79" s="972"/>
    </row>
    <row r="80" spans="1:25" ht="45" customHeight="1" x14ac:dyDescent="0.25">
      <c r="A80" s="55"/>
      <c r="B80" s="57"/>
      <c r="C80" s="56" t="s">
        <v>1404</v>
      </c>
      <c r="D80" s="971" t="s">
        <v>1405</v>
      </c>
      <c r="E80" s="971"/>
      <c r="F80" s="972"/>
    </row>
    <row r="81" spans="1:6" ht="15.95" customHeight="1" x14ac:dyDescent="0.25">
      <c r="A81" s="54" t="s">
        <v>1406</v>
      </c>
      <c r="B81" s="971" t="s">
        <v>1407</v>
      </c>
      <c r="C81" s="971"/>
      <c r="D81" s="971"/>
      <c r="E81" s="971"/>
      <c r="F81" s="972"/>
    </row>
    <row r="82" spans="1:6" ht="26.1" customHeight="1" x14ac:dyDescent="0.25">
      <c r="A82" s="55"/>
      <c r="B82" s="56" t="s">
        <v>1396</v>
      </c>
      <c r="C82" s="971" t="s">
        <v>1408</v>
      </c>
      <c r="D82" s="971"/>
      <c r="E82" s="971"/>
      <c r="F82" s="972"/>
    </row>
    <row r="83" spans="1:6" ht="15.95" customHeight="1" x14ac:dyDescent="0.25">
      <c r="A83" s="54" t="s">
        <v>1409</v>
      </c>
      <c r="B83" s="971" t="s">
        <v>1410</v>
      </c>
      <c r="C83" s="971"/>
      <c r="D83" s="971"/>
      <c r="E83" s="971"/>
      <c r="F83" s="972"/>
    </row>
    <row r="84" spans="1:6" ht="90" customHeight="1" x14ac:dyDescent="0.25">
      <c r="A84" s="58"/>
      <c r="B84" s="56" t="s">
        <v>1396</v>
      </c>
      <c r="C84" s="971" t="s">
        <v>1411</v>
      </c>
      <c r="D84" s="971"/>
      <c r="E84" s="971"/>
      <c r="F84" s="972"/>
    </row>
    <row r="85" spans="1:6" ht="15.95" customHeight="1" x14ac:dyDescent="0.25">
      <c r="A85" s="54" t="s">
        <v>1412</v>
      </c>
      <c r="B85" s="971" t="s">
        <v>1413</v>
      </c>
      <c r="C85" s="971"/>
      <c r="D85" s="971"/>
      <c r="E85" s="971"/>
      <c r="F85" s="972"/>
    </row>
    <row r="86" spans="1:6" ht="54.95" customHeight="1" x14ac:dyDescent="0.25">
      <c r="A86" s="58"/>
      <c r="B86" s="56" t="s">
        <v>1396</v>
      </c>
      <c r="C86" s="971" t="s">
        <v>1414</v>
      </c>
      <c r="D86" s="971"/>
      <c r="E86" s="971"/>
      <c r="F86" s="972"/>
    </row>
    <row r="87" spans="1:6" ht="39.950000000000003" customHeight="1" x14ac:dyDescent="0.25">
      <c r="A87" s="59"/>
      <c r="B87" s="56" t="s">
        <v>1398</v>
      </c>
      <c r="C87" s="971" t="s">
        <v>1415</v>
      </c>
      <c r="D87" s="971"/>
      <c r="E87" s="971"/>
      <c r="F87" s="972"/>
    </row>
    <row r="88" spans="1:6" ht="15.95" customHeight="1" thickBot="1" x14ac:dyDescent="0.3">
      <c r="A88" s="60"/>
      <c r="B88" s="61"/>
      <c r="C88" s="62"/>
      <c r="D88" s="62"/>
      <c r="E88" s="62"/>
      <c r="F88" s="63"/>
    </row>
    <row r="89" spans="1:6" ht="15.95" customHeight="1" x14ac:dyDescent="0.25"/>
    <row r="90" spans="1:6" ht="15.95" customHeight="1" x14ac:dyDescent="0.25"/>
  </sheetData>
  <sheetProtection algorithmName="SHA-512" hashValue="LfgqxVd/+ZwbSUztOlYgOQlUT/6SijfLUJebNXiQIDfGPkV+NqEycCxnd8COKfdrdIF0zp996Xii5+7fCutliA==" saltValue="bRDQTCvDR7JUtKkEjG7oyg==" spinCount="100000" sheet="1" objects="1" scenarios="1"/>
  <mergeCells count="119">
    <mergeCell ref="G68:G71"/>
    <mergeCell ref="H68:J71"/>
    <mergeCell ref="B65:F67"/>
    <mergeCell ref="B61:F64"/>
    <mergeCell ref="B40:C40"/>
    <mergeCell ref="E40:F40"/>
    <mergeCell ref="B28:F28"/>
    <mergeCell ref="B68:F68"/>
    <mergeCell ref="B69:F69"/>
    <mergeCell ref="B70:F70"/>
    <mergeCell ref="B57:F57"/>
    <mergeCell ref="B58:F60"/>
    <mergeCell ref="A44:B45"/>
    <mergeCell ref="A46:D46"/>
    <mergeCell ref="E46:F46"/>
    <mergeCell ref="B71:E71"/>
    <mergeCell ref="O16:S16"/>
    <mergeCell ref="O31:S31"/>
    <mergeCell ref="O35:S35"/>
    <mergeCell ref="O41:S41"/>
    <mergeCell ref="O42:S42"/>
    <mergeCell ref="O55:S55"/>
    <mergeCell ref="O57:S57"/>
    <mergeCell ref="R61:V61"/>
    <mergeCell ref="R65:V65"/>
    <mergeCell ref="O45:S45"/>
    <mergeCell ref="O46:S46"/>
    <mergeCell ref="O48:S48"/>
    <mergeCell ref="O51:S51"/>
    <mergeCell ref="O53:S53"/>
    <mergeCell ref="H23:L23"/>
    <mergeCell ref="G21:G23"/>
    <mergeCell ref="G43:J43"/>
    <mergeCell ref="G47:J47"/>
    <mergeCell ref="G44:J45"/>
    <mergeCell ref="G50:L50"/>
    <mergeCell ref="G51:L51"/>
    <mergeCell ref="H61:J64"/>
    <mergeCell ref="G61:G64"/>
    <mergeCell ref="H24:L32"/>
    <mergeCell ref="H20:L22"/>
    <mergeCell ref="A1:F6"/>
    <mergeCell ref="A10:F10"/>
    <mergeCell ref="B11:F11"/>
    <mergeCell ref="B12:F12"/>
    <mergeCell ref="C23:F23"/>
    <mergeCell ref="C21:F21"/>
    <mergeCell ref="A21:A23"/>
    <mergeCell ref="B18:F18"/>
    <mergeCell ref="B19:F19"/>
    <mergeCell ref="B17:F17"/>
    <mergeCell ref="A7:A8"/>
    <mergeCell ref="A9:F9"/>
    <mergeCell ref="A16:F16"/>
    <mergeCell ref="B8:C8"/>
    <mergeCell ref="B7:C7"/>
    <mergeCell ref="D8:F8"/>
    <mergeCell ref="D7:F7"/>
    <mergeCell ref="E14:F15"/>
    <mergeCell ref="C14:D15"/>
    <mergeCell ref="A14:A15"/>
    <mergeCell ref="C86:F86"/>
    <mergeCell ref="C87:F87"/>
    <mergeCell ref="A74:F74"/>
    <mergeCell ref="C76:F76"/>
    <mergeCell ref="C77:F77"/>
    <mergeCell ref="C78:F78"/>
    <mergeCell ref="D79:F79"/>
    <mergeCell ref="D80:F80"/>
    <mergeCell ref="B81:F81"/>
    <mergeCell ref="C82:F82"/>
    <mergeCell ref="B83:F83"/>
    <mergeCell ref="B85:F85"/>
    <mergeCell ref="B75:F75"/>
    <mergeCell ref="C84:F84"/>
    <mergeCell ref="H18:L18"/>
    <mergeCell ref="A53:F53"/>
    <mergeCell ref="B54:F54"/>
    <mergeCell ref="B55:F55"/>
    <mergeCell ref="B56:F56"/>
    <mergeCell ref="C22:F22"/>
    <mergeCell ref="E34:F34"/>
    <mergeCell ref="B35:C35"/>
    <mergeCell ref="B34:C34"/>
    <mergeCell ref="B32:F32"/>
    <mergeCell ref="B33:F33"/>
    <mergeCell ref="B41:C41"/>
    <mergeCell ref="E41:F41"/>
    <mergeCell ref="A48:C49"/>
    <mergeCell ref="A42:F42"/>
    <mergeCell ref="A43:D43"/>
    <mergeCell ref="B36:C36"/>
    <mergeCell ref="B38:F38"/>
    <mergeCell ref="B39:F39"/>
    <mergeCell ref="A54:A55"/>
    <mergeCell ref="D36:F37"/>
    <mergeCell ref="A36:A37"/>
    <mergeCell ref="B29:F29"/>
    <mergeCell ref="C24:C25"/>
    <mergeCell ref="A24:A25"/>
    <mergeCell ref="A26:A27"/>
    <mergeCell ref="C26:F27"/>
    <mergeCell ref="A31:F31"/>
    <mergeCell ref="E35:F35"/>
    <mergeCell ref="B37:C37"/>
    <mergeCell ref="E50:F50"/>
    <mergeCell ref="C50:D50"/>
    <mergeCell ref="E45:F45"/>
    <mergeCell ref="E44:F44"/>
    <mergeCell ref="C45:D45"/>
    <mergeCell ref="C44:D44"/>
    <mergeCell ref="A47:D47"/>
    <mergeCell ref="A50:B52"/>
    <mergeCell ref="C52:D52"/>
    <mergeCell ref="E52:F52"/>
    <mergeCell ref="C51:F51"/>
    <mergeCell ref="F24:F25"/>
    <mergeCell ref="E24:E25"/>
    <mergeCell ref="D24:D25"/>
  </mergeCells>
  <conditionalFormatting sqref="A54 A56:A57">
    <cfRule type="expression" dxfId="427" priority="537">
      <formula>AND($N$53=TRUE,$N$55=FALSE)</formula>
    </cfRule>
  </conditionalFormatting>
  <conditionalFormatting sqref="A58:A60">
    <cfRule type="expression" dxfId="426" priority="541">
      <formula>AND($N$53=TRUE,$N$55=TRUE,$N$57=FALSE)</formula>
    </cfRule>
  </conditionalFormatting>
  <conditionalFormatting sqref="A61:A64">
    <cfRule type="expression" dxfId="425" priority="543">
      <formula>AND($N$53=TRUE,$N$55=TRUE,$N$57=TRUE,$Q$61=FALSE)</formula>
    </cfRule>
  </conditionalFormatting>
  <conditionalFormatting sqref="A65:A67">
    <cfRule type="expression" dxfId="424" priority="6">
      <formula>AND($N$53=TRUE,$N$55=TRUE,$N$57=TRUE,$Q$61=TRUE,$Q$65=FALSE)</formula>
    </cfRule>
  </conditionalFormatting>
  <conditionalFormatting sqref="A44:C45 E44:E45 A46:F46">
    <cfRule type="expression" dxfId="423" priority="22" stopIfTrue="1">
      <formula>AND($N$42=TRUE,$N$43=FALSE,$O$43=TRUE)</formula>
    </cfRule>
  </conditionalFormatting>
  <conditionalFormatting sqref="A48:F49">
    <cfRule type="expression" dxfId="422" priority="16">
      <formula>AND($N$47=FALSE,$O$47=TRUE)</formula>
    </cfRule>
  </conditionalFormatting>
  <conditionalFormatting sqref="B13">
    <cfRule type="expression" dxfId="421" priority="62">
      <formula>AND($S$8=TRUE,NOT(ISBLANK(B11)),NOT(ISBLANK(B12)),ISBLANK(B13))</formula>
    </cfRule>
  </conditionalFormatting>
  <conditionalFormatting sqref="B14:B15">
    <cfRule type="expression" dxfId="420" priority="59">
      <formula>AND($S$8=TRUE,NOT(ISBLANK($B$11)),NOT(ISBLANK($B$12)),NOT(ISBLANK($B$13)),NOT(ISBLANK($D$13)),NOT(ISBLANK($F$13)),$N$14=FALSE,$O$14=FALSE)</formula>
    </cfRule>
  </conditionalFormatting>
  <conditionalFormatting sqref="B20">
    <cfRule type="expression" dxfId="419" priority="53">
      <formula>AND(N16=TRUE,NOT(ISBLANK(B17)),NOT(ISBLANK(B18)),NOT(ISBLANK(B19)),ISBLANK(B20))</formula>
    </cfRule>
  </conditionalFormatting>
  <conditionalFormatting sqref="B21">
    <cfRule type="expression" dxfId="418" priority="51">
      <formula>AND(N16=TRUE,NOT(ISBLANK(B17)),NOT(ISBLANK(B18)),NOT(ISBLANK(B19)),NOT(ISBLANK(B20)),NOT(ISBLANK(F20)),ISBLANK(B21))</formula>
    </cfRule>
  </conditionalFormatting>
  <conditionalFormatting sqref="B21:B23">
    <cfRule type="expression" dxfId="417" priority="67">
      <formula>B21&gt;999999</formula>
    </cfRule>
  </conditionalFormatting>
  <conditionalFormatting sqref="B24:B25">
    <cfRule type="expression" dxfId="416" priority="49">
      <formula>AND($N$16=TRUE,NOT(ISBLANK($B$17)),NOT(ISBLANK($B$18)),NOT(ISBLANK($B$19)),NOT(ISBLANK($B$20)),NOT(ISBLANK($F$20)),NOT(ISBLANK($B$21)),$N$24=FALSE,$O$24=FALSE)</formula>
    </cfRule>
  </conditionalFormatting>
  <conditionalFormatting sqref="B26:B27">
    <cfRule type="expression" dxfId="415" priority="46">
      <formula>AND($U$24=TRUE,$N$26=FALSE,$O$26=FALSE)</formula>
    </cfRule>
  </conditionalFormatting>
  <conditionalFormatting sqref="B30">
    <cfRule type="expression" dxfId="414" priority="42">
      <formula>AND(N26=TRUE,O26=FALSE,NOT(ISBLANK(B28)),NOT(ISBLANK(B29)),ISBLANK(B30))</formula>
    </cfRule>
  </conditionalFormatting>
  <conditionalFormatting sqref="B34:C34">
    <cfRule type="expression" dxfId="413" priority="35">
      <formula>AND(N31=TRUE,NOT(ISBLANK(B32)),NOT(ISBLANK(B33)),ISBLANK(B34))</formula>
    </cfRule>
  </conditionalFormatting>
  <conditionalFormatting sqref="B36:C37">
    <cfRule type="expression" dxfId="412" priority="32">
      <formula>AND($N$35=TRUE,$N$36=FALSE,$O$36=FALSE)</formula>
    </cfRule>
  </conditionalFormatting>
  <conditionalFormatting sqref="B40:C40">
    <cfRule type="expression" dxfId="411" priority="29">
      <formula>AND(N35=TRUE,N36=FALSE,O36=TRUE,NOT(ISBLANK(B38)),ISBLANK(B40))</formula>
    </cfRule>
  </conditionalFormatting>
  <conditionalFormatting sqref="B7:D8">
    <cfRule type="expression" dxfId="410" priority="65">
      <formula>$S$8=FALSE</formula>
    </cfRule>
  </conditionalFormatting>
  <conditionalFormatting sqref="B11:F11">
    <cfRule type="expression" dxfId="409" priority="64">
      <formula>AND($S$8=TRUE,ISBLANK(B11))</formula>
    </cfRule>
  </conditionalFormatting>
  <conditionalFormatting sqref="B12:F12">
    <cfRule type="expression" dxfId="408" priority="63">
      <formula>AND($S$8=TRUE,NOT(ISBLANK(B11)),ISBLANK(B12))</formula>
    </cfRule>
  </conditionalFormatting>
  <conditionalFormatting sqref="B17:F17">
    <cfRule type="expression" dxfId="407" priority="27">
      <formula>AND($N$16=TRUE,ISBLANK(B17))</formula>
    </cfRule>
  </conditionalFormatting>
  <conditionalFormatting sqref="B18:F18">
    <cfRule type="expression" dxfId="406" priority="55">
      <formula>AND(N16=TRUE,NOT(ISBLANK(B17)),ISBLANK(B18))</formula>
    </cfRule>
  </conditionalFormatting>
  <conditionalFormatting sqref="B19:F19">
    <cfRule type="expression" dxfId="405" priority="26">
      <formula>AND($S$8=TRUE,NOT(ISBLANK(B18)),ISBLANK(B19))</formula>
    </cfRule>
  </conditionalFormatting>
  <conditionalFormatting sqref="B28:F28">
    <cfRule type="expression" dxfId="404" priority="45">
      <formula>AND(U24=TRUE,N26=TRUE,O26=FALSE,ISBLANK(B28))</formula>
    </cfRule>
  </conditionalFormatting>
  <conditionalFormatting sqref="B29:F29">
    <cfRule type="expression" dxfId="403" priority="43">
      <formula>AND(N26=TRUE,O26=FALSE,NOT(ISBLANK(B28)),ISBLANK(B29))</formula>
    </cfRule>
  </conditionalFormatting>
  <conditionalFormatting sqref="B32:F32">
    <cfRule type="expression" dxfId="402" priority="38">
      <formula>AND(N31=TRUE,ISBLANK(B32))</formula>
    </cfRule>
  </conditionalFormatting>
  <conditionalFormatting sqref="B33:F33">
    <cfRule type="expression" dxfId="401" priority="36">
      <formula>AND(N31=TRUE,NOT(ISBLANK(B32)),ISBLANK(B33))</formula>
    </cfRule>
  </conditionalFormatting>
  <conditionalFormatting sqref="B38:F38">
    <cfRule type="expression" dxfId="400" priority="30">
      <formula>AND(N35=TRUE,N36=FALSE,O36=TRUE,ISBLANK(B38))</formula>
    </cfRule>
  </conditionalFormatting>
  <conditionalFormatting sqref="B65:F65">
    <cfRule type="expression" dxfId="399" priority="5">
      <formula>AND($N$53=TRUE,$N$55=TRUE,$N$57=TRUE,$Q$61=TRUE,$Y$65=FALSE)</formula>
    </cfRule>
  </conditionalFormatting>
  <conditionalFormatting sqref="C24">
    <cfRule type="expression" dxfId="398" priority="39">
      <formula>AND($N$24=TRUE,$O$24=TRUE)</formula>
    </cfRule>
  </conditionalFormatting>
  <conditionalFormatting sqref="C14:D14">
    <cfRule type="expression" dxfId="397" priority="58">
      <formula>AND(N14=TRUE,O14=TRUE)</formula>
    </cfRule>
  </conditionalFormatting>
  <conditionalFormatting sqref="C51:D52">
    <cfRule type="expression" dxfId="396" priority="2">
      <formula>AND($N$48=TRUE,$N$50=FALSE,$O$50=FALSE,$P$50=FALSE,$Q$50=FALSE)</formula>
    </cfRule>
  </conditionalFormatting>
  <conditionalFormatting sqref="C26:F26 A28:F30">
    <cfRule type="expression" dxfId="395" priority="47">
      <formula>AND($N$26=FALSE,$O$26=TRUE)</formula>
    </cfRule>
  </conditionalFormatting>
  <conditionalFormatting sqref="C26:F26">
    <cfRule type="expression" dxfId="394" priority="44">
      <formula>AND(N26=TRUE,O26=TRUE)</formula>
    </cfRule>
  </conditionalFormatting>
  <conditionalFormatting sqref="C44:F45">
    <cfRule type="expression" dxfId="393" priority="530">
      <formula>AND($N$42=TRUE,$N$43=TRUE,$O$43=FALSE,$N$44=FALSE,$O$44=FALSE,$P$44=FALSE)</formula>
    </cfRule>
  </conditionalFormatting>
  <conditionalFormatting sqref="C50:F50">
    <cfRule type="expression" dxfId="392" priority="14">
      <formula>AND($N$48=TRUE,$N$50=FALSE,$O$50=FALSE,$P$50=FALSE,$Q$50=FALSE)</formula>
    </cfRule>
  </conditionalFormatting>
  <conditionalFormatting sqref="D13">
    <cfRule type="expression" dxfId="391" priority="61">
      <formula>AND($S$8=TRUE,NOT(ISBLANK(B11)),NOT(ISBLANK(B12)),NOT(ISBLANK(B13)),ISBLANK(D13))</formula>
    </cfRule>
  </conditionalFormatting>
  <conditionalFormatting sqref="D30">
    <cfRule type="expression" dxfId="390" priority="41">
      <formula>AND(N26=TRUE,O26=FALSE,NOT(ISBLANK(B28)),NOT(ISBLANK(B29)),NOT(ISBLANK(B30)),ISBLANK(D30))</formula>
    </cfRule>
  </conditionalFormatting>
  <conditionalFormatting sqref="D48">
    <cfRule type="expression" dxfId="389" priority="18">
      <formula>AND(N45=TRUE,N47=TRUE,O47=FALSE,ISBLANK(D48))</formula>
    </cfRule>
  </conditionalFormatting>
  <conditionalFormatting sqref="D24:F25">
    <cfRule type="expression" dxfId="388" priority="48">
      <formula>AND($N24=TRUE,$O24=FALSE,$Q24=FALSE,$R24=FALSE,$S24=FALSE)</formula>
    </cfRule>
    <cfRule type="expression" dxfId="387" priority="50">
      <formula>AND($N24=FALSE,$O24=TRUE)</formula>
    </cfRule>
  </conditionalFormatting>
  <conditionalFormatting sqref="D36:F36 A38:F41">
    <cfRule type="expression" dxfId="386" priority="31">
      <formula>AND($N$36=TRUE,$O$36=FALSE)</formula>
    </cfRule>
  </conditionalFormatting>
  <conditionalFormatting sqref="D36:F36">
    <cfRule type="expression" dxfId="385" priority="33">
      <formula>AND(N36=TRUE,O36=TRUE)</formula>
    </cfRule>
  </conditionalFormatting>
  <conditionalFormatting sqref="E14:F14">
    <cfRule type="expression" dxfId="384" priority="57">
      <formula>AND($S$8=TRUE,NOT(ISBLANK(B11)),NOT(ISBLANK(B12)),NOT(ISBLANK(B13)),NOT(ISBLANK(D13)),NOT(ISBLANK(F13)),N14=TRUE,O14=FALSE,ISBLANK(E14))</formula>
    </cfRule>
  </conditionalFormatting>
  <conditionalFormatting sqref="E34:F34">
    <cfRule type="expression" dxfId="383" priority="34">
      <formula>AND(N31=TRUE,NOT(ISBLANK(B32)),NOT(ISBLANK(B33)),NOT(ISBLANK(B34)),ISBLANK(E34))</formula>
    </cfRule>
  </conditionalFormatting>
  <conditionalFormatting sqref="E40:F40">
    <cfRule type="expression" dxfId="382" priority="28">
      <formula>AND(N35=TRUE,N36=FALSE,O36=TRUE,NOT(ISBLANK(B38)),NOT(ISBLANK(B40)),ISBLANK(E40))</formula>
    </cfRule>
  </conditionalFormatting>
  <conditionalFormatting sqref="E43:F43">
    <cfRule type="expression" dxfId="381" priority="25">
      <formula>AND($N$41=TRUE,$N$43=FALSE,$O$43=FALSE)</formula>
    </cfRule>
  </conditionalFormatting>
  <conditionalFormatting sqref="E46:F46">
    <cfRule type="expression" dxfId="380" priority="23">
      <formula>AND(N45=TRUE,ISBLANK(E46))</formula>
    </cfRule>
  </conditionalFormatting>
  <conditionalFormatting sqref="E47:F47">
    <cfRule type="expression" dxfId="379" priority="19">
      <formula>OR(AND($N$45=TRUE,$O$43=TRUE,$N$47=FALSE,$O$47=FALSE),AND($N$45=TRUE,$N$43=TRUE,NOT(ISBLANK($E$46)),$N$47=FALSE,$O$47=FALSE))</formula>
    </cfRule>
  </conditionalFormatting>
  <conditionalFormatting sqref="E52:F52">
    <cfRule type="expression" dxfId="378" priority="1">
      <formula>AND($N$48=TRUE,$N$50=FALSE,$O$50=FALSE,$P$50=FALSE,$Q$50=FALSE)</formula>
    </cfRule>
  </conditionalFormatting>
  <conditionalFormatting sqref="F13">
    <cfRule type="expression" dxfId="377" priority="60">
      <formula>AND($S$8=TRUE,NOT(ISBLANK(B11)),NOT(ISBLANK(B12)),NOT(ISBLANK(B13)),NOT(ISBLANK(D13)),ISBLANK(F13))</formula>
    </cfRule>
  </conditionalFormatting>
  <conditionalFormatting sqref="F20">
    <cfRule type="expression" dxfId="376" priority="52">
      <formula>AND(N16=TRUE,NOT(ISBLANK(B17)),NOT(ISBLANK(B18)),NOT(ISBLANK(B19)),NOT(ISBLANK(B20)),ISBLANK(F20))</formula>
    </cfRule>
  </conditionalFormatting>
  <conditionalFormatting sqref="F30">
    <cfRule type="expression" dxfId="375" priority="40">
      <formula>AND(N26=TRUE,O26=FALSE,NOT(ISBLANK(B28)),NOT(ISBLANK(B29)),NOT(ISBLANK(B30)),NOT(ISBLANK(D30)),ISBLANK(F30))</formula>
    </cfRule>
  </conditionalFormatting>
  <conditionalFormatting sqref="G51:G52">
    <cfRule type="expression" dxfId="374" priority="13">
      <formula>G51="Too many boxes checked."</formula>
    </cfRule>
  </conditionalFormatting>
  <conditionalFormatting sqref="G43:J43">
    <cfRule type="expression" dxfId="373" priority="24">
      <formula>AND(N43=TRUE,O43=TRUE)</formula>
    </cfRule>
  </conditionalFormatting>
  <conditionalFormatting sqref="G44:J45">
    <cfRule type="expression" dxfId="372" priority="15">
      <formula>OR(AND(N44=TRUE,O44=TRUE),AND(N44=TRUE,P44=TRUE),AND(O44=TRUE,P44=TRUE))</formula>
    </cfRule>
  </conditionalFormatting>
  <conditionalFormatting sqref="G47:J47">
    <cfRule type="expression" dxfId="371" priority="17">
      <formula>AND(N47=TRUE,O47=TRUE)</formula>
    </cfRule>
  </conditionalFormatting>
  <conditionalFormatting sqref="G50:L50">
    <cfRule type="expression" dxfId="370" priority="533">
      <formula>AND($S$50=TRUE,$N$51=TRUE)</formula>
    </cfRule>
  </conditionalFormatting>
  <hyperlinks>
    <hyperlink ref="H23" r:id="rId1" xr:uid="{00000000-0004-0000-0100-000000000000}"/>
  </hyperlinks>
  <printOptions horizontalCentered="1"/>
  <pageMargins left="0.5" right="0.5" top="0.5" bottom="0.5" header="0.3" footer="0.3"/>
  <pageSetup scale="85" fitToHeight="2" orientation="portrait" r:id="rId2"/>
  <headerFooter>
    <oddFooter>&amp;LRev. 7/2016&amp;C&amp;A&amp;RPage &amp;P</oddFooter>
  </headerFooter>
  <rowBreaks count="1" manualBreakCount="1">
    <brk id="41" max="5" man="1"/>
  </rowBreaks>
  <ignoredErrors>
    <ignoredError sqref="A75:A76 A85:A86 A81:A84 A80 A79 A78 A77" numberStoredAsText="1"/>
  </ignoredErrors>
  <drawing r:id="rId3"/>
  <legacyDrawing r:id="rId4"/>
  <mc:AlternateContent xmlns:mc="http://schemas.openxmlformats.org/markup-compatibility/2006">
    <mc:Choice Requires="x14">
      <controls>
        <mc:AlternateContent xmlns:mc="http://schemas.openxmlformats.org/markup-compatibility/2006">
          <mc:Choice Requires="x14">
            <control shapeId="14340" r:id="rId5" name="Check Box 4">
              <controlPr defaultSize="0" autoFill="0" autoLine="0" autoPict="0">
                <anchor moveWithCells="1">
                  <from>
                    <xdr:col>3</xdr:col>
                    <xdr:colOff>66675</xdr:colOff>
                    <xdr:row>23</xdr:row>
                    <xdr:rowOff>95250</xdr:rowOff>
                  </from>
                  <to>
                    <xdr:col>3</xdr:col>
                    <xdr:colOff>981075</xdr:colOff>
                    <xdr:row>24</xdr:row>
                    <xdr:rowOff>114300</xdr:rowOff>
                  </to>
                </anchor>
              </controlPr>
            </control>
          </mc:Choice>
        </mc:AlternateContent>
        <mc:AlternateContent xmlns:mc="http://schemas.openxmlformats.org/markup-compatibility/2006">
          <mc:Choice Requires="x14">
            <control shapeId="14341" r:id="rId6" name="Check Box 5">
              <controlPr defaultSize="0" autoFill="0" autoLine="0" autoPict="0">
                <anchor moveWithCells="1">
                  <from>
                    <xdr:col>4</xdr:col>
                    <xdr:colOff>57150</xdr:colOff>
                    <xdr:row>23</xdr:row>
                    <xdr:rowOff>85725</xdr:rowOff>
                  </from>
                  <to>
                    <xdr:col>4</xdr:col>
                    <xdr:colOff>971550</xdr:colOff>
                    <xdr:row>24</xdr:row>
                    <xdr:rowOff>114300</xdr:rowOff>
                  </to>
                </anchor>
              </controlPr>
            </control>
          </mc:Choice>
        </mc:AlternateContent>
        <mc:AlternateContent xmlns:mc="http://schemas.openxmlformats.org/markup-compatibility/2006">
          <mc:Choice Requires="x14">
            <control shapeId="14342" r:id="rId7" name="Check Box 6">
              <controlPr defaultSize="0" autoFill="0" autoLine="0" autoPict="0">
                <anchor moveWithCells="1">
                  <from>
                    <xdr:col>5</xdr:col>
                    <xdr:colOff>57150</xdr:colOff>
                    <xdr:row>23</xdr:row>
                    <xdr:rowOff>85725</xdr:rowOff>
                  </from>
                  <to>
                    <xdr:col>5</xdr:col>
                    <xdr:colOff>971550</xdr:colOff>
                    <xdr:row>24</xdr:row>
                    <xdr:rowOff>114300</xdr:rowOff>
                  </to>
                </anchor>
              </controlPr>
            </control>
          </mc:Choice>
        </mc:AlternateContent>
        <mc:AlternateContent xmlns:mc="http://schemas.openxmlformats.org/markup-compatibility/2006">
          <mc:Choice Requires="x14">
            <control shapeId="14346" r:id="rId8" name="Check Box 10">
              <controlPr defaultSize="0" autoFill="0" autoLine="0" autoPict="0">
                <anchor moveWithCells="1">
                  <from>
                    <xdr:col>1</xdr:col>
                    <xdr:colOff>76200</xdr:colOff>
                    <xdr:row>13</xdr:row>
                    <xdr:rowOff>0</xdr:rowOff>
                  </from>
                  <to>
                    <xdr:col>1</xdr:col>
                    <xdr:colOff>857250</xdr:colOff>
                    <xdr:row>14</xdr:row>
                    <xdr:rowOff>19050</xdr:rowOff>
                  </to>
                </anchor>
              </controlPr>
            </control>
          </mc:Choice>
        </mc:AlternateContent>
        <mc:AlternateContent xmlns:mc="http://schemas.openxmlformats.org/markup-compatibility/2006">
          <mc:Choice Requires="x14">
            <control shapeId="14347" r:id="rId9" name="Check Box 11">
              <controlPr defaultSize="0" autoFill="0" autoLine="0" autoPict="0">
                <anchor moveWithCells="1">
                  <from>
                    <xdr:col>1</xdr:col>
                    <xdr:colOff>76200</xdr:colOff>
                    <xdr:row>14</xdr:row>
                    <xdr:rowOff>0</xdr:rowOff>
                  </from>
                  <to>
                    <xdr:col>1</xdr:col>
                    <xdr:colOff>857250</xdr:colOff>
                    <xdr:row>15</xdr:row>
                    <xdr:rowOff>19050</xdr:rowOff>
                  </to>
                </anchor>
              </controlPr>
            </control>
          </mc:Choice>
        </mc:AlternateContent>
        <mc:AlternateContent xmlns:mc="http://schemas.openxmlformats.org/markup-compatibility/2006">
          <mc:Choice Requires="x14">
            <control shapeId="14349" r:id="rId10" name="Check Box 13">
              <controlPr defaultSize="0" autoFill="0" autoLine="0" autoPict="0">
                <anchor moveWithCells="1">
                  <from>
                    <xdr:col>1</xdr:col>
                    <xdr:colOff>85725</xdr:colOff>
                    <xdr:row>35</xdr:row>
                    <xdr:rowOff>38100</xdr:rowOff>
                  </from>
                  <to>
                    <xdr:col>2</xdr:col>
                    <xdr:colOff>561975</xdr:colOff>
                    <xdr:row>35</xdr:row>
                    <xdr:rowOff>247650</xdr:rowOff>
                  </to>
                </anchor>
              </controlPr>
            </control>
          </mc:Choice>
        </mc:AlternateContent>
        <mc:AlternateContent xmlns:mc="http://schemas.openxmlformats.org/markup-compatibility/2006">
          <mc:Choice Requires="x14">
            <control shapeId="14350" r:id="rId11" name="Check Box 14">
              <controlPr defaultSize="0" autoFill="0" autoLine="0" autoPict="0">
                <anchor moveWithCells="1" sizeWithCells="1">
                  <from>
                    <xdr:col>1</xdr:col>
                    <xdr:colOff>85725</xdr:colOff>
                    <xdr:row>36</xdr:row>
                    <xdr:rowOff>38100</xdr:rowOff>
                  </from>
                  <to>
                    <xdr:col>2</xdr:col>
                    <xdr:colOff>647700</xdr:colOff>
                    <xdr:row>36</xdr:row>
                    <xdr:rowOff>247650</xdr:rowOff>
                  </to>
                </anchor>
              </controlPr>
            </control>
          </mc:Choice>
        </mc:AlternateContent>
        <mc:AlternateContent xmlns:mc="http://schemas.openxmlformats.org/markup-compatibility/2006">
          <mc:Choice Requires="x14">
            <control shapeId="14351" r:id="rId12" name="Check Box 15">
              <controlPr defaultSize="0" autoFill="0" autoLine="0" autoPict="0">
                <anchor moveWithCells="1">
                  <from>
                    <xdr:col>1</xdr:col>
                    <xdr:colOff>9525</xdr:colOff>
                    <xdr:row>6</xdr:row>
                    <xdr:rowOff>0</xdr:rowOff>
                  </from>
                  <to>
                    <xdr:col>2</xdr:col>
                    <xdr:colOff>847725</xdr:colOff>
                    <xdr:row>7</xdr:row>
                    <xdr:rowOff>9525</xdr:rowOff>
                  </to>
                </anchor>
              </controlPr>
            </control>
          </mc:Choice>
        </mc:AlternateContent>
        <mc:AlternateContent xmlns:mc="http://schemas.openxmlformats.org/markup-compatibility/2006">
          <mc:Choice Requires="x14">
            <control shapeId="14352" r:id="rId13" name="Check Box 16">
              <controlPr defaultSize="0" autoFill="0" autoLine="0" autoPict="0">
                <anchor moveWithCells="1">
                  <from>
                    <xdr:col>1</xdr:col>
                    <xdr:colOff>9525</xdr:colOff>
                    <xdr:row>6</xdr:row>
                    <xdr:rowOff>200025</xdr:rowOff>
                  </from>
                  <to>
                    <xdr:col>2</xdr:col>
                    <xdr:colOff>847725</xdr:colOff>
                    <xdr:row>8</xdr:row>
                    <xdr:rowOff>0</xdr:rowOff>
                  </to>
                </anchor>
              </controlPr>
            </control>
          </mc:Choice>
        </mc:AlternateContent>
        <mc:AlternateContent xmlns:mc="http://schemas.openxmlformats.org/markup-compatibility/2006">
          <mc:Choice Requires="x14">
            <control shapeId="14355" r:id="rId14" name="Check Box 19">
              <controlPr defaultSize="0" autoFill="0" autoLine="0" autoPict="0">
                <anchor moveWithCells="1">
                  <from>
                    <xdr:col>3</xdr:col>
                    <xdr:colOff>19050</xdr:colOff>
                    <xdr:row>6</xdr:row>
                    <xdr:rowOff>0</xdr:rowOff>
                  </from>
                  <to>
                    <xdr:col>5</xdr:col>
                    <xdr:colOff>419100</xdr:colOff>
                    <xdr:row>7</xdr:row>
                    <xdr:rowOff>9525</xdr:rowOff>
                  </to>
                </anchor>
              </controlPr>
            </control>
          </mc:Choice>
        </mc:AlternateContent>
        <mc:AlternateContent xmlns:mc="http://schemas.openxmlformats.org/markup-compatibility/2006">
          <mc:Choice Requires="x14">
            <control shapeId="14356" r:id="rId15" name="Check Box 20">
              <controlPr defaultSize="0" autoFill="0" autoLine="0" autoPict="0">
                <anchor moveWithCells="1">
                  <from>
                    <xdr:col>3</xdr:col>
                    <xdr:colOff>19050</xdr:colOff>
                    <xdr:row>6</xdr:row>
                    <xdr:rowOff>200025</xdr:rowOff>
                  </from>
                  <to>
                    <xdr:col>5</xdr:col>
                    <xdr:colOff>419100</xdr:colOff>
                    <xdr:row>8</xdr:row>
                    <xdr:rowOff>0</xdr:rowOff>
                  </to>
                </anchor>
              </controlPr>
            </control>
          </mc:Choice>
        </mc:AlternateContent>
        <mc:AlternateContent xmlns:mc="http://schemas.openxmlformats.org/markup-compatibility/2006">
          <mc:Choice Requires="x14">
            <control shapeId="14357" r:id="rId16" name="Check Box 21">
              <controlPr defaultSize="0" autoFill="0" autoLine="0" autoPict="0">
                <anchor moveWithCells="1">
                  <from>
                    <xdr:col>4</xdr:col>
                    <xdr:colOff>95250</xdr:colOff>
                    <xdr:row>42</xdr:row>
                    <xdr:rowOff>28575</xdr:rowOff>
                  </from>
                  <to>
                    <xdr:col>4</xdr:col>
                    <xdr:colOff>876300</xdr:colOff>
                    <xdr:row>42</xdr:row>
                    <xdr:rowOff>238125</xdr:rowOff>
                  </to>
                </anchor>
              </controlPr>
            </control>
          </mc:Choice>
        </mc:AlternateContent>
        <mc:AlternateContent xmlns:mc="http://schemas.openxmlformats.org/markup-compatibility/2006">
          <mc:Choice Requires="x14">
            <control shapeId="14358" r:id="rId17" name="Check Box 22">
              <controlPr defaultSize="0" autoFill="0" autoLine="0" autoPict="0">
                <anchor moveWithCells="1">
                  <from>
                    <xdr:col>5</xdr:col>
                    <xdr:colOff>95250</xdr:colOff>
                    <xdr:row>42</xdr:row>
                    <xdr:rowOff>28575</xdr:rowOff>
                  </from>
                  <to>
                    <xdr:col>5</xdr:col>
                    <xdr:colOff>876300</xdr:colOff>
                    <xdr:row>42</xdr:row>
                    <xdr:rowOff>238125</xdr:rowOff>
                  </to>
                </anchor>
              </controlPr>
            </control>
          </mc:Choice>
        </mc:AlternateContent>
        <mc:AlternateContent xmlns:mc="http://schemas.openxmlformats.org/markup-compatibility/2006">
          <mc:Choice Requires="x14">
            <control shapeId="14359" r:id="rId18" name="Check Box 23">
              <controlPr defaultSize="0" autoFill="0" autoLine="0" autoPict="0">
                <anchor moveWithCells="1">
                  <from>
                    <xdr:col>2</xdr:col>
                    <xdr:colOff>9525</xdr:colOff>
                    <xdr:row>43</xdr:row>
                    <xdr:rowOff>28575</xdr:rowOff>
                  </from>
                  <to>
                    <xdr:col>3</xdr:col>
                    <xdr:colOff>942975</xdr:colOff>
                    <xdr:row>43</xdr:row>
                    <xdr:rowOff>228600</xdr:rowOff>
                  </to>
                </anchor>
              </controlPr>
            </control>
          </mc:Choice>
        </mc:AlternateContent>
        <mc:AlternateContent xmlns:mc="http://schemas.openxmlformats.org/markup-compatibility/2006">
          <mc:Choice Requires="x14">
            <control shapeId="14360" r:id="rId19" name="Check Box 24">
              <controlPr defaultSize="0" autoFill="0" autoLine="0" autoPict="0">
                <anchor moveWithCells="1">
                  <from>
                    <xdr:col>2</xdr:col>
                    <xdr:colOff>9525</xdr:colOff>
                    <xdr:row>44</xdr:row>
                    <xdr:rowOff>28575</xdr:rowOff>
                  </from>
                  <to>
                    <xdr:col>3</xdr:col>
                    <xdr:colOff>942975</xdr:colOff>
                    <xdr:row>44</xdr:row>
                    <xdr:rowOff>228600</xdr:rowOff>
                  </to>
                </anchor>
              </controlPr>
            </control>
          </mc:Choice>
        </mc:AlternateContent>
        <mc:AlternateContent xmlns:mc="http://schemas.openxmlformats.org/markup-compatibility/2006">
          <mc:Choice Requires="x14">
            <control shapeId="14361" r:id="rId20" name="Check Box 25">
              <controlPr defaultSize="0" autoFill="0" autoLine="0" autoPict="0">
                <anchor moveWithCells="1">
                  <from>
                    <xdr:col>4</xdr:col>
                    <xdr:colOff>9525</xdr:colOff>
                    <xdr:row>43</xdr:row>
                    <xdr:rowOff>28575</xdr:rowOff>
                  </from>
                  <to>
                    <xdr:col>5</xdr:col>
                    <xdr:colOff>942975</xdr:colOff>
                    <xdr:row>43</xdr:row>
                    <xdr:rowOff>228600</xdr:rowOff>
                  </to>
                </anchor>
              </controlPr>
            </control>
          </mc:Choice>
        </mc:AlternateContent>
        <mc:AlternateContent xmlns:mc="http://schemas.openxmlformats.org/markup-compatibility/2006">
          <mc:Choice Requires="x14">
            <control shapeId="14362" r:id="rId21" name="Check Box 26">
              <controlPr defaultSize="0" autoFill="0" autoLine="0" autoPict="0">
                <anchor moveWithCells="1">
                  <from>
                    <xdr:col>4</xdr:col>
                    <xdr:colOff>104775</xdr:colOff>
                    <xdr:row>46</xdr:row>
                    <xdr:rowOff>95250</xdr:rowOff>
                  </from>
                  <to>
                    <xdr:col>4</xdr:col>
                    <xdr:colOff>885825</xdr:colOff>
                    <xdr:row>46</xdr:row>
                    <xdr:rowOff>304800</xdr:rowOff>
                  </to>
                </anchor>
              </controlPr>
            </control>
          </mc:Choice>
        </mc:AlternateContent>
        <mc:AlternateContent xmlns:mc="http://schemas.openxmlformats.org/markup-compatibility/2006">
          <mc:Choice Requires="x14">
            <control shapeId="14363" r:id="rId22" name="Check Box 27">
              <controlPr defaultSize="0" autoFill="0" autoLine="0" autoPict="0">
                <anchor moveWithCells="1">
                  <from>
                    <xdr:col>5</xdr:col>
                    <xdr:colOff>95250</xdr:colOff>
                    <xdr:row>46</xdr:row>
                    <xdr:rowOff>95250</xdr:rowOff>
                  </from>
                  <to>
                    <xdr:col>5</xdr:col>
                    <xdr:colOff>876300</xdr:colOff>
                    <xdr:row>46</xdr:row>
                    <xdr:rowOff>304800</xdr:rowOff>
                  </to>
                </anchor>
              </controlPr>
            </control>
          </mc:Choice>
        </mc:AlternateContent>
        <mc:AlternateContent xmlns:mc="http://schemas.openxmlformats.org/markup-compatibility/2006">
          <mc:Choice Requires="x14">
            <control shapeId="14364" r:id="rId23" name="Check Box 28">
              <controlPr defaultSize="0" autoFill="0" autoLine="0" autoPict="0">
                <anchor moveWithCells="1">
                  <from>
                    <xdr:col>2</xdr:col>
                    <xdr:colOff>9525</xdr:colOff>
                    <xdr:row>49</xdr:row>
                    <xdr:rowOff>28575</xdr:rowOff>
                  </from>
                  <to>
                    <xdr:col>3</xdr:col>
                    <xdr:colOff>942975</xdr:colOff>
                    <xdr:row>49</xdr:row>
                    <xdr:rowOff>228600</xdr:rowOff>
                  </to>
                </anchor>
              </controlPr>
            </control>
          </mc:Choice>
        </mc:AlternateContent>
        <mc:AlternateContent xmlns:mc="http://schemas.openxmlformats.org/markup-compatibility/2006">
          <mc:Choice Requires="x14">
            <control shapeId="14365" r:id="rId24" name="Check Box 29">
              <controlPr defaultSize="0" autoFill="0" autoLine="0" autoPict="0">
                <anchor moveWithCells="1">
                  <from>
                    <xdr:col>2</xdr:col>
                    <xdr:colOff>9525</xdr:colOff>
                    <xdr:row>50</xdr:row>
                    <xdr:rowOff>19050</xdr:rowOff>
                  </from>
                  <to>
                    <xdr:col>5</xdr:col>
                    <xdr:colOff>752475</xdr:colOff>
                    <xdr:row>50</xdr:row>
                    <xdr:rowOff>219075</xdr:rowOff>
                  </to>
                </anchor>
              </controlPr>
            </control>
          </mc:Choice>
        </mc:AlternateContent>
        <mc:AlternateContent xmlns:mc="http://schemas.openxmlformats.org/markup-compatibility/2006">
          <mc:Choice Requires="x14">
            <control shapeId="14366" r:id="rId25" name="Check Box 30">
              <controlPr defaultSize="0" autoFill="0" autoLine="0" autoPict="0">
                <anchor moveWithCells="1">
                  <from>
                    <xdr:col>4</xdr:col>
                    <xdr:colOff>19050</xdr:colOff>
                    <xdr:row>49</xdr:row>
                    <xdr:rowOff>28575</xdr:rowOff>
                  </from>
                  <to>
                    <xdr:col>5</xdr:col>
                    <xdr:colOff>952500</xdr:colOff>
                    <xdr:row>49</xdr:row>
                    <xdr:rowOff>228600</xdr:rowOff>
                  </to>
                </anchor>
              </controlPr>
            </control>
          </mc:Choice>
        </mc:AlternateContent>
        <mc:AlternateContent xmlns:mc="http://schemas.openxmlformats.org/markup-compatibility/2006">
          <mc:Choice Requires="x14">
            <control shapeId="14368" r:id="rId26" name="Check Box 32">
              <controlPr defaultSize="0" autoFill="0" autoLine="0" autoPict="0">
                <anchor moveWithCells="1">
                  <from>
                    <xdr:col>0</xdr:col>
                    <xdr:colOff>438150</xdr:colOff>
                    <xdr:row>55</xdr:row>
                    <xdr:rowOff>104775</xdr:rowOff>
                  </from>
                  <to>
                    <xdr:col>0</xdr:col>
                    <xdr:colOff>1219200</xdr:colOff>
                    <xdr:row>55</xdr:row>
                    <xdr:rowOff>295275</xdr:rowOff>
                  </to>
                </anchor>
              </controlPr>
            </control>
          </mc:Choice>
        </mc:AlternateContent>
        <mc:AlternateContent xmlns:mc="http://schemas.openxmlformats.org/markup-compatibility/2006">
          <mc:Choice Requires="x14">
            <control shapeId="14369" r:id="rId27" name="Check Box 33">
              <controlPr defaultSize="0" autoFill="0" autoLine="0" autoPict="0">
                <anchor moveWithCells="1">
                  <from>
                    <xdr:col>0</xdr:col>
                    <xdr:colOff>438150</xdr:colOff>
                    <xdr:row>56</xdr:row>
                    <xdr:rowOff>114300</xdr:rowOff>
                  </from>
                  <to>
                    <xdr:col>0</xdr:col>
                    <xdr:colOff>1219200</xdr:colOff>
                    <xdr:row>56</xdr:row>
                    <xdr:rowOff>304800</xdr:rowOff>
                  </to>
                </anchor>
              </controlPr>
            </control>
          </mc:Choice>
        </mc:AlternateContent>
        <mc:AlternateContent xmlns:mc="http://schemas.openxmlformats.org/markup-compatibility/2006">
          <mc:Choice Requires="x14">
            <control shapeId="14370" r:id="rId28" name="Check Box 34">
              <controlPr defaultSize="0" autoFill="0" autoLine="0" autoPict="0">
                <anchor moveWithCells="1">
                  <from>
                    <xdr:col>0</xdr:col>
                    <xdr:colOff>438150</xdr:colOff>
                    <xdr:row>58</xdr:row>
                    <xdr:rowOff>9525</xdr:rowOff>
                  </from>
                  <to>
                    <xdr:col>0</xdr:col>
                    <xdr:colOff>1219200</xdr:colOff>
                    <xdr:row>58</xdr:row>
                    <xdr:rowOff>219075</xdr:rowOff>
                  </to>
                </anchor>
              </controlPr>
            </control>
          </mc:Choice>
        </mc:AlternateContent>
        <mc:AlternateContent xmlns:mc="http://schemas.openxmlformats.org/markup-compatibility/2006">
          <mc:Choice Requires="x14">
            <control shapeId="14371" r:id="rId29" name="Check Box 35">
              <controlPr defaultSize="0" autoFill="0" autoLine="0" autoPict="0">
                <anchor moveWithCells="1">
                  <from>
                    <xdr:col>0</xdr:col>
                    <xdr:colOff>438150</xdr:colOff>
                    <xdr:row>59</xdr:row>
                    <xdr:rowOff>0</xdr:rowOff>
                  </from>
                  <to>
                    <xdr:col>0</xdr:col>
                    <xdr:colOff>1219200</xdr:colOff>
                    <xdr:row>59</xdr:row>
                    <xdr:rowOff>209550</xdr:rowOff>
                  </to>
                </anchor>
              </controlPr>
            </control>
          </mc:Choice>
        </mc:AlternateContent>
        <mc:AlternateContent xmlns:mc="http://schemas.openxmlformats.org/markup-compatibility/2006">
          <mc:Choice Requires="x14">
            <control shapeId="14372" r:id="rId30" name="Check Box 36">
              <controlPr defaultSize="0" autoFill="0" autoLine="0" autoPict="0">
                <anchor moveWithCells="1">
                  <from>
                    <xdr:col>0</xdr:col>
                    <xdr:colOff>438150</xdr:colOff>
                    <xdr:row>61</xdr:row>
                    <xdr:rowOff>28575</xdr:rowOff>
                  </from>
                  <to>
                    <xdr:col>0</xdr:col>
                    <xdr:colOff>1219200</xdr:colOff>
                    <xdr:row>61</xdr:row>
                    <xdr:rowOff>238125</xdr:rowOff>
                  </to>
                </anchor>
              </controlPr>
            </control>
          </mc:Choice>
        </mc:AlternateContent>
        <mc:AlternateContent xmlns:mc="http://schemas.openxmlformats.org/markup-compatibility/2006">
          <mc:Choice Requires="x14">
            <control shapeId="14373" r:id="rId31" name="Check Box 37">
              <controlPr defaultSize="0" autoFill="0" autoLine="0" autoPict="0">
                <anchor moveWithCells="1">
                  <from>
                    <xdr:col>0</xdr:col>
                    <xdr:colOff>438150</xdr:colOff>
                    <xdr:row>62</xdr:row>
                    <xdr:rowOff>28575</xdr:rowOff>
                  </from>
                  <to>
                    <xdr:col>0</xdr:col>
                    <xdr:colOff>1219200</xdr:colOff>
                    <xdr:row>62</xdr:row>
                    <xdr:rowOff>238125</xdr:rowOff>
                  </to>
                </anchor>
              </controlPr>
            </control>
          </mc:Choice>
        </mc:AlternateContent>
        <mc:AlternateContent xmlns:mc="http://schemas.openxmlformats.org/markup-compatibility/2006">
          <mc:Choice Requires="x14">
            <control shapeId="14374" r:id="rId32" name="Check Box 38">
              <controlPr defaultSize="0" autoFill="0" autoLine="0" autoPict="0">
                <anchor moveWithCells="1">
                  <from>
                    <xdr:col>0</xdr:col>
                    <xdr:colOff>438150</xdr:colOff>
                    <xdr:row>63</xdr:row>
                    <xdr:rowOff>28575</xdr:rowOff>
                  </from>
                  <to>
                    <xdr:col>0</xdr:col>
                    <xdr:colOff>1219200</xdr:colOff>
                    <xdr:row>63</xdr:row>
                    <xdr:rowOff>238125</xdr:rowOff>
                  </to>
                </anchor>
              </controlPr>
            </control>
          </mc:Choice>
        </mc:AlternateContent>
        <mc:AlternateContent xmlns:mc="http://schemas.openxmlformats.org/markup-compatibility/2006">
          <mc:Choice Requires="x14">
            <control shapeId="14375" r:id="rId33" name="Check Box 39">
              <controlPr defaultSize="0" autoFill="0" autoLine="0" autoPict="0">
                <anchor moveWithCells="1">
                  <from>
                    <xdr:col>0</xdr:col>
                    <xdr:colOff>438150</xdr:colOff>
                    <xdr:row>65</xdr:row>
                    <xdr:rowOff>219075</xdr:rowOff>
                  </from>
                  <to>
                    <xdr:col>0</xdr:col>
                    <xdr:colOff>1219200</xdr:colOff>
                    <xdr:row>65</xdr:row>
                    <xdr:rowOff>428625</xdr:rowOff>
                  </to>
                </anchor>
              </controlPr>
            </control>
          </mc:Choice>
        </mc:AlternateContent>
        <mc:AlternateContent xmlns:mc="http://schemas.openxmlformats.org/markup-compatibility/2006">
          <mc:Choice Requires="x14">
            <control shapeId="14376" r:id="rId34" name="Check Box 40">
              <controlPr defaultSize="0" autoFill="0" autoLine="0" autoPict="0">
                <anchor moveWithCells="1">
                  <from>
                    <xdr:col>0</xdr:col>
                    <xdr:colOff>438150</xdr:colOff>
                    <xdr:row>66</xdr:row>
                    <xdr:rowOff>219075</xdr:rowOff>
                  </from>
                  <to>
                    <xdr:col>0</xdr:col>
                    <xdr:colOff>1219200</xdr:colOff>
                    <xdr:row>66</xdr:row>
                    <xdr:rowOff>428625</xdr:rowOff>
                  </to>
                </anchor>
              </controlPr>
            </control>
          </mc:Choice>
        </mc:AlternateContent>
        <mc:AlternateContent xmlns:mc="http://schemas.openxmlformats.org/markup-compatibility/2006">
          <mc:Choice Requires="x14">
            <control shapeId="14377" r:id="rId35" name="Check Box 41">
              <controlPr defaultSize="0" autoFill="0" autoLine="0" autoPict="0">
                <anchor moveWithCells="1">
                  <from>
                    <xdr:col>1</xdr:col>
                    <xdr:colOff>28575</xdr:colOff>
                    <xdr:row>64</xdr:row>
                    <xdr:rowOff>390525</xdr:rowOff>
                  </from>
                  <to>
                    <xdr:col>3</xdr:col>
                    <xdr:colOff>0</xdr:colOff>
                    <xdr:row>64</xdr:row>
                    <xdr:rowOff>571500</xdr:rowOff>
                  </to>
                </anchor>
              </controlPr>
            </control>
          </mc:Choice>
        </mc:AlternateContent>
        <mc:AlternateContent xmlns:mc="http://schemas.openxmlformats.org/markup-compatibility/2006">
          <mc:Choice Requires="x14">
            <control shapeId="14378" r:id="rId36" name="Check Box 42">
              <controlPr defaultSize="0" autoFill="0" autoLine="0" autoPict="0">
                <anchor moveWithCells="1">
                  <from>
                    <xdr:col>1</xdr:col>
                    <xdr:colOff>28575</xdr:colOff>
                    <xdr:row>65</xdr:row>
                    <xdr:rowOff>161925</xdr:rowOff>
                  </from>
                  <to>
                    <xdr:col>5</xdr:col>
                    <xdr:colOff>742950</xdr:colOff>
                    <xdr:row>65</xdr:row>
                    <xdr:rowOff>523875</xdr:rowOff>
                  </to>
                </anchor>
              </controlPr>
            </control>
          </mc:Choice>
        </mc:AlternateContent>
        <mc:AlternateContent xmlns:mc="http://schemas.openxmlformats.org/markup-compatibility/2006">
          <mc:Choice Requires="x14">
            <control shapeId="14381" r:id="rId37" name="Check Box 45">
              <controlPr defaultSize="0" autoFill="0" autoLine="0" autoPict="0">
                <anchor moveWithCells="1">
                  <from>
                    <xdr:col>1</xdr:col>
                    <xdr:colOff>76200</xdr:colOff>
                    <xdr:row>23</xdr:row>
                    <xdr:rowOff>0</xdr:rowOff>
                  </from>
                  <to>
                    <xdr:col>1</xdr:col>
                    <xdr:colOff>857250</xdr:colOff>
                    <xdr:row>24</xdr:row>
                    <xdr:rowOff>19050</xdr:rowOff>
                  </to>
                </anchor>
              </controlPr>
            </control>
          </mc:Choice>
        </mc:AlternateContent>
        <mc:AlternateContent xmlns:mc="http://schemas.openxmlformats.org/markup-compatibility/2006">
          <mc:Choice Requires="x14">
            <control shapeId="14382" r:id="rId38" name="Check Box 46">
              <controlPr defaultSize="0" autoFill="0" autoLine="0" autoPict="0">
                <anchor moveWithCells="1">
                  <from>
                    <xdr:col>1</xdr:col>
                    <xdr:colOff>76200</xdr:colOff>
                    <xdr:row>24</xdr:row>
                    <xdr:rowOff>0</xdr:rowOff>
                  </from>
                  <to>
                    <xdr:col>1</xdr:col>
                    <xdr:colOff>857250</xdr:colOff>
                    <xdr:row>25</xdr:row>
                    <xdr:rowOff>19050</xdr:rowOff>
                  </to>
                </anchor>
              </controlPr>
            </control>
          </mc:Choice>
        </mc:AlternateContent>
        <mc:AlternateContent xmlns:mc="http://schemas.openxmlformats.org/markup-compatibility/2006">
          <mc:Choice Requires="x14">
            <control shapeId="14383" r:id="rId39" name="Check Box 47">
              <controlPr defaultSize="0" autoFill="0" autoLine="0" autoPict="0">
                <anchor moveWithCells="1">
                  <from>
                    <xdr:col>1</xdr:col>
                    <xdr:colOff>76200</xdr:colOff>
                    <xdr:row>25</xdr:row>
                    <xdr:rowOff>0</xdr:rowOff>
                  </from>
                  <to>
                    <xdr:col>1</xdr:col>
                    <xdr:colOff>857250</xdr:colOff>
                    <xdr:row>26</xdr:row>
                    <xdr:rowOff>19050</xdr:rowOff>
                  </to>
                </anchor>
              </controlPr>
            </control>
          </mc:Choice>
        </mc:AlternateContent>
        <mc:AlternateContent xmlns:mc="http://schemas.openxmlformats.org/markup-compatibility/2006">
          <mc:Choice Requires="x14">
            <control shapeId="14384" r:id="rId40" name="Check Box 48">
              <controlPr defaultSize="0" autoFill="0" autoLine="0" autoPict="0">
                <anchor moveWithCells="1">
                  <from>
                    <xdr:col>1</xdr:col>
                    <xdr:colOff>76200</xdr:colOff>
                    <xdr:row>26</xdr:row>
                    <xdr:rowOff>0</xdr:rowOff>
                  </from>
                  <to>
                    <xdr:col>1</xdr:col>
                    <xdr:colOff>857250</xdr:colOff>
                    <xdr:row>27</xdr:row>
                    <xdr:rowOff>19050</xdr:rowOff>
                  </to>
                </anchor>
              </controlPr>
            </control>
          </mc:Choice>
        </mc:AlternateContent>
        <mc:AlternateContent xmlns:mc="http://schemas.openxmlformats.org/markup-compatibility/2006">
          <mc:Choice Requires="x14">
            <control shapeId="14385" r:id="rId41" name="Check Box 49">
              <controlPr defaultSize="0" autoFill="0" autoLine="0" autoPict="0">
                <anchor moveWithCells="1">
                  <from>
                    <xdr:col>2</xdr:col>
                    <xdr:colOff>9525</xdr:colOff>
                    <xdr:row>51</xdr:row>
                    <xdr:rowOff>28575</xdr:rowOff>
                  </from>
                  <to>
                    <xdr:col>3</xdr:col>
                    <xdr:colOff>942975</xdr:colOff>
                    <xdr:row>51</xdr:row>
                    <xdr:rowOff>228600</xdr:rowOff>
                  </to>
                </anchor>
              </controlPr>
            </control>
          </mc:Choice>
        </mc:AlternateContent>
        <mc:AlternateContent xmlns:mc="http://schemas.openxmlformats.org/markup-compatibility/2006">
          <mc:Choice Requires="x14">
            <control shapeId="14386" r:id="rId42" name="Check Box 50">
              <controlPr defaultSize="0" autoFill="0" autoLine="0" autoPict="0">
                <anchor moveWithCells="1">
                  <from>
                    <xdr:col>4</xdr:col>
                    <xdr:colOff>19050</xdr:colOff>
                    <xdr:row>51</xdr:row>
                    <xdr:rowOff>28575</xdr:rowOff>
                  </from>
                  <to>
                    <xdr:col>5</xdr:col>
                    <xdr:colOff>952500</xdr:colOff>
                    <xdr:row>51</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2060"/>
    <pageSetUpPr fitToPage="1"/>
  </sheetPr>
  <dimension ref="A1:Z56"/>
  <sheetViews>
    <sheetView showGridLines="0" zoomScaleNormal="100" workbookViewId="0">
      <selection sqref="A1:L1"/>
    </sheetView>
  </sheetViews>
  <sheetFormatPr defaultRowHeight="14.25" x14ac:dyDescent="0.2"/>
  <cols>
    <col min="1" max="3" width="16.7109375" style="99" customWidth="1"/>
    <col min="4" max="4" width="12.7109375" style="99" customWidth="1"/>
    <col min="5" max="7" width="13.28515625" style="99" customWidth="1"/>
    <col min="8" max="8" width="12.7109375" style="99" customWidth="1"/>
    <col min="9" max="9" width="12.7109375" style="113" customWidth="1"/>
    <col min="10" max="10" width="12.7109375" style="99" customWidth="1"/>
    <col min="11" max="11" width="21.7109375" style="113" customWidth="1"/>
    <col min="12" max="12" width="12.7109375" style="99" customWidth="1"/>
    <col min="13" max="15" width="9.140625" style="99" customWidth="1"/>
    <col min="16" max="25" width="9.140625" style="99"/>
    <col min="26" max="26" width="23.42578125" style="99" bestFit="1" customWidth="1"/>
    <col min="27" max="16384" width="9.140625" style="99"/>
  </cols>
  <sheetData>
    <row r="1" spans="1:26" s="69" customFormat="1" ht="26.25" customHeight="1" thickBot="1" x14ac:dyDescent="0.3">
      <c r="A1" s="1315" t="s">
        <v>2362</v>
      </c>
      <c r="B1" s="1315"/>
      <c r="C1" s="1315"/>
      <c r="D1" s="1315"/>
      <c r="E1" s="1315"/>
      <c r="F1" s="1315"/>
      <c r="G1" s="1315"/>
      <c r="H1" s="1315"/>
      <c r="I1" s="1315"/>
      <c r="J1" s="1315"/>
      <c r="K1" s="1315"/>
      <c r="L1" s="1315"/>
      <c r="M1" s="79"/>
      <c r="N1" s="79"/>
      <c r="O1" s="79"/>
    </row>
    <row r="2" spans="1:26" s="160" customFormat="1" ht="35.1" customHeight="1" x14ac:dyDescent="0.25">
      <c r="A2" s="1448" t="s">
        <v>2504</v>
      </c>
      <c r="B2" s="1448"/>
      <c r="C2" s="1448"/>
      <c r="D2" s="1448"/>
      <c r="E2" s="1448"/>
      <c r="F2" s="1448"/>
      <c r="G2" s="1448"/>
      <c r="H2" s="1448"/>
      <c r="I2" s="1448"/>
      <c r="J2" s="1448"/>
      <c r="K2" s="1448"/>
      <c r="L2" s="1448"/>
      <c r="M2" s="163"/>
      <c r="N2" s="163"/>
      <c r="O2" s="163"/>
    </row>
    <row r="3" spans="1:26" s="160" customFormat="1" ht="35.1" customHeight="1" x14ac:dyDescent="0.25">
      <c r="A3" s="161">
        <v>1</v>
      </c>
      <c r="B3" s="1466" t="s">
        <v>1624</v>
      </c>
      <c r="C3" s="1466"/>
      <c r="D3" s="1466"/>
      <c r="E3" s="1466"/>
      <c r="F3" s="1466"/>
      <c r="G3" s="1466"/>
      <c r="H3" s="1466"/>
      <c r="I3" s="1466"/>
      <c r="J3" s="1466"/>
      <c r="K3" s="1466"/>
      <c r="L3" s="1466"/>
      <c r="M3" s="164"/>
      <c r="N3" s="164"/>
      <c r="O3" s="164"/>
    </row>
    <row r="4" spans="1:26" s="160" customFormat="1" ht="35.1" customHeight="1" x14ac:dyDescent="0.25">
      <c r="A4" s="161">
        <v>2</v>
      </c>
      <c r="B4" s="1466" t="s">
        <v>1625</v>
      </c>
      <c r="C4" s="1466"/>
      <c r="D4" s="1466"/>
      <c r="E4" s="1466"/>
      <c r="F4" s="1466"/>
      <c r="G4" s="1466"/>
      <c r="H4" s="1466"/>
      <c r="I4" s="1466"/>
      <c r="J4" s="1466"/>
      <c r="K4" s="1466"/>
      <c r="L4" s="1466"/>
    </row>
    <row r="5" spans="1:26" s="160" customFormat="1" ht="35.1" customHeight="1" x14ac:dyDescent="0.25">
      <c r="A5" s="161">
        <v>3</v>
      </c>
      <c r="B5" s="1466" t="s">
        <v>1626</v>
      </c>
      <c r="C5" s="1466"/>
      <c r="D5" s="1466"/>
      <c r="E5" s="1466"/>
      <c r="F5" s="1466"/>
      <c r="G5" s="1466"/>
      <c r="H5" s="1466"/>
      <c r="I5" s="1466"/>
      <c r="J5" s="1466"/>
      <c r="K5" s="1466"/>
      <c r="L5" s="1466"/>
      <c r="M5" s="164"/>
      <c r="N5" s="164"/>
      <c r="O5" s="164"/>
    </row>
    <row r="6" spans="1:26" s="160" customFormat="1" ht="35.1" customHeight="1" x14ac:dyDescent="0.25">
      <c r="A6" s="161">
        <v>4</v>
      </c>
      <c r="B6" s="1466" t="s">
        <v>1627</v>
      </c>
      <c r="C6" s="1466"/>
      <c r="D6" s="1466"/>
      <c r="E6" s="1466"/>
      <c r="F6" s="1466"/>
      <c r="G6" s="1466"/>
      <c r="H6" s="1466"/>
      <c r="I6" s="1466"/>
      <c r="J6" s="1466"/>
      <c r="K6" s="1466"/>
      <c r="L6" s="1466"/>
      <c r="M6" s="164"/>
      <c r="N6" s="164"/>
      <c r="O6" s="164"/>
    </row>
    <row r="7" spans="1:26" s="160" customFormat="1" ht="35.1" customHeight="1" x14ac:dyDescent="0.25">
      <c r="A7" s="161">
        <v>5</v>
      </c>
      <c r="B7" s="1466" t="s">
        <v>1628</v>
      </c>
      <c r="C7" s="1466"/>
      <c r="D7" s="1466"/>
      <c r="E7" s="1466"/>
      <c r="F7" s="1466"/>
      <c r="G7" s="1466"/>
      <c r="H7" s="1466"/>
      <c r="I7" s="1466"/>
      <c r="J7" s="1466"/>
      <c r="K7" s="1466"/>
      <c r="L7" s="1466"/>
      <c r="M7" s="164"/>
      <c r="N7" s="164"/>
      <c r="O7" s="164"/>
    </row>
    <row r="8" spans="1:26" s="160" customFormat="1" ht="20.100000000000001" customHeight="1" x14ac:dyDescent="0.25">
      <c r="A8" s="161">
        <v>6</v>
      </c>
      <c r="B8" s="1466" t="s">
        <v>1629</v>
      </c>
      <c r="C8" s="1466"/>
      <c r="D8" s="1466"/>
      <c r="E8" s="1466"/>
      <c r="F8" s="1466"/>
      <c r="G8" s="1466"/>
      <c r="H8" s="1466"/>
      <c r="I8" s="1466"/>
      <c r="J8" s="1466"/>
      <c r="K8" s="1466"/>
      <c r="L8" s="1466"/>
      <c r="M8" s="164"/>
      <c r="N8" s="164"/>
      <c r="O8" s="164"/>
    </row>
    <row r="9" spans="1:26" s="68" customFormat="1" ht="9" customHeight="1" thickBot="1" x14ac:dyDescent="0.3">
      <c r="A9" s="120"/>
      <c r="B9" s="128"/>
      <c r="C9" s="128"/>
      <c r="D9" s="128"/>
      <c r="E9" s="128"/>
      <c r="F9" s="128"/>
      <c r="G9" s="128"/>
      <c r="H9" s="128"/>
      <c r="I9" s="128"/>
      <c r="J9" s="128"/>
      <c r="K9" s="128"/>
      <c r="L9" s="128"/>
      <c r="M9" s="128"/>
      <c r="N9" s="128"/>
      <c r="O9" s="128"/>
    </row>
    <row r="10" spans="1:26" ht="45" customHeight="1" x14ac:dyDescent="0.2">
      <c r="A10" s="1576" t="s">
        <v>1619</v>
      </c>
      <c r="B10" s="1577"/>
      <c r="C10" s="1578"/>
      <c r="D10" s="1460" t="s">
        <v>1876</v>
      </c>
      <c r="E10" s="487" t="s">
        <v>1580</v>
      </c>
      <c r="F10" s="487" t="s">
        <v>1578</v>
      </c>
      <c r="G10" s="487" t="s">
        <v>1579</v>
      </c>
      <c r="H10" s="485" t="s">
        <v>11</v>
      </c>
      <c r="I10" s="490" t="s">
        <v>12</v>
      </c>
      <c r="J10" s="487" t="s">
        <v>1621</v>
      </c>
      <c r="K10" s="1582" t="s">
        <v>1620</v>
      </c>
      <c r="L10" s="98" t="s">
        <v>13</v>
      </c>
    </row>
    <row r="11" spans="1:26" ht="15.75" customHeight="1" thickBot="1" x14ac:dyDescent="0.25">
      <c r="A11" s="1579"/>
      <c r="B11" s="1580"/>
      <c r="C11" s="1581"/>
      <c r="D11" s="1461"/>
      <c r="E11" s="100" t="s">
        <v>14</v>
      </c>
      <c r="F11" s="100" t="s">
        <v>1617</v>
      </c>
      <c r="G11" s="100" t="s">
        <v>14</v>
      </c>
      <c r="H11" s="101" t="s">
        <v>15</v>
      </c>
      <c r="I11" s="103" t="s">
        <v>17</v>
      </c>
      <c r="J11" s="100" t="s">
        <v>1617</v>
      </c>
      <c r="K11" s="1583"/>
      <c r="L11" s="104" t="s">
        <v>15</v>
      </c>
      <c r="W11" s="99" t="s">
        <v>1618</v>
      </c>
      <c r="Z11" s="137" t="s">
        <v>1622</v>
      </c>
    </row>
    <row r="12" spans="1:26" s="105" customFormat="1" ht="18" customHeight="1" x14ac:dyDescent="0.2">
      <c r="A12" s="1573" t="s">
        <v>1623</v>
      </c>
      <c r="B12" s="1574"/>
      <c r="C12" s="1575"/>
      <c r="D12" s="494" t="s">
        <v>2125</v>
      </c>
      <c r="E12" s="326">
        <v>1000</v>
      </c>
      <c r="F12" s="326" t="s">
        <v>73</v>
      </c>
      <c r="G12" s="394"/>
      <c r="H12" s="329">
        <v>1625</v>
      </c>
      <c r="I12" s="330">
        <v>1</v>
      </c>
      <c r="J12" s="326" t="s">
        <v>73</v>
      </c>
      <c r="K12" s="395"/>
      <c r="L12" s="331">
        <v>1625</v>
      </c>
      <c r="M12" s="135"/>
      <c r="N12" s="99"/>
      <c r="O12" s="99"/>
      <c r="W12" s="105" t="s">
        <v>75</v>
      </c>
      <c r="Z12" s="131" t="s">
        <v>1592</v>
      </c>
    </row>
    <row r="13" spans="1:26" s="105" customFormat="1" ht="18" customHeight="1" x14ac:dyDescent="0.2">
      <c r="A13" s="1571" t="s">
        <v>1632</v>
      </c>
      <c r="B13" s="1346"/>
      <c r="C13" s="1572"/>
      <c r="D13" s="495" t="s">
        <v>2126</v>
      </c>
      <c r="E13" s="334">
        <v>5000</v>
      </c>
      <c r="F13" s="334" t="s">
        <v>75</v>
      </c>
      <c r="G13" s="334">
        <v>200</v>
      </c>
      <c r="H13" s="337">
        <v>600</v>
      </c>
      <c r="I13" s="338">
        <v>1</v>
      </c>
      <c r="J13" s="334" t="s">
        <v>75</v>
      </c>
      <c r="K13" s="338" t="s">
        <v>1592</v>
      </c>
      <c r="L13" s="339">
        <f>H13*I13*(1-0.95)</f>
        <v>30.000000000000028</v>
      </c>
      <c r="M13" s="135"/>
      <c r="N13" s="99"/>
      <c r="O13" s="99"/>
      <c r="W13" s="105" t="s">
        <v>73</v>
      </c>
      <c r="Z13" s="131" t="s">
        <v>1600</v>
      </c>
    </row>
    <row r="14" spans="1:26" s="68" customFormat="1" ht="9" customHeight="1" x14ac:dyDescent="0.25">
      <c r="A14" s="120"/>
      <c r="B14" s="128"/>
      <c r="C14" s="128"/>
      <c r="D14" s="128"/>
      <c r="E14" s="128"/>
      <c r="F14" s="128"/>
      <c r="G14" s="128"/>
      <c r="H14" s="128"/>
      <c r="I14" s="128"/>
      <c r="J14" s="128"/>
      <c r="K14" s="128"/>
      <c r="L14" s="128"/>
      <c r="M14" s="128"/>
      <c r="N14" s="128"/>
      <c r="O14" s="128"/>
    </row>
    <row r="15" spans="1:26" s="68" customFormat="1" ht="15.75" customHeight="1" thickBot="1" x14ac:dyDescent="0.3">
      <c r="A15" s="1292"/>
      <c r="B15" s="1292"/>
      <c r="C15" s="1292"/>
      <c r="D15" s="1292"/>
      <c r="E15" s="1292"/>
      <c r="F15" s="1292"/>
      <c r="G15" s="1292"/>
      <c r="H15" s="1292"/>
      <c r="I15" s="1292"/>
      <c r="J15" s="1292"/>
      <c r="K15" s="1292"/>
      <c r="L15" s="1292"/>
      <c r="M15" s="85"/>
      <c r="N15" s="85"/>
      <c r="O15" s="85"/>
    </row>
    <row r="16" spans="1:26" s="77" customFormat="1" ht="19.5" thickBot="1" x14ac:dyDescent="0.3">
      <c r="A16" s="1208" t="s">
        <v>1449</v>
      </c>
      <c r="B16" s="1208"/>
      <c r="C16" s="1208"/>
      <c r="D16" s="1208"/>
      <c r="E16" s="1208"/>
      <c r="F16" s="1208"/>
      <c r="G16" s="1208"/>
      <c r="H16" s="1208"/>
      <c r="I16" s="1208"/>
      <c r="J16" s="1208"/>
      <c r="K16" s="1208"/>
      <c r="L16" s="1208"/>
      <c r="M16" s="90"/>
      <c r="N16" s="90"/>
      <c r="O16" s="90"/>
    </row>
    <row r="17" spans="1:26" ht="60" customHeight="1" x14ac:dyDescent="0.2">
      <c r="A17" s="1476"/>
      <c r="B17" s="1476"/>
      <c r="C17" s="1476"/>
      <c r="D17" s="1476"/>
      <c r="E17" s="1476"/>
      <c r="F17" s="1476"/>
      <c r="G17" s="1476"/>
      <c r="H17" s="1476"/>
      <c r="I17" s="1476"/>
      <c r="J17" s="1476"/>
      <c r="K17" s="1476"/>
      <c r="L17" s="1476"/>
    </row>
    <row r="18" spans="1:26" ht="24.95" customHeight="1" x14ac:dyDescent="0.2">
      <c r="A18" s="1436" t="s">
        <v>1434</v>
      </c>
      <c r="B18" s="1436"/>
      <c r="C18" s="1436"/>
      <c r="D18" s="1436"/>
      <c r="E18" s="1436"/>
      <c r="F18" s="1436"/>
      <c r="G18" s="1436"/>
      <c r="H18" s="1436"/>
      <c r="I18" s="1436"/>
      <c r="J18" s="1436"/>
      <c r="K18" s="1436"/>
      <c r="L18" s="1436"/>
      <c r="M18" s="111"/>
      <c r="N18" s="111"/>
      <c r="O18" s="111"/>
    </row>
    <row r="19" spans="1:26" ht="24.95" customHeight="1" x14ac:dyDescent="0.2">
      <c r="A19" s="988" t="s">
        <v>2352</v>
      </c>
      <c r="B19" s="988"/>
      <c r="C19" s="988"/>
      <c r="D19" s="988"/>
      <c r="E19" s="988"/>
      <c r="F19" s="988"/>
      <c r="G19" s="988"/>
      <c r="H19" s="988"/>
      <c r="I19" s="988"/>
      <c r="J19" s="988"/>
      <c r="K19" s="988"/>
      <c r="L19" s="988"/>
    </row>
    <row r="20" spans="1:26" ht="20.100000000000001" customHeight="1" thickBot="1" x14ac:dyDescent="0.25">
      <c r="A20" s="1475" t="s">
        <v>1699</v>
      </c>
      <c r="B20" s="1475"/>
      <c r="C20" s="1475"/>
      <c r="D20" s="1475"/>
      <c r="E20" s="1475"/>
      <c r="F20" s="1475"/>
      <c r="G20" s="1475"/>
      <c r="H20" s="1475"/>
      <c r="I20" s="1475"/>
      <c r="J20" s="1475"/>
      <c r="K20" s="1475"/>
      <c r="L20" s="1475"/>
    </row>
    <row r="21" spans="1:26" ht="45" customHeight="1" x14ac:dyDescent="0.2">
      <c r="A21" s="1584" t="s">
        <v>1619</v>
      </c>
      <c r="B21" s="1585"/>
      <c r="C21" s="1586"/>
      <c r="D21" s="1471" t="s">
        <v>1876</v>
      </c>
      <c r="E21" s="831" t="s">
        <v>1580</v>
      </c>
      <c r="F21" s="831" t="s">
        <v>1578</v>
      </c>
      <c r="G21" s="831" t="s">
        <v>1579</v>
      </c>
      <c r="H21" s="833" t="s">
        <v>11</v>
      </c>
      <c r="I21" s="834" t="s">
        <v>12</v>
      </c>
      <c r="J21" s="831" t="s">
        <v>1621</v>
      </c>
      <c r="K21" s="1590" t="s">
        <v>1620</v>
      </c>
      <c r="L21" s="823" t="s">
        <v>13</v>
      </c>
    </row>
    <row r="22" spans="1:26" ht="15.75" customHeight="1" thickBot="1" x14ac:dyDescent="0.25">
      <c r="A22" s="1587"/>
      <c r="B22" s="1588"/>
      <c r="C22" s="1589"/>
      <c r="D22" s="1472"/>
      <c r="E22" s="835" t="s">
        <v>14</v>
      </c>
      <c r="F22" s="835" t="s">
        <v>1617</v>
      </c>
      <c r="G22" s="835" t="s">
        <v>14</v>
      </c>
      <c r="H22" s="836" t="s">
        <v>15</v>
      </c>
      <c r="I22" s="838" t="s">
        <v>17</v>
      </c>
      <c r="J22" s="835" t="s">
        <v>1617</v>
      </c>
      <c r="K22" s="1591"/>
      <c r="L22" s="839" t="s">
        <v>15</v>
      </c>
      <c r="W22" s="99" t="s">
        <v>1618</v>
      </c>
      <c r="Z22" s="137" t="s">
        <v>1622</v>
      </c>
    </row>
    <row r="23" spans="1:26" s="105" customFormat="1" ht="18" customHeight="1" x14ac:dyDescent="0.2">
      <c r="A23" s="1592" t="str">
        <f>IF(ISBLANK('Table 5-C| MPTE VOC'!A30),"",'Table 5-C| MPTE VOC'!A30&amp;" -- "&amp;'Table 5-C| MPTE VOC'!B30&amp;": "&amp;'Table 5-C| MPTE VOC'!D30)</f>
        <v/>
      </c>
      <c r="B23" s="1593"/>
      <c r="C23" s="1594"/>
      <c r="D23" s="529" t="str">
        <f>IF(ISBLANK('Table 5-C| MPTE VOC'!C30),"",'Table 5-C| MPTE VOC'!C30)</f>
        <v/>
      </c>
      <c r="E23" s="396" t="str">
        <f>IF(ISBLANK('Table 5-C| MPTE VOC'!E30),"",'Table 5-C| MPTE VOC'!E30)</f>
        <v/>
      </c>
      <c r="F23" s="342"/>
      <c r="G23" s="342"/>
      <c r="H23" s="346" t="str">
        <f>IF(F23="No",'Table 5-C| MPTE VOC'!I30,IF(AND(F23="Yes",NOT(ISBLANK(G23))),('Table 5-C| MPTE VOC'!I30*(G23/E23)),""))</f>
        <v/>
      </c>
      <c r="I23" s="397" t="str">
        <f>IF(ISBLANK('Table 5-C| MPTE VOC'!J30),"",'Table 5-C| MPTE VOC'!J30)</f>
        <v/>
      </c>
      <c r="J23" s="342"/>
      <c r="K23" s="398"/>
      <c r="L23" s="348" t="str">
        <f>IFERROR(IF('Table 5-C| MPTE VOC'!K30="","",IF(J23="Yes",(H23*I23*(1-VLOOKUP(K23,'Emission Controls'!$A$3:$L$16,7,))),IF(J23="No",H23*I23,""))),"")</f>
        <v/>
      </c>
      <c r="M23" s="135">
        <f>IFERROR(VLOOKUP(K23,'Emission Controls'!$A$3:$B$16,2,),0)</f>
        <v>0</v>
      </c>
      <c r="N23" s="99"/>
      <c r="O23" s="99"/>
      <c r="W23" s="105" t="s">
        <v>75</v>
      </c>
      <c r="Z23" s="131" t="s">
        <v>1592</v>
      </c>
    </row>
    <row r="24" spans="1:26" s="105" customFormat="1" ht="18" customHeight="1" x14ac:dyDescent="0.2">
      <c r="A24" s="1565" t="str">
        <f>IF(ISBLANK('Table 5-C| MPTE VOC'!A31),"",'Table 5-C| MPTE VOC'!A31&amp;" -- "&amp;'Table 5-C| MPTE VOC'!B31&amp;": "&amp;'Table 5-C| MPTE VOC'!D31)</f>
        <v/>
      </c>
      <c r="B24" s="1566"/>
      <c r="C24" s="1567"/>
      <c r="D24" s="530" t="str">
        <f>IF(ISBLANK('Table 5-C| MPTE VOC'!C31),"",'Table 5-C| MPTE VOC'!C31)</f>
        <v/>
      </c>
      <c r="E24" s="399" t="str">
        <f>IF(ISBLANK('Table 5-C| MPTE VOC'!E31),"",'Table 5-C| MPTE VOC'!E31)</f>
        <v/>
      </c>
      <c r="F24" s="351"/>
      <c r="G24" s="351"/>
      <c r="H24" s="355" t="str">
        <f>IF(F24="No",'Table 5-C| MPTE VOC'!I31,IF(AND(F24="Yes",NOT(ISBLANK(G24))),('Table 5-C| MPTE VOC'!I31*(G24/E24)),""))</f>
        <v/>
      </c>
      <c r="I24" s="400" t="str">
        <f>IF(ISBLANK('Table 5-C| MPTE VOC'!J31),"",'Table 5-C| MPTE VOC'!J31)</f>
        <v/>
      </c>
      <c r="J24" s="351"/>
      <c r="K24" s="356"/>
      <c r="L24" s="357" t="str">
        <f>IFERROR(IF('Table 5-C| MPTE VOC'!K31="","",IF(J24="Yes",(H24*I24*(1-VLOOKUP(K24,'Emission Controls'!$A$3:$L$16,7,))),IF(J24="No",H24*I24,""))),"")</f>
        <v/>
      </c>
      <c r="M24" s="135">
        <f>IFERROR(VLOOKUP(K24,'Emission Controls'!$A$3:$B$16,2,),0)</f>
        <v>0</v>
      </c>
      <c r="N24" s="99"/>
      <c r="O24" s="99"/>
      <c r="W24" s="105" t="s">
        <v>73</v>
      </c>
      <c r="Z24" s="131" t="s">
        <v>1600</v>
      </c>
    </row>
    <row r="25" spans="1:26" s="105" customFormat="1" ht="18" customHeight="1" thickBot="1" x14ac:dyDescent="0.25">
      <c r="A25" s="1565" t="str">
        <f>IF(ISBLANK('Table 5-C| MPTE VOC'!A32),"",'Table 5-C| MPTE VOC'!A32&amp;" -- "&amp;'Table 5-C| MPTE VOC'!B32&amp;": "&amp;'Table 5-C| MPTE VOC'!D32)</f>
        <v/>
      </c>
      <c r="B25" s="1566"/>
      <c r="C25" s="1567"/>
      <c r="D25" s="530" t="str">
        <f>IF(ISBLANK('Table 5-C| MPTE VOC'!C32),"",'Table 5-C| MPTE VOC'!C32)</f>
        <v/>
      </c>
      <c r="E25" s="399" t="str">
        <f>IF(ISBLANK('Table 5-C| MPTE VOC'!E32),"",'Table 5-C| MPTE VOC'!E32)</f>
        <v/>
      </c>
      <c r="F25" s="351"/>
      <c r="G25" s="351"/>
      <c r="H25" s="355" t="str">
        <f>IF(F25="No",'Table 5-C| MPTE VOC'!I32,IF(AND(F25="Yes",NOT(ISBLANK(G25))),('Table 5-C| MPTE VOC'!I32*(G25/E25)),""))</f>
        <v/>
      </c>
      <c r="I25" s="400" t="str">
        <f>IF(ISBLANK('Table 5-C| MPTE VOC'!J32),"",'Table 5-C| MPTE VOC'!J32)</f>
        <v/>
      </c>
      <c r="J25" s="351"/>
      <c r="K25" s="356"/>
      <c r="L25" s="357" t="str">
        <f>IFERROR(IF('Table 5-C| MPTE VOC'!K32="","",IF(J25="Yes",(H25*I25*(1-VLOOKUP(K25,'Emission Controls'!$A$3:$L$16,7,))),IF(J25="No",H25*I25,""))),"")</f>
        <v/>
      </c>
      <c r="M25" s="135">
        <f>IFERROR(VLOOKUP(K25,'Emission Controls'!$A$3:$B$16,2,),0)</f>
        <v>0</v>
      </c>
      <c r="N25" s="99"/>
      <c r="O25" s="99"/>
      <c r="Z25" s="132" t="s">
        <v>1595</v>
      </c>
    </row>
    <row r="26" spans="1:26" s="105" customFormat="1" ht="18" customHeight="1" x14ac:dyDescent="0.2">
      <c r="A26" s="1565" t="str">
        <f>IF(ISBLANK('Table 5-C| MPTE VOC'!A33),"",'Table 5-C| MPTE VOC'!A33&amp;" -- "&amp;'Table 5-C| MPTE VOC'!B33&amp;": "&amp;'Table 5-C| MPTE VOC'!D33)</f>
        <v/>
      </c>
      <c r="B26" s="1566"/>
      <c r="C26" s="1567"/>
      <c r="D26" s="530" t="str">
        <f>IF(ISBLANK('Table 5-C| MPTE VOC'!C33),"",'Table 5-C| MPTE VOC'!C33)</f>
        <v/>
      </c>
      <c r="E26" s="399" t="str">
        <f>IF(ISBLANK('Table 5-C| MPTE VOC'!E33),"",'Table 5-C| MPTE VOC'!E33)</f>
        <v/>
      </c>
      <c r="F26" s="351"/>
      <c r="G26" s="351"/>
      <c r="H26" s="355" t="str">
        <f>IF(F26="No",'Table 5-C| MPTE VOC'!I33,IF(AND(F26="Yes",NOT(ISBLANK(G26))),('Table 5-C| MPTE VOC'!I33*(G26/E26)),""))</f>
        <v/>
      </c>
      <c r="I26" s="400" t="str">
        <f>IF(ISBLANK('Table 5-C| MPTE VOC'!J33),"",'Table 5-C| MPTE VOC'!J33)</f>
        <v/>
      </c>
      <c r="J26" s="351"/>
      <c r="K26" s="356"/>
      <c r="L26" s="357" t="str">
        <f>IFERROR(IF('Table 5-C| MPTE VOC'!K33="","",IF(J26="Yes",(H26*I26*(1-VLOOKUP(K26,'Emission Controls'!$A$3:$L$16,7,))),IF(J26="No",H26*I26,""))),"")</f>
        <v/>
      </c>
      <c r="M26" s="135">
        <f>IFERROR(VLOOKUP(K26,'Emission Controls'!$A$3:$B$16,2,),0)</f>
        <v>0</v>
      </c>
      <c r="N26" s="99"/>
      <c r="O26" s="99"/>
    </row>
    <row r="27" spans="1:26" s="105" customFormat="1" ht="18" customHeight="1" x14ac:dyDescent="0.2">
      <c r="A27" s="1565" t="str">
        <f>IF(ISBLANK('Table 5-C| MPTE VOC'!A34),"",'Table 5-C| MPTE VOC'!A34&amp;" -- "&amp;'Table 5-C| MPTE VOC'!B34&amp;": "&amp;'Table 5-C| MPTE VOC'!D34)</f>
        <v/>
      </c>
      <c r="B27" s="1566"/>
      <c r="C27" s="1567"/>
      <c r="D27" s="530" t="str">
        <f>IF(ISBLANK('Table 5-C| MPTE VOC'!C34),"",'Table 5-C| MPTE VOC'!C34)</f>
        <v/>
      </c>
      <c r="E27" s="399" t="str">
        <f>IF(ISBLANK('Table 5-C| MPTE VOC'!E34),"",'Table 5-C| MPTE VOC'!E34)</f>
        <v/>
      </c>
      <c r="F27" s="351"/>
      <c r="G27" s="351"/>
      <c r="H27" s="355" t="str">
        <f>IF(F27="No",'Table 5-C| MPTE VOC'!I34,IF(AND(F27="Yes",NOT(ISBLANK(G27))),('Table 5-C| MPTE VOC'!I34*(G27/E27)),""))</f>
        <v/>
      </c>
      <c r="I27" s="400" t="str">
        <f>IF(ISBLANK('Table 5-C| MPTE VOC'!J34),"",'Table 5-C| MPTE VOC'!J34)</f>
        <v/>
      </c>
      <c r="J27" s="351"/>
      <c r="K27" s="356"/>
      <c r="L27" s="357" t="str">
        <f>IFERROR(IF('Table 5-C| MPTE VOC'!K34="","",IF(J27="Yes",(H27*I27*(1-VLOOKUP(K27,'Emission Controls'!$A$3:$L$16,7,))),IF(J27="No",H27*I27,""))),"")</f>
        <v/>
      </c>
      <c r="M27" s="135">
        <f>IFERROR(VLOOKUP(K27,'Emission Controls'!$A$3:$B$16,2,),0)</f>
        <v>0</v>
      </c>
    </row>
    <row r="28" spans="1:26" s="105" customFormat="1" ht="18" customHeight="1" x14ac:dyDescent="0.2">
      <c r="A28" s="1565" t="str">
        <f>IF(ISBLANK('Table 5-C| MPTE VOC'!A35),"",'Table 5-C| MPTE VOC'!A35&amp;" -- "&amp;'Table 5-C| MPTE VOC'!B35&amp;": "&amp;'Table 5-C| MPTE VOC'!D35)</f>
        <v/>
      </c>
      <c r="B28" s="1566"/>
      <c r="C28" s="1567"/>
      <c r="D28" s="530" t="str">
        <f>IF(ISBLANK('Table 5-C| MPTE VOC'!C35),"",'Table 5-C| MPTE VOC'!C35)</f>
        <v/>
      </c>
      <c r="E28" s="399" t="str">
        <f>IF(ISBLANK('Table 5-C| MPTE VOC'!E35),"",'Table 5-C| MPTE VOC'!E35)</f>
        <v/>
      </c>
      <c r="F28" s="351"/>
      <c r="G28" s="351"/>
      <c r="H28" s="355" t="str">
        <f>IF(F28="No",'Table 5-C| MPTE VOC'!I35,IF(AND(F28="Yes",NOT(ISBLANK(G28))),('Table 5-C| MPTE VOC'!I35*(G28/E28)),""))</f>
        <v/>
      </c>
      <c r="I28" s="400" t="str">
        <f>IF(ISBLANK('Table 5-C| MPTE VOC'!J35),"",'Table 5-C| MPTE VOC'!J35)</f>
        <v/>
      </c>
      <c r="J28" s="351"/>
      <c r="K28" s="356"/>
      <c r="L28" s="357" t="str">
        <f>IFERROR(IF('Table 5-C| MPTE VOC'!K35="","",IF(J28="Yes",(H28*I28*(1-VLOOKUP(K28,'Emission Controls'!$A$3:$L$16,7,))),IF(J28="No",H28*I28,""))),"")</f>
        <v/>
      </c>
      <c r="M28" s="135">
        <f>IFERROR(VLOOKUP(K28,'Emission Controls'!$A$3:$B$16,2,),0)</f>
        <v>0</v>
      </c>
    </row>
    <row r="29" spans="1:26" s="105" customFormat="1" ht="18" customHeight="1" x14ac:dyDescent="0.2">
      <c r="A29" s="1565" t="str">
        <f>IF(ISBLANK('Table 5-C| MPTE VOC'!A36),"",'Table 5-C| MPTE VOC'!A36&amp;" -- "&amp;'Table 5-C| MPTE VOC'!B36&amp;": "&amp;'Table 5-C| MPTE VOC'!D36)</f>
        <v/>
      </c>
      <c r="B29" s="1566"/>
      <c r="C29" s="1567"/>
      <c r="D29" s="530" t="str">
        <f>IF(ISBLANK('Table 5-C| MPTE VOC'!C36),"",'Table 5-C| MPTE VOC'!C36)</f>
        <v/>
      </c>
      <c r="E29" s="399" t="str">
        <f>IF(ISBLANK('Table 5-C| MPTE VOC'!E36),"",'Table 5-C| MPTE VOC'!E36)</f>
        <v/>
      </c>
      <c r="F29" s="351"/>
      <c r="G29" s="351"/>
      <c r="H29" s="355" t="str">
        <f>IF(F29="No",'Table 5-C| MPTE VOC'!I36,IF(AND(F29="Yes",NOT(ISBLANK(G29))),('Table 5-C| MPTE VOC'!I36*(G29/E29)),""))</f>
        <v/>
      </c>
      <c r="I29" s="400" t="str">
        <f>IF(ISBLANK('Table 5-C| MPTE VOC'!J36),"",'Table 5-C| MPTE VOC'!J36)</f>
        <v/>
      </c>
      <c r="J29" s="351"/>
      <c r="K29" s="356"/>
      <c r="L29" s="357" t="str">
        <f>IFERROR(IF('Table 5-C| MPTE VOC'!K36="","",IF(J29="Yes",(H29*I29*(1-VLOOKUP(K29,'Emission Controls'!$A$3:$L$16,7,))),IF(J29="No",H29*I29,""))),"")</f>
        <v/>
      </c>
      <c r="M29" s="135">
        <f>IFERROR(VLOOKUP(K29,'Emission Controls'!$A$3:$B$16,2,),0)</f>
        <v>0</v>
      </c>
    </row>
    <row r="30" spans="1:26" s="105" customFormat="1" ht="18" customHeight="1" x14ac:dyDescent="0.2">
      <c r="A30" s="1565" t="str">
        <f>IF(ISBLANK('Table 5-C| MPTE VOC'!A37),"",'Table 5-C| MPTE VOC'!A37&amp;" -- "&amp;'Table 5-C| MPTE VOC'!B37&amp;": "&amp;'Table 5-C| MPTE VOC'!D37)</f>
        <v/>
      </c>
      <c r="B30" s="1566"/>
      <c r="C30" s="1567"/>
      <c r="D30" s="530" t="str">
        <f>IF(ISBLANK('Table 5-C| MPTE VOC'!C37),"",'Table 5-C| MPTE VOC'!C37)</f>
        <v/>
      </c>
      <c r="E30" s="399" t="str">
        <f>IF(ISBLANK('Table 5-C| MPTE VOC'!E37),"",'Table 5-C| MPTE VOC'!E37)</f>
        <v/>
      </c>
      <c r="F30" s="351"/>
      <c r="G30" s="351"/>
      <c r="H30" s="355" t="str">
        <f>IF(F30="No",'Table 5-C| MPTE VOC'!I37,IF(AND(F30="Yes",NOT(ISBLANK(G30))),('Table 5-C| MPTE VOC'!I37*(G30/E30)),""))</f>
        <v/>
      </c>
      <c r="I30" s="400" t="str">
        <f>IF(ISBLANK('Table 5-C| MPTE VOC'!J37),"",'Table 5-C| MPTE VOC'!J37)</f>
        <v/>
      </c>
      <c r="J30" s="351"/>
      <c r="K30" s="356"/>
      <c r="L30" s="357" t="str">
        <f>IFERROR(IF('Table 5-C| MPTE VOC'!K37="","",IF(J30="Yes",(H30*I30*(1-VLOOKUP(K30,'Emission Controls'!$A$3:$L$16,7,))),IF(J30="No",H30*I30,""))),"")</f>
        <v/>
      </c>
      <c r="M30" s="135">
        <f>IFERROR(VLOOKUP(K30,'Emission Controls'!$A$3:$B$16,2,),0)</f>
        <v>0</v>
      </c>
    </row>
    <row r="31" spans="1:26" s="105" customFormat="1" ht="18" customHeight="1" x14ac:dyDescent="0.2">
      <c r="A31" s="1565" t="str">
        <f>IF(ISBLANK('Table 5-C| MPTE VOC'!A38),"",'Table 5-C| MPTE VOC'!A38&amp;" -- "&amp;'Table 5-C| MPTE VOC'!B38&amp;": "&amp;'Table 5-C| MPTE VOC'!D38)</f>
        <v/>
      </c>
      <c r="B31" s="1566"/>
      <c r="C31" s="1567"/>
      <c r="D31" s="530" t="str">
        <f>IF(ISBLANK('Table 5-C| MPTE VOC'!C38),"",'Table 5-C| MPTE VOC'!C38)</f>
        <v/>
      </c>
      <c r="E31" s="399" t="str">
        <f>IF(ISBLANK('Table 5-C| MPTE VOC'!E38),"",'Table 5-C| MPTE VOC'!E38)</f>
        <v/>
      </c>
      <c r="F31" s="351"/>
      <c r="G31" s="351"/>
      <c r="H31" s="355" t="str">
        <f>IF(F31="No",'Table 5-C| MPTE VOC'!I38,IF(AND(F31="Yes",NOT(ISBLANK(G31))),('Table 5-C| MPTE VOC'!I38*(G31/E31)),""))</f>
        <v/>
      </c>
      <c r="I31" s="400" t="str">
        <f>IF(ISBLANK('Table 5-C| MPTE VOC'!J38),"",'Table 5-C| MPTE VOC'!J38)</f>
        <v/>
      </c>
      <c r="J31" s="351"/>
      <c r="K31" s="356"/>
      <c r="L31" s="357" t="str">
        <f>IFERROR(IF('Table 5-C| MPTE VOC'!K38="","",IF(J31="Yes",(H31*I31*(1-VLOOKUP(K31,'Emission Controls'!$A$3:$L$16,7,))),IF(J31="No",H31*I31,""))),"")</f>
        <v/>
      </c>
      <c r="M31" s="135">
        <f>IFERROR(VLOOKUP(K31,'Emission Controls'!$A$3:$B$16,2,),0)</f>
        <v>0</v>
      </c>
    </row>
    <row r="32" spans="1:26" s="105" customFormat="1" ht="18" customHeight="1" x14ac:dyDescent="0.2">
      <c r="A32" s="1565" t="str">
        <f>IF(ISBLANK('Table 5-C| MPTE VOC'!A39),"",'Table 5-C| MPTE VOC'!A39&amp;" -- "&amp;'Table 5-C| MPTE VOC'!B39&amp;": "&amp;'Table 5-C| MPTE VOC'!D39)</f>
        <v/>
      </c>
      <c r="B32" s="1566"/>
      <c r="C32" s="1567"/>
      <c r="D32" s="530" t="str">
        <f>IF(ISBLANK('Table 5-C| MPTE VOC'!C39),"",'Table 5-C| MPTE VOC'!C39)</f>
        <v/>
      </c>
      <c r="E32" s="399" t="str">
        <f>IF(ISBLANK('Table 5-C| MPTE VOC'!E39),"",'Table 5-C| MPTE VOC'!E39)</f>
        <v/>
      </c>
      <c r="F32" s="351"/>
      <c r="G32" s="351"/>
      <c r="H32" s="355" t="str">
        <f>IF(F32="No",'Table 5-C| MPTE VOC'!I39,IF(AND(F32="Yes",NOT(ISBLANK(G32))),('Table 5-C| MPTE VOC'!I39*(G32/E32)),""))</f>
        <v/>
      </c>
      <c r="I32" s="400" t="str">
        <f>IF(ISBLANK('Table 5-C| MPTE VOC'!J39),"",'Table 5-C| MPTE VOC'!J39)</f>
        <v/>
      </c>
      <c r="J32" s="351"/>
      <c r="K32" s="356"/>
      <c r="L32" s="357" t="str">
        <f>IFERROR(IF('Table 5-C| MPTE VOC'!K39="","",IF(J32="Yes",(H32*I32*(1-VLOOKUP(K32,'Emission Controls'!$A$3:$L$16,7,))),IF(J32="No",H32*I32,""))),"")</f>
        <v/>
      </c>
      <c r="M32" s="135">
        <f>IFERROR(VLOOKUP(K32,'Emission Controls'!$A$3:$B$16,2,),0)</f>
        <v>0</v>
      </c>
    </row>
    <row r="33" spans="1:13" s="105" customFormat="1" ht="18" customHeight="1" x14ac:dyDescent="0.2">
      <c r="A33" s="1565" t="str">
        <f>IF(ISBLANK('Table 5-C| MPTE VOC'!A40),"",'Table 5-C| MPTE VOC'!A40&amp;" -- "&amp;'Table 5-C| MPTE VOC'!B40&amp;": "&amp;'Table 5-C| MPTE VOC'!D40)</f>
        <v/>
      </c>
      <c r="B33" s="1566"/>
      <c r="C33" s="1567"/>
      <c r="D33" s="530" t="str">
        <f>IF(ISBLANK('Table 5-C| MPTE VOC'!C40),"",'Table 5-C| MPTE VOC'!C40)</f>
        <v/>
      </c>
      <c r="E33" s="399" t="str">
        <f>IF(ISBLANK('Table 5-C| MPTE VOC'!E40),"",'Table 5-C| MPTE VOC'!E40)</f>
        <v/>
      </c>
      <c r="F33" s="351"/>
      <c r="G33" s="351"/>
      <c r="H33" s="355" t="str">
        <f>IF(F33="No",'Table 5-C| MPTE VOC'!I40,IF(AND(F33="Yes",NOT(ISBLANK(G33))),('Table 5-C| MPTE VOC'!I40*(G33/E33)),""))</f>
        <v/>
      </c>
      <c r="I33" s="400" t="str">
        <f>IF(ISBLANK('Table 5-C| MPTE VOC'!J40),"",'Table 5-C| MPTE VOC'!J40)</f>
        <v/>
      </c>
      <c r="J33" s="351"/>
      <c r="K33" s="356"/>
      <c r="L33" s="357" t="str">
        <f>IFERROR(IF('Table 5-C| MPTE VOC'!K40="","",IF(J33="Yes",(H33*I33*(1-VLOOKUP(K33,'Emission Controls'!$A$3:$L$16,7,))),IF(J33="No",H33*I33,""))),"")</f>
        <v/>
      </c>
      <c r="M33" s="135">
        <f>IFERROR(VLOOKUP(K33,'Emission Controls'!$A$3:$B$16,2,),0)</f>
        <v>0</v>
      </c>
    </row>
    <row r="34" spans="1:13" s="105" customFormat="1" ht="18" customHeight="1" x14ac:dyDescent="0.2">
      <c r="A34" s="1565" t="str">
        <f>IF(ISBLANK('Table 5-C| MPTE VOC'!A41),"",'Table 5-C| MPTE VOC'!A41&amp;" -- "&amp;'Table 5-C| MPTE VOC'!B41&amp;": "&amp;'Table 5-C| MPTE VOC'!D41)</f>
        <v/>
      </c>
      <c r="B34" s="1566"/>
      <c r="C34" s="1567"/>
      <c r="D34" s="530" t="str">
        <f>IF(ISBLANK('Table 5-C| MPTE VOC'!C41),"",'Table 5-C| MPTE VOC'!C41)</f>
        <v/>
      </c>
      <c r="E34" s="399" t="str">
        <f>IF(ISBLANK('Table 5-C| MPTE VOC'!E41),"",'Table 5-C| MPTE VOC'!E41)</f>
        <v/>
      </c>
      <c r="F34" s="351"/>
      <c r="G34" s="351"/>
      <c r="H34" s="355" t="str">
        <f>IF(F34="No",'Table 5-C| MPTE VOC'!I41,IF(AND(F34="Yes",NOT(ISBLANK(G34))),('Table 5-C| MPTE VOC'!I41*(G34/E34)),""))</f>
        <v/>
      </c>
      <c r="I34" s="400" t="str">
        <f>IF(ISBLANK('Table 5-C| MPTE VOC'!J41),"",'Table 5-C| MPTE VOC'!J41)</f>
        <v/>
      </c>
      <c r="J34" s="351"/>
      <c r="K34" s="356"/>
      <c r="L34" s="357" t="str">
        <f>IFERROR(IF('Table 5-C| MPTE VOC'!K41="","",IF(J34="Yes",(H34*I34*(1-VLOOKUP(K34,'Emission Controls'!$A$3:$L$16,7,))),IF(J34="No",H34*I34,""))),"")</f>
        <v/>
      </c>
      <c r="M34" s="135">
        <f>IFERROR(VLOOKUP(K34,'Emission Controls'!$A$3:$B$16,2,),0)</f>
        <v>0</v>
      </c>
    </row>
    <row r="35" spans="1:13" s="105" customFormat="1" ht="18" customHeight="1" x14ac:dyDescent="0.2">
      <c r="A35" s="1565" t="str">
        <f>IF(ISBLANK('Table 5-C| MPTE VOC'!A42),"",'Table 5-C| MPTE VOC'!A42&amp;" -- "&amp;'Table 5-C| MPTE VOC'!B42&amp;": "&amp;'Table 5-C| MPTE VOC'!D42)</f>
        <v/>
      </c>
      <c r="B35" s="1566"/>
      <c r="C35" s="1567"/>
      <c r="D35" s="530" t="str">
        <f>IF(ISBLANK('Table 5-C| MPTE VOC'!C42),"",'Table 5-C| MPTE VOC'!C42)</f>
        <v/>
      </c>
      <c r="E35" s="399" t="str">
        <f>IF(ISBLANK('Table 5-C| MPTE VOC'!E42),"",'Table 5-C| MPTE VOC'!E42)</f>
        <v/>
      </c>
      <c r="F35" s="351"/>
      <c r="G35" s="351"/>
      <c r="H35" s="355" t="str">
        <f>IF(F35="No",'Table 5-C| MPTE VOC'!I42,IF(AND(F35="Yes",NOT(ISBLANK(G35))),('Table 5-C| MPTE VOC'!I42*(G35/E35)),""))</f>
        <v/>
      </c>
      <c r="I35" s="400" t="str">
        <f>IF(ISBLANK('Table 5-C| MPTE VOC'!J42),"",'Table 5-C| MPTE VOC'!J42)</f>
        <v/>
      </c>
      <c r="J35" s="351"/>
      <c r="K35" s="356"/>
      <c r="L35" s="357" t="str">
        <f>IFERROR(IF('Table 5-C| MPTE VOC'!K42="","",IF(J35="Yes",(H35*I35*(1-VLOOKUP(K35,'Emission Controls'!$A$3:$L$16,7,))),IF(J35="No",H35*I35,""))),"")</f>
        <v/>
      </c>
      <c r="M35" s="135">
        <f>IFERROR(VLOOKUP(K35,'Emission Controls'!$A$3:$B$16,2,),0)</f>
        <v>0</v>
      </c>
    </row>
    <row r="36" spans="1:13" s="105" customFormat="1" ht="18" customHeight="1" x14ac:dyDescent="0.2">
      <c r="A36" s="1565" t="str">
        <f>IF(ISBLANK('Table 5-C| MPTE VOC'!A43),"",'Table 5-C| MPTE VOC'!A43&amp;" -- "&amp;'Table 5-C| MPTE VOC'!B43&amp;": "&amp;'Table 5-C| MPTE VOC'!D43)</f>
        <v/>
      </c>
      <c r="B36" s="1566"/>
      <c r="C36" s="1567"/>
      <c r="D36" s="530" t="str">
        <f>IF(ISBLANK('Table 5-C| MPTE VOC'!C43),"",'Table 5-C| MPTE VOC'!C43)</f>
        <v/>
      </c>
      <c r="E36" s="399" t="str">
        <f>IF(ISBLANK('Table 5-C| MPTE VOC'!E43),"",'Table 5-C| MPTE VOC'!E43)</f>
        <v/>
      </c>
      <c r="F36" s="351"/>
      <c r="G36" s="351"/>
      <c r="H36" s="355" t="str">
        <f>IF(F36="No",'Table 5-C| MPTE VOC'!I43,IF(AND(F36="Yes",NOT(ISBLANK(G36))),('Table 5-C| MPTE VOC'!I43*(G36/E36)),""))</f>
        <v/>
      </c>
      <c r="I36" s="400" t="str">
        <f>IF(ISBLANK('Table 5-C| MPTE VOC'!J43),"",'Table 5-C| MPTE VOC'!J43)</f>
        <v/>
      </c>
      <c r="J36" s="351"/>
      <c r="K36" s="356"/>
      <c r="L36" s="357" t="str">
        <f>IFERROR(IF('Table 5-C| MPTE VOC'!K43="","",IF(J36="Yes",(H36*I36*(1-VLOOKUP(K36,'Emission Controls'!$A$3:$L$16,7,))),IF(J36="No",H36*I36,""))),"")</f>
        <v/>
      </c>
      <c r="M36" s="135">
        <f>IFERROR(VLOOKUP(K36,'Emission Controls'!$A$3:$B$16,2,),0)</f>
        <v>0</v>
      </c>
    </row>
    <row r="37" spans="1:13" s="105" customFormat="1" ht="18" customHeight="1" x14ac:dyDescent="0.2">
      <c r="A37" s="1565" t="str">
        <f>IF(ISBLANK('Table 5-C| MPTE VOC'!A44),"",'Table 5-C| MPTE VOC'!A44&amp;" -- "&amp;'Table 5-C| MPTE VOC'!B44&amp;": "&amp;'Table 5-C| MPTE VOC'!D44)</f>
        <v/>
      </c>
      <c r="B37" s="1566"/>
      <c r="C37" s="1567"/>
      <c r="D37" s="530" t="str">
        <f>IF(ISBLANK('Table 5-C| MPTE VOC'!C44),"",'Table 5-C| MPTE VOC'!C44)</f>
        <v/>
      </c>
      <c r="E37" s="399" t="str">
        <f>IF(ISBLANK('Table 5-C| MPTE VOC'!E44),"",'Table 5-C| MPTE VOC'!E44)</f>
        <v/>
      </c>
      <c r="F37" s="351"/>
      <c r="G37" s="351"/>
      <c r="H37" s="355" t="str">
        <f>IF(F37="No",'Table 5-C| MPTE VOC'!I44,IF(AND(F37="Yes",NOT(ISBLANK(G37))),('Table 5-C| MPTE VOC'!I44*(G37/E37)),""))</f>
        <v/>
      </c>
      <c r="I37" s="400" t="str">
        <f>IF(ISBLANK('Table 5-C| MPTE VOC'!J44),"",'Table 5-C| MPTE VOC'!J44)</f>
        <v/>
      </c>
      <c r="J37" s="351"/>
      <c r="K37" s="356"/>
      <c r="L37" s="357" t="str">
        <f>IFERROR(IF('Table 5-C| MPTE VOC'!K44="","",IF(J37="Yes",(H37*I37*(1-VLOOKUP(K37,'Emission Controls'!$A$3:$L$16,7,))),IF(J37="No",H37*I37,""))),"")</f>
        <v/>
      </c>
      <c r="M37" s="135">
        <f>IFERROR(VLOOKUP(K37,'Emission Controls'!$A$3:$B$16,2,),0)</f>
        <v>0</v>
      </c>
    </row>
    <row r="38" spans="1:13" s="105" customFormat="1" ht="18" customHeight="1" x14ac:dyDescent="0.2">
      <c r="A38" s="1565" t="str">
        <f>IF(ISBLANK('Table 5-C| MPTE VOC'!A45),"",'Table 5-C| MPTE VOC'!A45&amp;" -- "&amp;'Table 5-C| MPTE VOC'!B45&amp;": "&amp;'Table 5-C| MPTE VOC'!D45)</f>
        <v/>
      </c>
      <c r="B38" s="1566"/>
      <c r="C38" s="1567"/>
      <c r="D38" s="530" t="str">
        <f>IF(ISBLANK('Table 5-C| MPTE VOC'!C45),"",'Table 5-C| MPTE VOC'!C45)</f>
        <v/>
      </c>
      <c r="E38" s="399" t="str">
        <f>IF(ISBLANK('Table 5-C| MPTE VOC'!E45),"",'Table 5-C| MPTE VOC'!E45)</f>
        <v/>
      </c>
      <c r="F38" s="351"/>
      <c r="G38" s="351"/>
      <c r="H38" s="355" t="str">
        <f>IF(F38="No",'Table 5-C| MPTE VOC'!I45,IF(AND(F38="Yes",NOT(ISBLANK(G38))),('Table 5-C| MPTE VOC'!I45*(G38/E38)),""))</f>
        <v/>
      </c>
      <c r="I38" s="400" t="str">
        <f>IF(ISBLANK('Table 5-C| MPTE VOC'!J45),"",'Table 5-C| MPTE VOC'!J45)</f>
        <v/>
      </c>
      <c r="J38" s="351"/>
      <c r="K38" s="356"/>
      <c r="L38" s="357" t="str">
        <f>IFERROR(IF('Table 5-C| MPTE VOC'!K45="","",IF(J38="Yes",(H38*I38*(1-VLOOKUP(K38,'Emission Controls'!$A$3:$L$16,7,))),IF(J38="No",H38*I38,""))),"")</f>
        <v/>
      </c>
      <c r="M38" s="135">
        <f>IFERROR(VLOOKUP(K38,'Emission Controls'!$A$3:$B$16,2,),0)</f>
        <v>0</v>
      </c>
    </row>
    <row r="39" spans="1:13" s="105" customFormat="1" ht="18" customHeight="1" x14ac:dyDescent="0.2">
      <c r="A39" s="1565" t="str">
        <f>IF(ISBLANK('Table 5-C| MPTE VOC'!A46),"",'Table 5-C| MPTE VOC'!A46&amp;" -- "&amp;'Table 5-C| MPTE VOC'!B46&amp;": "&amp;'Table 5-C| MPTE VOC'!D46)</f>
        <v/>
      </c>
      <c r="B39" s="1566"/>
      <c r="C39" s="1567"/>
      <c r="D39" s="530" t="str">
        <f>IF(ISBLANK('Table 5-C| MPTE VOC'!C46),"",'Table 5-C| MPTE VOC'!C46)</f>
        <v/>
      </c>
      <c r="E39" s="399" t="str">
        <f>IF(ISBLANK('Table 5-C| MPTE VOC'!E46),"",'Table 5-C| MPTE VOC'!E46)</f>
        <v/>
      </c>
      <c r="F39" s="351"/>
      <c r="G39" s="351"/>
      <c r="H39" s="355" t="str">
        <f>IF(F39="No",'Table 5-C| MPTE VOC'!I46,IF(AND(F39="Yes",NOT(ISBLANK(G39))),('Table 5-C| MPTE VOC'!I46*(G39/E39)),""))</f>
        <v/>
      </c>
      <c r="I39" s="400" t="str">
        <f>IF(ISBLANK('Table 5-C| MPTE VOC'!J46),"",'Table 5-C| MPTE VOC'!J46)</f>
        <v/>
      </c>
      <c r="J39" s="351"/>
      <c r="K39" s="356"/>
      <c r="L39" s="357" t="str">
        <f>IFERROR(IF('Table 5-C| MPTE VOC'!K46="","",IF(J39="Yes",(H39*I39*(1-VLOOKUP(K39,'Emission Controls'!$A$3:$L$16,7,))),IF(J39="No",H39*I39,""))),"")</f>
        <v/>
      </c>
      <c r="M39" s="135">
        <f>IFERROR(VLOOKUP(K39,'Emission Controls'!$A$3:$B$16,2,),0)</f>
        <v>0</v>
      </c>
    </row>
    <row r="40" spans="1:13" s="105" customFormat="1" ht="18" customHeight="1" x14ac:dyDescent="0.2">
      <c r="A40" s="1565" t="str">
        <f>IF(ISBLANK('Table 5-C| MPTE VOC'!A47),"",'Table 5-C| MPTE VOC'!A47&amp;" -- "&amp;'Table 5-C| MPTE VOC'!B47&amp;": "&amp;'Table 5-C| MPTE VOC'!D47)</f>
        <v/>
      </c>
      <c r="B40" s="1566"/>
      <c r="C40" s="1567"/>
      <c r="D40" s="530" t="str">
        <f>IF(ISBLANK('Table 5-C| MPTE VOC'!C47),"",'Table 5-C| MPTE VOC'!C47)</f>
        <v/>
      </c>
      <c r="E40" s="399" t="str">
        <f>IF(ISBLANK('Table 5-C| MPTE VOC'!E47),"",'Table 5-C| MPTE VOC'!E47)</f>
        <v/>
      </c>
      <c r="F40" s="351"/>
      <c r="G40" s="351"/>
      <c r="H40" s="355" t="str">
        <f>IF(F40="No",'Table 5-C| MPTE VOC'!I47,IF(AND(F40="Yes",NOT(ISBLANK(G40))),('Table 5-C| MPTE VOC'!I47*(G40/E40)),""))</f>
        <v/>
      </c>
      <c r="I40" s="400" t="str">
        <f>IF(ISBLANK('Table 5-C| MPTE VOC'!J47),"",'Table 5-C| MPTE VOC'!J47)</f>
        <v/>
      </c>
      <c r="J40" s="351"/>
      <c r="K40" s="356"/>
      <c r="L40" s="357" t="str">
        <f>IFERROR(IF('Table 5-C| MPTE VOC'!K47="","",IF(J40="Yes",(H40*I40*(1-VLOOKUP(K40,'Emission Controls'!$A$3:$L$16,7,))),IF(J40="No",H40*I40,""))),"")</f>
        <v/>
      </c>
      <c r="M40" s="135">
        <f>IFERROR(VLOOKUP(K40,'Emission Controls'!$A$3:$B$16,2,),0)</f>
        <v>0</v>
      </c>
    </row>
    <row r="41" spans="1:13" s="105" customFormat="1" ht="18" customHeight="1" x14ac:dyDescent="0.2">
      <c r="A41" s="1565" t="str">
        <f>IF(ISBLANK('Table 5-C| MPTE VOC'!A48),"",'Table 5-C| MPTE VOC'!A48&amp;" -- "&amp;'Table 5-C| MPTE VOC'!B48&amp;": "&amp;'Table 5-C| MPTE VOC'!D48)</f>
        <v/>
      </c>
      <c r="B41" s="1566"/>
      <c r="C41" s="1567"/>
      <c r="D41" s="530" t="str">
        <f>IF(ISBLANK('Table 5-C| MPTE VOC'!C48),"",'Table 5-C| MPTE VOC'!C48)</f>
        <v/>
      </c>
      <c r="E41" s="399" t="str">
        <f>IF(ISBLANK('Table 5-C| MPTE VOC'!E48),"",'Table 5-C| MPTE VOC'!E48)</f>
        <v/>
      </c>
      <c r="F41" s="351"/>
      <c r="G41" s="351"/>
      <c r="H41" s="355" t="str">
        <f>IF(F41="No",'Table 5-C| MPTE VOC'!I48,IF(AND(F41="Yes",NOT(ISBLANK(G41))),('Table 5-C| MPTE VOC'!I48*(G41/E41)),""))</f>
        <v/>
      </c>
      <c r="I41" s="400" t="str">
        <f>IF(ISBLANK('Table 5-C| MPTE VOC'!J48),"",'Table 5-C| MPTE VOC'!J48)</f>
        <v/>
      </c>
      <c r="J41" s="351"/>
      <c r="K41" s="356"/>
      <c r="L41" s="357" t="str">
        <f>IFERROR(IF('Table 5-C| MPTE VOC'!K48="","",IF(J41="Yes",(H41*I41*(1-VLOOKUP(K41,'Emission Controls'!$A$3:$L$16,7,))),IF(J41="No",H41*I41,""))),"")</f>
        <v/>
      </c>
      <c r="M41" s="135">
        <f>IFERROR(VLOOKUP(K41,'Emission Controls'!$A$3:$B$16,2,),0)</f>
        <v>0</v>
      </c>
    </row>
    <row r="42" spans="1:13" s="105" customFormat="1" ht="18" customHeight="1" x14ac:dyDescent="0.2">
      <c r="A42" s="1565" t="str">
        <f>IF(ISBLANK('Table 5-C| MPTE VOC'!A49),"",'Table 5-C| MPTE VOC'!A49&amp;" -- "&amp;'Table 5-C| MPTE VOC'!B49&amp;": "&amp;'Table 5-C| MPTE VOC'!D49)</f>
        <v/>
      </c>
      <c r="B42" s="1566"/>
      <c r="C42" s="1567"/>
      <c r="D42" s="530" t="str">
        <f>IF(ISBLANK('Table 5-C| MPTE VOC'!C49),"",'Table 5-C| MPTE VOC'!C49)</f>
        <v/>
      </c>
      <c r="E42" s="399" t="str">
        <f>IF(ISBLANK('Table 5-C| MPTE VOC'!E49),"",'Table 5-C| MPTE VOC'!E49)</f>
        <v/>
      </c>
      <c r="F42" s="351"/>
      <c r="G42" s="351"/>
      <c r="H42" s="355" t="str">
        <f>IF(F42="No",'Table 5-C| MPTE VOC'!I49,IF(AND(F42="Yes",NOT(ISBLANK(G42))),('Table 5-C| MPTE VOC'!I49*(G42/E42)),""))</f>
        <v/>
      </c>
      <c r="I42" s="400" t="str">
        <f>IF(ISBLANK('Table 5-C| MPTE VOC'!J49),"",'Table 5-C| MPTE VOC'!J49)</f>
        <v/>
      </c>
      <c r="J42" s="351"/>
      <c r="K42" s="356"/>
      <c r="L42" s="357" t="str">
        <f>IFERROR(IF('Table 5-C| MPTE VOC'!K49="","",IF(J42="Yes",(H42*I42*(1-VLOOKUP(K42,'Emission Controls'!$A$3:$L$16,7,))),IF(J42="No",H42*I42,""))),"")</f>
        <v/>
      </c>
      <c r="M42" s="135">
        <f>IFERROR(VLOOKUP(K42,'Emission Controls'!$A$3:$B$16,2,),0)</f>
        <v>0</v>
      </c>
    </row>
    <row r="43" spans="1:13" s="105" customFormat="1" ht="18" customHeight="1" x14ac:dyDescent="0.2">
      <c r="A43" s="1565" t="str">
        <f>IF(ISBLANK('Table 5-C| MPTE VOC'!A50),"",'Table 5-C| MPTE VOC'!A50&amp;" -- "&amp;'Table 5-C| MPTE VOC'!B50&amp;": "&amp;'Table 5-C| MPTE VOC'!D50)</f>
        <v/>
      </c>
      <c r="B43" s="1566"/>
      <c r="C43" s="1567"/>
      <c r="D43" s="530" t="str">
        <f>IF(ISBLANK('Table 5-C| MPTE VOC'!C50),"",'Table 5-C| MPTE VOC'!C50)</f>
        <v/>
      </c>
      <c r="E43" s="399" t="str">
        <f>IF(ISBLANK('Table 5-C| MPTE VOC'!E50),"",'Table 5-C| MPTE VOC'!E50)</f>
        <v/>
      </c>
      <c r="F43" s="351"/>
      <c r="G43" s="351"/>
      <c r="H43" s="355" t="str">
        <f>IF(F43="No",'Table 5-C| MPTE VOC'!I50,IF(AND(F43="Yes",NOT(ISBLANK(G43))),('Table 5-C| MPTE VOC'!I50*(G43/E43)),""))</f>
        <v/>
      </c>
      <c r="I43" s="400" t="str">
        <f>IF(ISBLANK('Table 5-C| MPTE VOC'!J50),"",'Table 5-C| MPTE VOC'!J50)</f>
        <v/>
      </c>
      <c r="J43" s="351"/>
      <c r="K43" s="356"/>
      <c r="L43" s="357" t="str">
        <f>IFERROR(IF('Table 5-C| MPTE VOC'!K50="","",IF(J43="Yes",(H43*I43*(1-VLOOKUP(K43,'Emission Controls'!$A$3:$L$16,7,))),IF(J43="No",H43*I43,""))),"")</f>
        <v/>
      </c>
      <c r="M43" s="135">
        <f>IFERROR(VLOOKUP(K43,'Emission Controls'!$A$3:$B$16,2,),0)</f>
        <v>0</v>
      </c>
    </row>
    <row r="44" spans="1:13" s="105" customFormat="1" ht="18" customHeight="1" x14ac:dyDescent="0.2">
      <c r="A44" s="1565" t="str">
        <f>IF(ISBLANK('Table 5-C| MPTE VOC'!A51),"",'Table 5-C| MPTE VOC'!A51&amp;" -- "&amp;'Table 5-C| MPTE VOC'!B51&amp;": "&amp;'Table 5-C| MPTE VOC'!D51)</f>
        <v/>
      </c>
      <c r="B44" s="1566"/>
      <c r="C44" s="1567"/>
      <c r="D44" s="530" t="str">
        <f>IF(ISBLANK('Table 5-C| MPTE VOC'!C51),"",'Table 5-C| MPTE VOC'!C51)</f>
        <v/>
      </c>
      <c r="E44" s="399" t="str">
        <f>IF(ISBLANK('Table 5-C| MPTE VOC'!E51),"",'Table 5-C| MPTE VOC'!E51)</f>
        <v/>
      </c>
      <c r="F44" s="351"/>
      <c r="G44" s="351"/>
      <c r="H44" s="355" t="str">
        <f>IF(F44="No",'Table 5-C| MPTE VOC'!I51,IF(AND(F44="Yes",NOT(ISBLANK(G44))),('Table 5-C| MPTE VOC'!I51*(G44/E44)),""))</f>
        <v/>
      </c>
      <c r="I44" s="400" t="str">
        <f>IF(ISBLANK('Table 5-C| MPTE VOC'!J51),"",'Table 5-C| MPTE VOC'!J51)</f>
        <v/>
      </c>
      <c r="J44" s="351"/>
      <c r="K44" s="356"/>
      <c r="L44" s="357" t="str">
        <f>IFERROR(IF('Table 5-C| MPTE VOC'!K51="","",IF(J44="Yes",(H44*I44*(1-VLOOKUP(K44,'Emission Controls'!$A$3:$L$16,7,))),IF(J44="No",H44*I44,""))),"")</f>
        <v/>
      </c>
      <c r="M44" s="135">
        <f>IFERROR(VLOOKUP(K44,'Emission Controls'!$A$3:$B$16,2,),0)</f>
        <v>0</v>
      </c>
    </row>
    <row r="45" spans="1:13" s="105" customFormat="1" ht="18" customHeight="1" x14ac:dyDescent="0.2">
      <c r="A45" s="1565" t="str">
        <f>IF(ISBLANK('Table 5-C| MPTE VOC'!A52),"",'Table 5-C| MPTE VOC'!A52&amp;" -- "&amp;'Table 5-C| MPTE VOC'!B52&amp;": "&amp;'Table 5-C| MPTE VOC'!D52)</f>
        <v/>
      </c>
      <c r="B45" s="1566"/>
      <c r="C45" s="1567"/>
      <c r="D45" s="530" t="str">
        <f>IF(ISBLANK('Table 5-C| MPTE VOC'!C52),"",'Table 5-C| MPTE VOC'!C52)</f>
        <v/>
      </c>
      <c r="E45" s="399" t="str">
        <f>IF(ISBLANK('Table 5-C| MPTE VOC'!E52),"",'Table 5-C| MPTE VOC'!E52)</f>
        <v/>
      </c>
      <c r="F45" s="351"/>
      <c r="G45" s="351"/>
      <c r="H45" s="355" t="str">
        <f>IF(F45="No",'Table 5-C| MPTE VOC'!I52,IF(AND(F45="Yes",NOT(ISBLANK(G45))),('Table 5-C| MPTE VOC'!I52*(G45/E45)),""))</f>
        <v/>
      </c>
      <c r="I45" s="400" t="str">
        <f>IF(ISBLANK('Table 5-C| MPTE VOC'!J52),"",'Table 5-C| MPTE VOC'!J52)</f>
        <v/>
      </c>
      <c r="J45" s="351"/>
      <c r="K45" s="356"/>
      <c r="L45" s="357" t="str">
        <f>IFERROR(IF('Table 5-C| MPTE VOC'!K52="","",IF(J45="Yes",(H45*I45*(1-VLOOKUP(K45,'Emission Controls'!$A$3:$L$16,7,))),IF(J45="No",H45*I45,""))),"")</f>
        <v/>
      </c>
      <c r="M45" s="135">
        <f>IFERROR(VLOOKUP(K45,'Emission Controls'!$A$3:$B$16,2,),0)</f>
        <v>0</v>
      </c>
    </row>
    <row r="46" spans="1:13" s="105" customFormat="1" ht="18" customHeight="1" x14ac:dyDescent="0.2">
      <c r="A46" s="1565" t="str">
        <f>IF(ISBLANK('Table 5-C| MPTE VOC'!A53),"",'Table 5-C| MPTE VOC'!A53&amp;" -- "&amp;'Table 5-C| MPTE VOC'!B53&amp;": "&amp;'Table 5-C| MPTE VOC'!D53)</f>
        <v/>
      </c>
      <c r="B46" s="1566"/>
      <c r="C46" s="1567"/>
      <c r="D46" s="530" t="str">
        <f>IF(ISBLANK('Table 5-C| MPTE VOC'!C53),"",'Table 5-C| MPTE VOC'!C53)</f>
        <v/>
      </c>
      <c r="E46" s="399" t="str">
        <f>IF(ISBLANK('Table 5-C| MPTE VOC'!E53),"",'Table 5-C| MPTE VOC'!E53)</f>
        <v/>
      </c>
      <c r="F46" s="351"/>
      <c r="G46" s="351"/>
      <c r="H46" s="355" t="str">
        <f>IF(F46="No",'Table 5-C| MPTE VOC'!I53,IF(AND(F46="Yes",NOT(ISBLANK(G46))),('Table 5-C| MPTE VOC'!I53*(G46/E46)),""))</f>
        <v/>
      </c>
      <c r="I46" s="400" t="str">
        <f>IF(ISBLANK('Table 5-C| MPTE VOC'!J53),"",'Table 5-C| MPTE VOC'!J53)</f>
        <v/>
      </c>
      <c r="J46" s="351"/>
      <c r="K46" s="356"/>
      <c r="L46" s="357" t="str">
        <f>IFERROR(IF('Table 5-C| MPTE VOC'!K53="","",IF(J46="Yes",(H46*I46*(1-VLOOKUP(K46,'Emission Controls'!$A$3:$L$16,7,))),IF(J46="No",H46*I46,""))),"")</f>
        <v/>
      </c>
      <c r="M46" s="135">
        <f>IFERROR(VLOOKUP(K46,'Emission Controls'!$A$3:$B$16,2,),0)</f>
        <v>0</v>
      </c>
    </row>
    <row r="47" spans="1:13" s="105" customFormat="1" ht="18" customHeight="1" x14ac:dyDescent="0.2">
      <c r="A47" s="1565" t="str">
        <f>IF(ISBLANK('Table 5-C| MPTE VOC'!A54),"",'Table 5-C| MPTE VOC'!A54&amp;" -- "&amp;'Table 5-C| MPTE VOC'!B54&amp;": "&amp;'Table 5-C| MPTE VOC'!D54)</f>
        <v/>
      </c>
      <c r="B47" s="1566"/>
      <c r="C47" s="1567"/>
      <c r="D47" s="530" t="str">
        <f>IF(ISBLANK('Table 5-C| MPTE VOC'!C54),"",'Table 5-C| MPTE VOC'!C54)</f>
        <v/>
      </c>
      <c r="E47" s="399" t="str">
        <f>IF(ISBLANK('Table 5-C| MPTE VOC'!E54),"",'Table 5-C| MPTE VOC'!E54)</f>
        <v/>
      </c>
      <c r="F47" s="351"/>
      <c r="G47" s="351"/>
      <c r="H47" s="355" t="str">
        <f>IF(F47="No",'Table 5-C| MPTE VOC'!I54,IF(AND(F47="Yes",NOT(ISBLANK(G47))),('Table 5-C| MPTE VOC'!I54*(G47/E47)),""))</f>
        <v/>
      </c>
      <c r="I47" s="400" t="str">
        <f>IF(ISBLANK('Table 5-C| MPTE VOC'!J54),"",'Table 5-C| MPTE VOC'!J54)</f>
        <v/>
      </c>
      <c r="J47" s="351"/>
      <c r="K47" s="356"/>
      <c r="L47" s="357" t="str">
        <f>IFERROR(IF('Table 5-C| MPTE VOC'!K54="","",IF(J47="Yes",(H47*I47*(1-VLOOKUP(K47,'Emission Controls'!$A$3:$L$16,7,))),IF(J47="No",H47*I47,""))),"")</f>
        <v/>
      </c>
      <c r="M47" s="135">
        <f>IFERROR(VLOOKUP(K47,'Emission Controls'!$A$3:$B$16,2,),0)</f>
        <v>0</v>
      </c>
    </row>
    <row r="48" spans="1:13" s="105" customFormat="1" ht="18" customHeight="1" x14ac:dyDescent="0.2">
      <c r="A48" s="1565" t="str">
        <f>IF(ISBLANK('Table 5-C| MPTE VOC'!A55),"",'Table 5-C| MPTE VOC'!A55&amp;" -- "&amp;'Table 5-C| MPTE VOC'!B55&amp;": "&amp;'Table 5-C| MPTE VOC'!D55)</f>
        <v/>
      </c>
      <c r="B48" s="1566"/>
      <c r="C48" s="1567"/>
      <c r="D48" s="530" t="str">
        <f>IF(ISBLANK('Table 5-C| MPTE VOC'!C55),"",'Table 5-C| MPTE VOC'!C55)</f>
        <v/>
      </c>
      <c r="E48" s="399" t="str">
        <f>IF(ISBLANK('Table 5-C| MPTE VOC'!E55),"",'Table 5-C| MPTE VOC'!E55)</f>
        <v/>
      </c>
      <c r="F48" s="351"/>
      <c r="G48" s="351"/>
      <c r="H48" s="355" t="str">
        <f>IF(F48="No",'Table 5-C| MPTE VOC'!I55,IF(AND(F48="Yes",NOT(ISBLANK(G48))),('Table 5-C| MPTE VOC'!I55*(G48/E48)),""))</f>
        <v/>
      </c>
      <c r="I48" s="400" t="str">
        <f>IF(ISBLANK('Table 5-C| MPTE VOC'!J55),"",'Table 5-C| MPTE VOC'!J55)</f>
        <v/>
      </c>
      <c r="J48" s="351"/>
      <c r="K48" s="356"/>
      <c r="L48" s="357" t="str">
        <f>IFERROR(IF('Table 5-C| MPTE VOC'!K55="","",IF(J48="Yes",(H48*I48*(1-VLOOKUP(K48,'Emission Controls'!$A$3:$L$16,7,))),IF(J48="No",H48*I48,""))),"")</f>
        <v/>
      </c>
      <c r="M48" s="135">
        <f>IFERROR(VLOOKUP(K48,'Emission Controls'!$A$3:$B$16,2,),0)</f>
        <v>0</v>
      </c>
    </row>
    <row r="49" spans="1:13" s="105" customFormat="1" ht="18" customHeight="1" x14ac:dyDescent="0.2">
      <c r="A49" s="1565" t="str">
        <f>IF(ISBLANK('Table 5-C| MPTE VOC'!A56),"",'Table 5-C| MPTE VOC'!A56&amp;" -- "&amp;'Table 5-C| MPTE VOC'!B56&amp;": "&amp;'Table 5-C| MPTE VOC'!D56)</f>
        <v/>
      </c>
      <c r="B49" s="1566"/>
      <c r="C49" s="1567"/>
      <c r="D49" s="530" t="str">
        <f>IF(ISBLANK('Table 5-C| MPTE VOC'!C56),"",'Table 5-C| MPTE VOC'!C56)</f>
        <v/>
      </c>
      <c r="E49" s="399" t="str">
        <f>IF(ISBLANK('Table 5-C| MPTE VOC'!E56),"",'Table 5-C| MPTE VOC'!E56)</f>
        <v/>
      </c>
      <c r="F49" s="351"/>
      <c r="G49" s="351"/>
      <c r="H49" s="355" t="str">
        <f>IF(F49="No",'Table 5-C| MPTE VOC'!I56,IF(AND(F49="Yes",NOT(ISBLANK(G49))),('Table 5-C| MPTE VOC'!I56*(G49/E49)),""))</f>
        <v/>
      </c>
      <c r="I49" s="400" t="str">
        <f>IF(ISBLANK('Table 5-C| MPTE VOC'!J56),"",'Table 5-C| MPTE VOC'!J56)</f>
        <v/>
      </c>
      <c r="J49" s="351"/>
      <c r="K49" s="356"/>
      <c r="L49" s="357" t="str">
        <f>IFERROR(IF('Table 5-C| MPTE VOC'!K56="","",IF(J49="Yes",(H49*I49*(1-VLOOKUP(K49,'Emission Controls'!$A$3:$L$16,7,))),IF(J49="No",H49*I49,""))),"")</f>
        <v/>
      </c>
      <c r="M49" s="135">
        <f>IFERROR(VLOOKUP(K49,'Emission Controls'!$A$3:$B$16,2,),0)</f>
        <v>0</v>
      </c>
    </row>
    <row r="50" spans="1:13" s="105" customFormat="1" ht="18" customHeight="1" x14ac:dyDescent="0.2">
      <c r="A50" s="1565" t="str">
        <f>IF(ISBLANK('Table 5-C| MPTE VOC'!A57),"",'Table 5-C| MPTE VOC'!A57&amp;" -- "&amp;'Table 5-C| MPTE VOC'!B57&amp;": "&amp;'Table 5-C| MPTE VOC'!D57)</f>
        <v/>
      </c>
      <c r="B50" s="1566"/>
      <c r="C50" s="1567"/>
      <c r="D50" s="530" t="str">
        <f>IF(ISBLANK('Table 5-C| MPTE VOC'!C57),"",'Table 5-C| MPTE VOC'!C57)</f>
        <v/>
      </c>
      <c r="E50" s="399" t="str">
        <f>IF(ISBLANK('Table 5-C| MPTE VOC'!E57),"",'Table 5-C| MPTE VOC'!E57)</f>
        <v/>
      </c>
      <c r="F50" s="351"/>
      <c r="G50" s="351"/>
      <c r="H50" s="355" t="str">
        <f>IF(F50="No",'Table 5-C| MPTE VOC'!I57,IF(AND(F50="Yes",NOT(ISBLANK(G50))),('Table 5-C| MPTE VOC'!I57*(G50/E50)),""))</f>
        <v/>
      </c>
      <c r="I50" s="400" t="str">
        <f>IF(ISBLANK('Table 5-C| MPTE VOC'!J57),"",'Table 5-C| MPTE VOC'!J57)</f>
        <v/>
      </c>
      <c r="J50" s="351"/>
      <c r="K50" s="356"/>
      <c r="L50" s="357" t="str">
        <f>IFERROR(IF('Table 5-C| MPTE VOC'!K57="","",IF(J50="Yes",(H50*I50*(1-VLOOKUP(K50,'Emission Controls'!$A$3:$L$16,7,))),IF(J50="No",H50*I50,""))),"")</f>
        <v/>
      </c>
      <c r="M50" s="135">
        <f>IFERROR(VLOOKUP(K50,'Emission Controls'!$A$3:$B$16,2,),0)</f>
        <v>0</v>
      </c>
    </row>
    <row r="51" spans="1:13" s="105" customFormat="1" ht="18" customHeight="1" x14ac:dyDescent="0.2">
      <c r="A51" s="1565" t="str">
        <f>IF(ISBLANK('Table 5-C| MPTE VOC'!A58),"",'Table 5-C| MPTE VOC'!A58&amp;" -- "&amp;'Table 5-C| MPTE VOC'!B58&amp;": "&amp;'Table 5-C| MPTE VOC'!D58)</f>
        <v/>
      </c>
      <c r="B51" s="1566"/>
      <c r="C51" s="1567"/>
      <c r="D51" s="530" t="str">
        <f>IF(ISBLANK('Table 5-C| MPTE VOC'!C58),"",'Table 5-C| MPTE VOC'!C58)</f>
        <v/>
      </c>
      <c r="E51" s="399" t="str">
        <f>IF(ISBLANK('Table 5-C| MPTE VOC'!E58),"",'Table 5-C| MPTE VOC'!E58)</f>
        <v/>
      </c>
      <c r="F51" s="351"/>
      <c r="G51" s="351"/>
      <c r="H51" s="355" t="str">
        <f>IF(F51="No",'Table 5-C| MPTE VOC'!I58,IF(AND(F51="Yes",NOT(ISBLANK(G51))),('Table 5-C| MPTE VOC'!I58*(G51/E51)),""))</f>
        <v/>
      </c>
      <c r="I51" s="400" t="str">
        <f>IF(ISBLANK('Table 5-C| MPTE VOC'!J58),"",'Table 5-C| MPTE VOC'!J58)</f>
        <v/>
      </c>
      <c r="J51" s="351"/>
      <c r="K51" s="356"/>
      <c r="L51" s="357" t="str">
        <f>IFERROR(IF('Table 5-C| MPTE VOC'!K58="","",IF(J51="Yes",(H51*I51*(1-VLOOKUP(K51,'Emission Controls'!$A$3:$L$16,7,))),IF(J51="No",H51*I51,""))),"")</f>
        <v/>
      </c>
      <c r="M51" s="135">
        <f>IFERROR(VLOOKUP(K51,'Emission Controls'!$A$3:$B$16,2,),0)</f>
        <v>0</v>
      </c>
    </row>
    <row r="52" spans="1:13" s="105" customFormat="1" ht="18" customHeight="1" x14ac:dyDescent="0.2">
      <c r="A52" s="1565" t="str">
        <f>IF(ISBLANK('Table 5-C| MPTE VOC'!A59),"",'Table 5-C| MPTE VOC'!A59&amp;" -- "&amp;'Table 5-C| MPTE VOC'!B59&amp;": "&amp;'Table 5-C| MPTE VOC'!D59)</f>
        <v/>
      </c>
      <c r="B52" s="1566"/>
      <c r="C52" s="1567"/>
      <c r="D52" s="530" t="str">
        <f>IF(ISBLANK('Table 5-C| MPTE VOC'!C59),"",'Table 5-C| MPTE VOC'!C59)</f>
        <v/>
      </c>
      <c r="E52" s="399" t="str">
        <f>IF(ISBLANK('Table 5-C| MPTE VOC'!E59),"",'Table 5-C| MPTE VOC'!E59)</f>
        <v/>
      </c>
      <c r="F52" s="351"/>
      <c r="G52" s="351"/>
      <c r="H52" s="355" t="str">
        <f>IF(F52="No",'Table 5-C| MPTE VOC'!I59,IF(AND(F52="Yes",NOT(ISBLANK(G52))),('Table 5-C| MPTE VOC'!I59*(G52/E52)),""))</f>
        <v/>
      </c>
      <c r="I52" s="400" t="str">
        <f>IF(ISBLANK('Table 5-C| MPTE VOC'!J59),"",'Table 5-C| MPTE VOC'!J59)</f>
        <v/>
      </c>
      <c r="J52" s="351"/>
      <c r="K52" s="356"/>
      <c r="L52" s="357" t="str">
        <f>IFERROR(IF('Table 5-C| MPTE VOC'!K59="","",IF(J52="Yes",(H52*I52*(1-VLOOKUP(K52,'Emission Controls'!$A$3:$L$16,7,))),IF(J52="No",H52*I52,""))),"")</f>
        <v/>
      </c>
      <c r="M52" s="135">
        <f>IFERROR(VLOOKUP(K52,'Emission Controls'!$A$3:$B$16,2,),0)</f>
        <v>0</v>
      </c>
    </row>
    <row r="53" spans="1:13" s="105" customFormat="1" ht="18" customHeight="1" x14ac:dyDescent="0.2">
      <c r="A53" s="1565" t="str">
        <f>IF(ISBLANK('Table 5-C| MPTE VOC'!A60),"",'Table 5-C| MPTE VOC'!A60&amp;" -- "&amp;'Table 5-C| MPTE VOC'!B60&amp;": "&amp;'Table 5-C| MPTE VOC'!D60)</f>
        <v/>
      </c>
      <c r="B53" s="1566"/>
      <c r="C53" s="1567"/>
      <c r="D53" s="530" t="str">
        <f>IF(ISBLANK('Table 5-C| MPTE VOC'!C60),"",'Table 5-C| MPTE VOC'!C60)</f>
        <v/>
      </c>
      <c r="E53" s="399" t="str">
        <f>IF(ISBLANK('Table 5-C| MPTE VOC'!E60),"",'Table 5-C| MPTE VOC'!E60)</f>
        <v/>
      </c>
      <c r="F53" s="351"/>
      <c r="G53" s="351"/>
      <c r="H53" s="355" t="str">
        <f>IF(F53="No",'Table 5-C| MPTE VOC'!I60,IF(AND(F53="Yes",NOT(ISBLANK(G53))),('Table 5-C| MPTE VOC'!I60*(G53/E53)),""))</f>
        <v/>
      </c>
      <c r="I53" s="400" t="str">
        <f>IF(ISBLANK('Table 5-C| MPTE VOC'!J60),"",'Table 5-C| MPTE VOC'!J60)</f>
        <v/>
      </c>
      <c r="J53" s="351"/>
      <c r="K53" s="356"/>
      <c r="L53" s="357" t="str">
        <f>IFERROR(IF('Table 5-C| MPTE VOC'!K60="","",IF(J53="Yes",(H53*I53*(1-VLOOKUP(K53,'Emission Controls'!$A$3:$L$16,7,))),IF(J53="No",H53*I53,""))),"")</f>
        <v/>
      </c>
      <c r="M53" s="135">
        <f>IFERROR(VLOOKUP(K53,'Emission Controls'!$A$3:$B$16,2,),0)</f>
        <v>0</v>
      </c>
    </row>
    <row r="54" spans="1:13" s="105" customFormat="1" ht="18" customHeight="1" x14ac:dyDescent="0.2">
      <c r="A54" s="1565" t="str">
        <f>IF(ISBLANK('Table 5-C| MPTE VOC'!A61),"",'Table 5-C| MPTE VOC'!A61&amp;" -- "&amp;'Table 5-C| MPTE VOC'!B61&amp;": "&amp;'Table 5-C| MPTE VOC'!D61)</f>
        <v/>
      </c>
      <c r="B54" s="1566"/>
      <c r="C54" s="1567"/>
      <c r="D54" s="530" t="str">
        <f>IF(ISBLANK('Table 5-C| MPTE VOC'!C61),"",'Table 5-C| MPTE VOC'!C61)</f>
        <v/>
      </c>
      <c r="E54" s="399" t="str">
        <f>IF(ISBLANK('Table 5-C| MPTE VOC'!E61),"",'Table 5-C| MPTE VOC'!E61)</f>
        <v/>
      </c>
      <c r="F54" s="351"/>
      <c r="G54" s="351"/>
      <c r="H54" s="355" t="str">
        <f>IF(F54="No",'Table 5-C| MPTE VOC'!I61,IF(AND(F54="Yes",NOT(ISBLANK(G54))),('Table 5-C| MPTE VOC'!I61*(G54/E54)),""))</f>
        <v/>
      </c>
      <c r="I54" s="400" t="str">
        <f>IF(ISBLANK('Table 5-C| MPTE VOC'!J61),"",'Table 5-C| MPTE VOC'!J61)</f>
        <v/>
      </c>
      <c r="J54" s="351"/>
      <c r="K54" s="356"/>
      <c r="L54" s="357" t="str">
        <f>IFERROR(IF('Table 5-C| MPTE VOC'!K61="","",IF(J54="Yes",(H54*I54*(1-VLOOKUP(K54,'Emission Controls'!$A$3:$L$16,7,))),IF(J54="No",H54*I54,""))),"")</f>
        <v/>
      </c>
      <c r="M54" s="135">
        <f>IFERROR(VLOOKUP(K54,'Emission Controls'!$A$3:$B$16,2,),0)</f>
        <v>0</v>
      </c>
    </row>
    <row r="55" spans="1:13" s="105" customFormat="1" ht="18" customHeight="1" thickBot="1" x14ac:dyDescent="0.25">
      <c r="A55" s="1568" t="str">
        <f>IF(ISBLANK('Table 5-C| MPTE VOC'!A62),"",'Table 5-C| MPTE VOC'!A62&amp;" -- "&amp;'Table 5-C| MPTE VOC'!B62&amp;": "&amp;'Table 5-C| MPTE VOC'!D62)</f>
        <v/>
      </c>
      <c r="B55" s="1569"/>
      <c r="C55" s="1570"/>
      <c r="D55" s="531" t="str">
        <f>IF(ISBLANK('Table 5-C| MPTE VOC'!C62),"",'Table 5-C| MPTE VOC'!C62)</f>
        <v/>
      </c>
      <c r="E55" s="401" t="str">
        <f>IF(ISBLANK('Table 5-C| MPTE VOC'!E62),"",'Table 5-C| MPTE VOC'!E62)</f>
        <v/>
      </c>
      <c r="F55" s="360"/>
      <c r="G55" s="360"/>
      <c r="H55" s="364" t="str">
        <f>IF(F55="No",'Table 5-C| MPTE VOC'!I62,IF(AND(F55="Yes",NOT(ISBLANK(G55))),('Table 5-C| MPTE VOC'!I62*(G55/E55)),""))</f>
        <v/>
      </c>
      <c r="I55" s="402" t="str">
        <f>IF(ISBLANK('Table 5-C| MPTE VOC'!J62),"",'Table 5-C| MPTE VOC'!J62)</f>
        <v/>
      </c>
      <c r="J55" s="360"/>
      <c r="K55" s="365"/>
      <c r="L55" s="366" t="str">
        <f>IFERROR(IF('Table 5-C| MPTE VOC'!K62="","",IF(J55="Yes",(H55*I55*(1-VLOOKUP(K55,'Emission Controls'!$A$3:$L$16,7,))),IF(J55="No",H55*I55,""))),"")</f>
        <v/>
      </c>
      <c r="M55" s="135">
        <f>IFERROR(VLOOKUP(K55,'Emission Controls'!$A$3:$B$16,2,),0)</f>
        <v>0</v>
      </c>
    </row>
    <row r="56" spans="1:13" x14ac:dyDescent="0.2">
      <c r="A56" s="112"/>
    </row>
  </sheetData>
  <sheetProtection algorithmName="SHA-512" hashValue="Mp07m49+OMtq8dQ/+rK0nS8JoSrEKkDnlOo52wBxdvAXC5UT7l4+dQyvXOtxe/gky2b779uaq4oDaGM6lhgKTw==" saltValue="ilVppjCvsqC86wY6bkoHjQ==" spinCount="100000" sheet="1" objects="1" scenarios="1"/>
  <mergeCells count="55">
    <mergeCell ref="A15:L15"/>
    <mergeCell ref="A21:C22"/>
    <mergeCell ref="K21:K22"/>
    <mergeCell ref="A23:C23"/>
    <mergeCell ref="A24:C24"/>
    <mergeCell ref="A20:L20"/>
    <mergeCell ref="A19:L19"/>
    <mergeCell ref="A18:L18"/>
    <mergeCell ref="A17:L17"/>
    <mergeCell ref="D21:D22"/>
    <mergeCell ref="A16:L16"/>
    <mergeCell ref="A25:C25"/>
    <mergeCell ref="A26:C26"/>
    <mergeCell ref="A27:C27"/>
    <mergeCell ref="A29:C29"/>
    <mergeCell ref="A30:C30"/>
    <mergeCell ref="A31:C31"/>
    <mergeCell ref="A32:C32"/>
    <mergeCell ref="B3:L3"/>
    <mergeCell ref="A2:L2"/>
    <mergeCell ref="A1:L1"/>
    <mergeCell ref="A13:C13"/>
    <mergeCell ref="A12:C12"/>
    <mergeCell ref="D10:D11"/>
    <mergeCell ref="A10:C11"/>
    <mergeCell ref="K10:K11"/>
    <mergeCell ref="B8:L8"/>
    <mergeCell ref="B7:L7"/>
    <mergeCell ref="B6:L6"/>
    <mergeCell ref="B5:L5"/>
    <mergeCell ref="B4:L4"/>
    <mergeCell ref="A28:C28"/>
    <mergeCell ref="A38:C38"/>
    <mergeCell ref="A39:C39"/>
    <mergeCell ref="A40:C40"/>
    <mergeCell ref="A41:C41"/>
    <mergeCell ref="A42:C42"/>
    <mergeCell ref="A33:C33"/>
    <mergeCell ref="A34:C34"/>
    <mergeCell ref="A35:C35"/>
    <mergeCell ref="A36:C36"/>
    <mergeCell ref="A37:C37"/>
    <mergeCell ref="A53:C53"/>
    <mergeCell ref="A54:C54"/>
    <mergeCell ref="A55:C55"/>
    <mergeCell ref="A43:C43"/>
    <mergeCell ref="A44:C44"/>
    <mergeCell ref="A45:C45"/>
    <mergeCell ref="A46:C46"/>
    <mergeCell ref="A47:C47"/>
    <mergeCell ref="A48:C48"/>
    <mergeCell ref="A49:C49"/>
    <mergeCell ref="A50:C50"/>
    <mergeCell ref="A51:C51"/>
    <mergeCell ref="A52:C52"/>
  </mergeCells>
  <conditionalFormatting sqref="F23:F55">
    <cfRule type="expression" dxfId="67" priority="12">
      <formula>AND(NOT(A23=""),NOT(E23=""),ISBLANK(F23))</formula>
    </cfRule>
  </conditionalFormatting>
  <conditionalFormatting sqref="G23:G55">
    <cfRule type="expression" dxfId="66" priority="10">
      <formula>AND(NOT(A23=""),NOT(E23=""),F23="No")</formula>
    </cfRule>
    <cfRule type="expression" dxfId="65" priority="11">
      <formula>AND(NOT(A23=""),NOT(E23=""),F23="Yes",ISBLANK(G23))</formula>
    </cfRule>
  </conditionalFormatting>
  <conditionalFormatting sqref="J23:J55">
    <cfRule type="expression" dxfId="64" priority="9">
      <formula>AND(NOT(A23=""),NOT(E23=""),NOT(H23=""),ISBLANK(J23))</formula>
    </cfRule>
  </conditionalFormatting>
  <conditionalFormatting sqref="K23:K55">
    <cfRule type="expression" dxfId="63" priority="7" stopIfTrue="1">
      <formula>AND(NOT(A23=""),NOT(E23=""),NOT(H23=""),J23="No")</formula>
    </cfRule>
    <cfRule type="expression" dxfId="62" priority="8">
      <formula>AND(NOT(A23=""),NOT(E23=""),NOT(H23=""),NOT(ISBLANK(J23)),ISBLANK(K23))</formula>
    </cfRule>
  </conditionalFormatting>
  <dataValidations disablePrompts="1" count="2">
    <dataValidation type="list" showInputMessage="1" showErrorMessage="1" errorTitle="Error." error="Must select either &quot;Yes&quot; or &quot;No&quot;!" promptTitle="Throughput Limit" prompt="Indicate whether you agreed to limit throughput of this material in Table 6-A." sqref="F23:F55 J12:J13 J23:J55" xr:uid="{00000000-0002-0000-1300-000000000000}">
      <formula1>$W$23:$W$24</formula1>
    </dataValidation>
    <dataValidation type="list" showInputMessage="1" showErrorMessage="1" errorTitle="Error." error="Must select a control device!" promptTitle="Control Device" prompt="If you agreed to control emissions, indicate the type of control device used." sqref="K23:K55" xr:uid="{00000000-0002-0000-1300-000001000000}">
      <formula1>$Z$23:$Z$25</formula1>
    </dataValidation>
  </dataValidations>
  <printOptions horizontalCentered="1"/>
  <pageMargins left="0.5" right="0.5" top="0.5" bottom="0.5" header="0.3" footer="0.3"/>
  <pageSetup scale="72" fitToHeight="0" orientation="landscape" r:id="rId1"/>
  <headerFooter>
    <oddFooter>&amp;LRev. 7/2016&amp;C&amp;A&amp;RPage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2060"/>
    <pageSetUpPr fitToPage="1"/>
  </sheetPr>
  <dimension ref="A1:BM278"/>
  <sheetViews>
    <sheetView showGridLines="0" zoomScaleNormal="100" workbookViewId="0">
      <selection sqref="A1:L1"/>
    </sheetView>
  </sheetViews>
  <sheetFormatPr defaultRowHeight="14.25" x14ac:dyDescent="0.25"/>
  <cols>
    <col min="1" max="1" width="24.28515625" style="48" customWidth="1"/>
    <col min="2" max="2" width="19.7109375" style="48" customWidth="1"/>
    <col min="3" max="3" width="11.28515625" style="48" customWidth="1"/>
    <col min="4" max="4" width="12.7109375" style="48" customWidth="1"/>
    <col min="5" max="7" width="13.28515625" style="48" customWidth="1"/>
    <col min="8" max="9" width="12.7109375" style="48" customWidth="1"/>
    <col min="10" max="10" width="16.7109375" style="144" customWidth="1"/>
    <col min="11" max="11" width="12.7109375" style="144" customWidth="1"/>
    <col min="12" max="12" width="12.7109375" style="48" customWidth="1"/>
    <col min="13" max="15" width="9.140625" style="48" customWidth="1"/>
    <col min="16" max="16" width="15" style="48" customWidth="1"/>
    <col min="17" max="17" width="13" style="48" customWidth="1"/>
    <col min="18" max="18" width="14.42578125" style="48" customWidth="1"/>
    <col min="19" max="19" width="16.5703125" style="48" customWidth="1"/>
    <col min="20" max="20" width="16" style="48" customWidth="1"/>
    <col min="21" max="25" width="9.140625" style="48"/>
    <col min="26" max="26" width="23.42578125" style="48" bestFit="1" customWidth="1"/>
    <col min="27" max="32" width="9.140625" style="48"/>
    <col min="33" max="33" width="10.140625" style="48" bestFit="1" customWidth="1"/>
    <col min="34" max="36" width="9.140625" style="48"/>
    <col min="37" max="47" width="12.7109375" style="48" customWidth="1"/>
    <col min="48" max="53" width="9.140625" style="48"/>
    <col min="54" max="64" width="12.7109375" style="48" customWidth="1"/>
    <col min="65" max="16384" width="9.140625" style="48"/>
  </cols>
  <sheetData>
    <row r="1" spans="1:26" s="69" customFormat="1" ht="26.25" customHeight="1" thickBot="1" x14ac:dyDescent="0.3">
      <c r="A1" s="1315" t="s">
        <v>2363</v>
      </c>
      <c r="B1" s="1315"/>
      <c r="C1" s="1315"/>
      <c r="D1" s="1315"/>
      <c r="E1" s="1315"/>
      <c r="F1" s="1315"/>
      <c r="G1" s="1315"/>
      <c r="H1" s="1315"/>
      <c r="I1" s="1315"/>
      <c r="J1" s="1315"/>
      <c r="K1" s="1315"/>
      <c r="L1" s="1315"/>
      <c r="M1" s="79"/>
      <c r="N1" s="79"/>
      <c r="O1" s="79"/>
    </row>
    <row r="2" spans="1:26" s="160" customFormat="1" ht="35.1" customHeight="1" x14ac:dyDescent="0.25">
      <c r="A2" s="1448" t="s">
        <v>2505</v>
      </c>
      <c r="B2" s="1448"/>
      <c r="C2" s="1448"/>
      <c r="D2" s="1448"/>
      <c r="E2" s="1448"/>
      <c r="F2" s="1448"/>
      <c r="G2" s="1448"/>
      <c r="H2" s="1448"/>
      <c r="I2" s="1448"/>
      <c r="J2" s="1448"/>
      <c r="K2" s="1448"/>
      <c r="L2" s="1448"/>
      <c r="M2" s="163"/>
      <c r="N2" s="163"/>
      <c r="O2" s="163"/>
    </row>
    <row r="3" spans="1:26" s="160" customFormat="1" ht="35.1" customHeight="1" x14ac:dyDescent="0.25">
      <c r="A3" s="161">
        <v>1</v>
      </c>
      <c r="B3" s="1466" t="s">
        <v>1624</v>
      </c>
      <c r="C3" s="1466"/>
      <c r="D3" s="1466"/>
      <c r="E3" s="1466"/>
      <c r="F3" s="1466"/>
      <c r="G3" s="1466"/>
      <c r="H3" s="1466"/>
      <c r="I3" s="1466"/>
      <c r="J3" s="1466"/>
      <c r="K3" s="1466"/>
      <c r="L3" s="1466"/>
      <c r="M3" s="164"/>
      <c r="N3" s="164"/>
      <c r="O3" s="164"/>
    </row>
    <row r="4" spans="1:26" s="160" customFormat="1" ht="35.1" customHeight="1" x14ac:dyDescent="0.25">
      <c r="A4" s="161">
        <v>2</v>
      </c>
      <c r="B4" s="1466" t="s">
        <v>1894</v>
      </c>
      <c r="C4" s="1466"/>
      <c r="D4" s="1466"/>
      <c r="E4" s="1466"/>
      <c r="F4" s="1466"/>
      <c r="G4" s="1466"/>
      <c r="H4" s="1466"/>
      <c r="I4" s="1466"/>
      <c r="J4" s="1466"/>
      <c r="K4" s="1466"/>
      <c r="L4" s="1466"/>
      <c r="M4" s="164"/>
      <c r="N4" s="164"/>
      <c r="O4" s="164"/>
    </row>
    <row r="5" spans="1:26" s="160" customFormat="1" ht="35.1" customHeight="1" x14ac:dyDescent="0.25">
      <c r="A5" s="161">
        <v>3</v>
      </c>
      <c r="B5" s="1466" t="s">
        <v>1895</v>
      </c>
      <c r="C5" s="1466"/>
      <c r="D5" s="1466"/>
      <c r="E5" s="1466"/>
      <c r="F5" s="1466"/>
      <c r="G5" s="1466"/>
      <c r="H5" s="1466"/>
      <c r="I5" s="1466"/>
      <c r="J5" s="1466"/>
      <c r="K5" s="1466"/>
      <c r="L5" s="1466"/>
    </row>
    <row r="6" spans="1:26" s="160" customFormat="1" ht="50.1" customHeight="1" x14ac:dyDescent="0.25">
      <c r="A6" s="161">
        <v>4</v>
      </c>
      <c r="B6" s="1466" t="s">
        <v>1896</v>
      </c>
      <c r="C6" s="1466"/>
      <c r="D6" s="1466"/>
      <c r="E6" s="1466"/>
      <c r="F6" s="1466"/>
      <c r="G6" s="1466"/>
      <c r="H6" s="1466"/>
      <c r="I6" s="1466"/>
      <c r="J6" s="1466"/>
      <c r="K6" s="1466"/>
      <c r="L6" s="1466"/>
      <c r="M6" s="164"/>
      <c r="N6" s="164"/>
      <c r="O6" s="164"/>
    </row>
    <row r="7" spans="1:26" s="160" customFormat="1" ht="35.1" customHeight="1" x14ac:dyDescent="0.25">
      <c r="A7" s="161">
        <v>5</v>
      </c>
      <c r="B7" s="1466" t="s">
        <v>1897</v>
      </c>
      <c r="C7" s="1466"/>
      <c r="D7" s="1466"/>
      <c r="E7" s="1466"/>
      <c r="F7" s="1466"/>
      <c r="G7" s="1466"/>
      <c r="H7" s="1466"/>
      <c r="I7" s="1466"/>
      <c r="J7" s="1466"/>
      <c r="K7" s="1466"/>
      <c r="L7" s="1466"/>
      <c r="M7" s="164"/>
      <c r="N7" s="164"/>
      <c r="O7" s="164"/>
    </row>
    <row r="8" spans="1:26" s="160" customFormat="1" ht="24.95" customHeight="1" x14ac:dyDescent="0.25">
      <c r="A8" s="161">
        <v>6</v>
      </c>
      <c r="B8" s="1466" t="s">
        <v>2364</v>
      </c>
      <c r="C8" s="1466"/>
      <c r="D8" s="1466"/>
      <c r="E8" s="1466"/>
      <c r="F8" s="1466"/>
      <c r="G8" s="1466"/>
      <c r="H8" s="1466"/>
      <c r="I8" s="1466"/>
      <c r="J8" s="1466"/>
      <c r="K8" s="1466"/>
      <c r="L8" s="1466"/>
      <c r="M8" s="164"/>
      <c r="N8" s="164"/>
      <c r="O8" s="164"/>
    </row>
    <row r="9" spans="1:26" s="160" customFormat="1" ht="20.100000000000001" customHeight="1" x14ac:dyDescent="0.25">
      <c r="A9" s="161">
        <v>10</v>
      </c>
      <c r="B9" s="1466" t="s">
        <v>1650</v>
      </c>
      <c r="C9" s="1466"/>
      <c r="D9" s="1466"/>
      <c r="E9" s="1466"/>
      <c r="F9" s="1466"/>
      <c r="G9" s="1466"/>
      <c r="H9" s="1466"/>
      <c r="I9" s="1466"/>
      <c r="J9" s="1466"/>
      <c r="K9" s="1466"/>
      <c r="L9" s="1466"/>
      <c r="M9" s="164"/>
      <c r="N9" s="164"/>
      <c r="Q9" s="165"/>
    </row>
    <row r="10" spans="1:26" s="68" customFormat="1" ht="9.9499999999999993" customHeight="1" thickBot="1" x14ac:dyDescent="0.3">
      <c r="A10" s="120"/>
      <c r="M10" s="128"/>
      <c r="N10" s="128"/>
      <c r="O10" s="128"/>
    </row>
    <row r="11" spans="1:26" ht="45" customHeight="1" x14ac:dyDescent="0.25">
      <c r="A11" s="1462" t="s">
        <v>1631</v>
      </c>
      <c r="B11" s="1464" t="s">
        <v>20</v>
      </c>
      <c r="C11" s="1464" t="s">
        <v>69</v>
      </c>
      <c r="D11" s="1460" t="s">
        <v>1876</v>
      </c>
      <c r="E11" s="487" t="s">
        <v>1578</v>
      </c>
      <c r="F11" s="487" t="s">
        <v>1621</v>
      </c>
      <c r="G11" s="1460" t="s">
        <v>1634</v>
      </c>
      <c r="H11" s="1460" t="s">
        <v>1633</v>
      </c>
      <c r="I11" s="1460" t="s">
        <v>1579</v>
      </c>
      <c r="J11" s="1582" t="s">
        <v>1620</v>
      </c>
      <c r="K11" s="490" t="s">
        <v>12</v>
      </c>
      <c r="L11" s="98" t="s">
        <v>1630</v>
      </c>
      <c r="Q11" s="124"/>
      <c r="R11" s="124"/>
      <c r="S11" s="67"/>
      <c r="T11" s="67"/>
    </row>
    <row r="12" spans="1:26" ht="15.75" customHeight="1" thickBot="1" x14ac:dyDescent="0.3">
      <c r="A12" s="1463"/>
      <c r="B12" s="1465"/>
      <c r="C12" s="1465"/>
      <c r="D12" s="1461"/>
      <c r="E12" s="100" t="s">
        <v>1617</v>
      </c>
      <c r="F12" s="100" t="s">
        <v>1617</v>
      </c>
      <c r="G12" s="1461"/>
      <c r="H12" s="1461"/>
      <c r="I12" s="1461"/>
      <c r="J12" s="1583"/>
      <c r="K12" s="103" t="s">
        <v>17</v>
      </c>
      <c r="L12" s="104" t="s">
        <v>15</v>
      </c>
      <c r="Q12" s="124"/>
      <c r="R12" s="124"/>
    </row>
    <row r="13" spans="1:26" s="143" customFormat="1" ht="18" customHeight="1" x14ac:dyDescent="0.25">
      <c r="A13" s="403" t="s">
        <v>1543</v>
      </c>
      <c r="B13" s="404" t="s">
        <v>1550</v>
      </c>
      <c r="C13" s="405">
        <v>1330207</v>
      </c>
      <c r="D13" s="494" t="s">
        <v>2125</v>
      </c>
      <c r="E13" s="406" t="s">
        <v>75</v>
      </c>
      <c r="F13" s="406" t="s">
        <v>75</v>
      </c>
      <c r="G13" s="326">
        <v>1000</v>
      </c>
      <c r="H13" s="329" t="s">
        <v>1639</v>
      </c>
      <c r="I13" s="406">
        <v>500</v>
      </c>
      <c r="J13" s="407" t="s">
        <v>1592</v>
      </c>
      <c r="K13" s="330">
        <v>1</v>
      </c>
      <c r="L13" s="331">
        <v>37.500000000000036</v>
      </c>
      <c r="M13" s="135">
        <f>IFERROR(VLOOKUP(J13,'Emission Controls'!$A$3:$B$16,2,),0)</f>
        <v>11</v>
      </c>
      <c r="N13" s="48"/>
      <c r="O13" s="48"/>
      <c r="Q13" s="124"/>
      <c r="R13" s="124"/>
      <c r="S13" s="145"/>
      <c r="T13" s="145"/>
      <c r="U13" s="146"/>
      <c r="Z13" s="48"/>
    </row>
    <row r="14" spans="1:26" s="143" customFormat="1" ht="18" customHeight="1" x14ac:dyDescent="0.25">
      <c r="A14" s="408" t="s">
        <v>1649</v>
      </c>
      <c r="B14" s="409" t="s">
        <v>1</v>
      </c>
      <c r="C14" s="410">
        <v>108883</v>
      </c>
      <c r="D14" s="532"/>
      <c r="E14" s="411"/>
      <c r="F14" s="411"/>
      <c r="G14" s="412" t="s">
        <v>1649</v>
      </c>
      <c r="H14" s="413" t="s">
        <v>1649</v>
      </c>
      <c r="I14" s="411"/>
      <c r="J14" s="414"/>
      <c r="K14" s="415" t="s">
        <v>1649</v>
      </c>
      <c r="L14" s="339">
        <v>12.500000000000011</v>
      </c>
      <c r="M14" s="135">
        <f>IFERROR(VLOOKUP(J14,'Emission Controls'!$A$3:$B$16,2,),0)</f>
        <v>0</v>
      </c>
      <c r="N14" s="48"/>
      <c r="O14" s="48"/>
      <c r="Q14" s="124"/>
      <c r="R14" s="124"/>
      <c r="S14" s="145"/>
      <c r="T14" s="145"/>
      <c r="U14" s="146"/>
      <c r="Z14" s="48"/>
    </row>
    <row r="15" spans="1:26" s="143" customFormat="1" ht="18" customHeight="1" x14ac:dyDescent="0.25">
      <c r="A15" s="408" t="s">
        <v>1649</v>
      </c>
      <c r="B15" s="409" t="s">
        <v>109</v>
      </c>
      <c r="C15" s="410">
        <v>75092</v>
      </c>
      <c r="D15" s="532"/>
      <c r="E15" s="411"/>
      <c r="F15" s="411"/>
      <c r="G15" s="412" t="s">
        <v>1649</v>
      </c>
      <c r="H15" s="413" t="s">
        <v>1649</v>
      </c>
      <c r="I15" s="411"/>
      <c r="J15" s="414"/>
      <c r="K15" s="415" t="s">
        <v>1649</v>
      </c>
      <c r="L15" s="339">
        <v>150</v>
      </c>
      <c r="M15" s="135">
        <f>IFERROR(VLOOKUP(J15,'Emission Controls'!$A$3:$B$16,2,),0)</f>
        <v>0</v>
      </c>
      <c r="N15" s="48"/>
      <c r="O15" s="48"/>
      <c r="Q15" s="124"/>
      <c r="R15" s="124"/>
      <c r="S15" s="145"/>
      <c r="T15" s="145"/>
      <c r="U15" s="146"/>
      <c r="Z15" s="48"/>
    </row>
    <row r="16" spans="1:26" s="143" customFormat="1" ht="18" customHeight="1" x14ac:dyDescent="0.25">
      <c r="A16" s="408" t="s">
        <v>1547</v>
      </c>
      <c r="B16" s="409" t="s">
        <v>188</v>
      </c>
      <c r="C16" s="410">
        <v>110543</v>
      </c>
      <c r="D16" s="495" t="s">
        <v>2126</v>
      </c>
      <c r="E16" s="416" t="s">
        <v>75</v>
      </c>
      <c r="F16" s="416" t="s">
        <v>73</v>
      </c>
      <c r="G16" s="334">
        <v>5000</v>
      </c>
      <c r="H16" s="337" t="s">
        <v>1639</v>
      </c>
      <c r="I16" s="416">
        <v>1000</v>
      </c>
      <c r="J16" s="414"/>
      <c r="K16" s="338">
        <v>1</v>
      </c>
      <c r="L16" s="339">
        <v>1000</v>
      </c>
      <c r="M16" s="135">
        <f>IFERROR(VLOOKUP(J16,'Emission Controls'!$A$3:$B$16,2,),0)</f>
        <v>0</v>
      </c>
      <c r="N16" s="48"/>
      <c r="O16" s="48"/>
      <c r="Q16" s="124"/>
      <c r="R16" s="124"/>
      <c r="S16" s="145"/>
      <c r="T16" s="145"/>
      <c r="U16" s="146"/>
      <c r="Z16" s="48"/>
    </row>
    <row r="17" spans="1:65" s="143" customFormat="1" ht="18" customHeight="1" x14ac:dyDescent="0.25">
      <c r="A17" s="408" t="s">
        <v>1649</v>
      </c>
      <c r="B17" s="409" t="s">
        <v>95</v>
      </c>
      <c r="C17" s="410">
        <v>67561</v>
      </c>
      <c r="D17" s="532"/>
      <c r="E17" s="411"/>
      <c r="F17" s="411"/>
      <c r="G17" s="412" t="s">
        <v>1649</v>
      </c>
      <c r="H17" s="413" t="s">
        <v>1649</v>
      </c>
      <c r="I17" s="411"/>
      <c r="J17" s="414"/>
      <c r="K17" s="415" t="s">
        <v>1649</v>
      </c>
      <c r="L17" s="339">
        <v>500</v>
      </c>
      <c r="M17" s="135">
        <f>IFERROR(VLOOKUP(J17,'Emission Controls'!$A$3:$B$16,2,),0)</f>
        <v>0</v>
      </c>
      <c r="Q17" s="124"/>
      <c r="R17" s="124"/>
      <c r="S17" s="145"/>
      <c r="T17" s="145"/>
      <c r="U17" s="146"/>
      <c r="Z17" s="48"/>
    </row>
    <row r="18" spans="1:65" s="143" customFormat="1" ht="18" customHeight="1" x14ac:dyDescent="0.25">
      <c r="A18" s="408" t="s">
        <v>1649</v>
      </c>
      <c r="B18" s="409" t="s">
        <v>156</v>
      </c>
      <c r="C18" s="410">
        <v>98828</v>
      </c>
      <c r="D18" s="532"/>
      <c r="E18" s="411"/>
      <c r="F18" s="411"/>
      <c r="G18" s="412" t="s">
        <v>1649</v>
      </c>
      <c r="H18" s="413" t="s">
        <v>1649</v>
      </c>
      <c r="I18" s="411"/>
      <c r="J18" s="414"/>
      <c r="K18" s="415" t="s">
        <v>1649</v>
      </c>
      <c r="L18" s="339">
        <v>500</v>
      </c>
      <c r="M18" s="135">
        <f>IFERROR(VLOOKUP(J18,'Emission Controls'!$A$3:$B$16,2,),0)</f>
        <v>0</v>
      </c>
      <c r="Q18" s="124"/>
      <c r="R18" s="124"/>
      <c r="S18" s="145"/>
      <c r="T18" s="145"/>
      <c r="U18" s="146"/>
      <c r="Z18" s="48"/>
    </row>
    <row r="19" spans="1:65" s="143" customFormat="1" ht="18" customHeight="1" x14ac:dyDescent="0.25">
      <c r="A19" s="408" t="s">
        <v>1649</v>
      </c>
      <c r="B19" s="409" t="s">
        <v>160</v>
      </c>
      <c r="C19" s="410">
        <v>100414</v>
      </c>
      <c r="D19" s="532"/>
      <c r="E19" s="411"/>
      <c r="F19" s="411"/>
      <c r="G19" s="412" t="s">
        <v>1649</v>
      </c>
      <c r="H19" s="413" t="s">
        <v>1649</v>
      </c>
      <c r="I19" s="411"/>
      <c r="J19" s="414"/>
      <c r="K19" s="415" t="s">
        <v>1649</v>
      </c>
      <c r="L19" s="339">
        <v>250</v>
      </c>
      <c r="M19" s="135">
        <f>IFERROR(VLOOKUP(J19,'Emission Controls'!$A$3:$B$16,2,),0)</f>
        <v>0</v>
      </c>
      <c r="Q19" s="124"/>
      <c r="R19" s="124"/>
      <c r="S19" s="145"/>
      <c r="T19" s="145"/>
      <c r="U19" s="146"/>
      <c r="Z19" s="48"/>
    </row>
    <row r="20" spans="1:65" s="68" customFormat="1" ht="9" customHeight="1" x14ac:dyDescent="0.25">
      <c r="A20" s="120"/>
      <c r="B20" s="128"/>
      <c r="C20" s="128"/>
      <c r="D20" s="128"/>
      <c r="E20" s="128"/>
      <c r="F20" s="128"/>
      <c r="G20" s="128"/>
      <c r="H20" s="128"/>
      <c r="I20" s="128"/>
      <c r="J20" s="128"/>
      <c r="K20" s="128"/>
      <c r="L20" s="128"/>
      <c r="M20" s="128"/>
      <c r="N20" s="128"/>
      <c r="O20" s="128"/>
    </row>
    <row r="21" spans="1:65" s="68" customFormat="1" ht="15.75" customHeight="1" thickBot="1" x14ac:dyDescent="0.3">
      <c r="A21" s="1292"/>
      <c r="B21" s="1292"/>
      <c r="C21" s="1292"/>
      <c r="D21" s="1292"/>
      <c r="E21" s="1292"/>
      <c r="F21" s="1292"/>
      <c r="G21" s="1292"/>
      <c r="H21" s="1292"/>
      <c r="I21" s="1292"/>
      <c r="J21" s="1292"/>
      <c r="K21" s="1292"/>
      <c r="L21" s="1292"/>
      <c r="M21" s="85"/>
      <c r="N21" s="85"/>
      <c r="O21" s="85"/>
    </row>
    <row r="22" spans="1:65" s="77" customFormat="1" ht="19.5" thickBot="1" x14ac:dyDescent="0.3">
      <c r="A22" s="1208" t="s">
        <v>1449</v>
      </c>
      <c r="B22" s="1208"/>
      <c r="C22" s="1208"/>
      <c r="D22" s="1208"/>
      <c r="E22" s="1208"/>
      <c r="F22" s="1208"/>
      <c r="G22" s="1208"/>
      <c r="H22" s="1208"/>
      <c r="I22" s="1208"/>
      <c r="J22" s="1208"/>
      <c r="K22" s="1208"/>
      <c r="L22" s="1208"/>
      <c r="M22" s="90"/>
      <c r="N22" s="90"/>
      <c r="O22" s="90"/>
    </row>
    <row r="23" spans="1:65" ht="60" customHeight="1" x14ac:dyDescent="0.25">
      <c r="A23" s="1595"/>
      <c r="B23" s="1595"/>
      <c r="C23" s="1595"/>
      <c r="D23" s="1595"/>
      <c r="E23" s="1595"/>
      <c r="F23" s="1595"/>
      <c r="G23" s="1595"/>
      <c r="H23" s="1595"/>
      <c r="I23" s="1595"/>
      <c r="J23" s="1595"/>
      <c r="K23" s="1595"/>
      <c r="L23" s="1595"/>
      <c r="S23" s="138"/>
    </row>
    <row r="24" spans="1:65" ht="24.95" customHeight="1" x14ac:dyDescent="0.25">
      <c r="A24" s="1436" t="s">
        <v>1434</v>
      </c>
      <c r="B24" s="1436"/>
      <c r="C24" s="1436"/>
      <c r="D24" s="1436"/>
      <c r="E24" s="1436"/>
      <c r="F24" s="1436"/>
      <c r="G24" s="1436"/>
      <c r="H24" s="1436"/>
      <c r="I24" s="1436"/>
      <c r="J24" s="1436"/>
      <c r="K24" s="1436"/>
      <c r="L24" s="1436"/>
      <c r="M24" s="111"/>
      <c r="N24" s="111"/>
      <c r="O24" s="111"/>
    </row>
    <row r="25" spans="1:65" ht="24.95" customHeight="1" thickBot="1" x14ac:dyDescent="0.3">
      <c r="A25" s="988" t="s">
        <v>2351</v>
      </c>
      <c r="B25" s="988"/>
      <c r="C25" s="988"/>
      <c r="D25" s="988"/>
      <c r="E25" s="988"/>
      <c r="F25" s="988"/>
      <c r="G25" s="988"/>
      <c r="H25" s="988"/>
      <c r="I25" s="988"/>
      <c r="J25" s="988"/>
      <c r="K25" s="988"/>
      <c r="L25" s="988"/>
      <c r="S25" s="138"/>
    </row>
    <row r="26" spans="1:65" ht="20.100000000000001" customHeight="1" thickBot="1" x14ac:dyDescent="0.25">
      <c r="A26" s="1475" t="s">
        <v>1700</v>
      </c>
      <c r="B26" s="1475"/>
      <c r="C26" s="1475"/>
      <c r="D26" s="1475"/>
      <c r="E26" s="1475"/>
      <c r="F26" s="1475"/>
      <c r="G26" s="1475"/>
      <c r="H26" s="1475"/>
      <c r="I26" s="1475"/>
      <c r="J26" s="1475"/>
      <c r="K26" s="1475"/>
      <c r="L26" s="1475"/>
      <c r="AG26" s="1189" t="s">
        <v>2486</v>
      </c>
      <c r="AH26" s="1388"/>
      <c r="AI26" s="1388"/>
      <c r="AJ26" s="1388"/>
      <c r="AK26" s="1388"/>
      <c r="AL26" s="1388"/>
      <c r="AM26" s="1388"/>
      <c r="AN26" s="1388"/>
      <c r="AO26" s="1388"/>
      <c r="AP26" s="1388"/>
      <c r="AQ26" s="1388"/>
      <c r="AR26" s="1388"/>
      <c r="AS26" s="1388"/>
      <c r="AT26" s="1388"/>
      <c r="AU26" s="1190"/>
      <c r="AV26" s="129"/>
      <c r="AW26" s="99"/>
      <c r="AX26" s="1189" t="s">
        <v>2045</v>
      </c>
      <c r="AY26" s="1388"/>
      <c r="AZ26" s="1388"/>
      <c r="BA26" s="1388"/>
      <c r="BB26" s="1388"/>
      <c r="BC26" s="1388"/>
      <c r="BD26" s="1388"/>
      <c r="BE26" s="1388"/>
      <c r="BF26" s="1388"/>
      <c r="BG26" s="1388"/>
      <c r="BH26" s="1388"/>
      <c r="BI26" s="1388"/>
      <c r="BJ26" s="1388"/>
      <c r="BK26" s="1388"/>
      <c r="BL26" s="1190"/>
      <c r="BM26" s="129"/>
    </row>
    <row r="27" spans="1:65" ht="45" customHeight="1" thickBot="1" x14ac:dyDescent="0.25">
      <c r="A27" s="1473" t="s">
        <v>1631</v>
      </c>
      <c r="B27" s="1469" t="s">
        <v>20</v>
      </c>
      <c r="C27" s="1469" t="s">
        <v>69</v>
      </c>
      <c r="D27" s="1471" t="s">
        <v>1876</v>
      </c>
      <c r="E27" s="831" t="s">
        <v>1578</v>
      </c>
      <c r="F27" s="831" t="s">
        <v>1621</v>
      </c>
      <c r="G27" s="1471" t="s">
        <v>1634</v>
      </c>
      <c r="H27" s="1471" t="s">
        <v>1633</v>
      </c>
      <c r="I27" s="1471" t="s">
        <v>1579</v>
      </c>
      <c r="J27" s="1590" t="s">
        <v>1620</v>
      </c>
      <c r="K27" s="834" t="s">
        <v>12</v>
      </c>
      <c r="L27" s="823" t="s">
        <v>1630</v>
      </c>
      <c r="Q27" s="124" t="s">
        <v>1581</v>
      </c>
      <c r="R27" s="124" t="s">
        <v>1646</v>
      </c>
      <c r="S27" s="67" t="s">
        <v>1647</v>
      </c>
      <c r="T27" s="67" t="s">
        <v>1648</v>
      </c>
      <c r="U27" s="48" t="s">
        <v>1645</v>
      </c>
      <c r="AG27" s="107" t="s">
        <v>271</v>
      </c>
      <c r="AH27" s="1189" t="s">
        <v>2043</v>
      </c>
      <c r="AI27" s="1388"/>
      <c r="AJ27" s="1190"/>
      <c r="AK27" s="775" t="s">
        <v>74</v>
      </c>
      <c r="AL27" s="790" t="s">
        <v>1550</v>
      </c>
      <c r="AM27" s="791" t="s">
        <v>2467</v>
      </c>
      <c r="AN27" s="791" t="s">
        <v>1</v>
      </c>
      <c r="AO27" s="791" t="s">
        <v>2468</v>
      </c>
      <c r="AP27" s="791" t="s">
        <v>139</v>
      </c>
      <c r="AQ27" s="791" t="s">
        <v>99</v>
      </c>
      <c r="AR27" s="791" t="s">
        <v>108</v>
      </c>
      <c r="AS27" s="790" t="s">
        <v>239</v>
      </c>
      <c r="AT27" s="790" t="s">
        <v>249</v>
      </c>
      <c r="AU27" s="792" t="s">
        <v>237</v>
      </c>
      <c r="AW27" s="99"/>
      <c r="AX27" s="107" t="s">
        <v>271</v>
      </c>
      <c r="AY27" s="1189" t="s">
        <v>2043</v>
      </c>
      <c r="AZ27" s="1388"/>
      <c r="BA27" s="1190"/>
      <c r="BB27" s="775" t="s">
        <v>74</v>
      </c>
      <c r="BC27" s="790" t="s">
        <v>1550</v>
      </c>
      <c r="BD27" s="791" t="s">
        <v>2467</v>
      </c>
      <c r="BE27" s="791" t="s">
        <v>1</v>
      </c>
      <c r="BF27" s="791" t="s">
        <v>2468</v>
      </c>
      <c r="BG27" s="791" t="s">
        <v>139</v>
      </c>
      <c r="BH27" s="791" t="s">
        <v>99</v>
      </c>
      <c r="BI27" s="791" t="s">
        <v>108</v>
      </c>
      <c r="BJ27" s="790" t="s">
        <v>239</v>
      </c>
      <c r="BK27" s="790" t="s">
        <v>249</v>
      </c>
      <c r="BL27" s="792" t="s">
        <v>237</v>
      </c>
    </row>
    <row r="28" spans="1:65" ht="15.75" customHeight="1" thickBot="1" x14ac:dyDescent="0.3">
      <c r="A28" s="1474"/>
      <c r="B28" s="1470"/>
      <c r="C28" s="1470"/>
      <c r="D28" s="1472"/>
      <c r="E28" s="835" t="s">
        <v>1617</v>
      </c>
      <c r="F28" s="835" t="s">
        <v>1617</v>
      </c>
      <c r="G28" s="1472"/>
      <c r="H28" s="1472"/>
      <c r="I28" s="1472"/>
      <c r="J28" s="1591"/>
      <c r="K28" s="838" t="s">
        <v>17</v>
      </c>
      <c r="L28" s="839" t="s">
        <v>15</v>
      </c>
      <c r="Q28" s="124"/>
      <c r="R28" s="124"/>
      <c r="W28" s="48" t="s">
        <v>1618</v>
      </c>
      <c r="Z28" s="80" t="s">
        <v>1622</v>
      </c>
      <c r="AC28" s="476" t="s">
        <v>1852</v>
      </c>
      <c r="AD28" s="476"/>
      <c r="AG28" s="66">
        <f ca="1">'Table 5-D| MPTE HAP'!AG37</f>
        <v>0</v>
      </c>
      <c r="AH28" s="68" t="s">
        <v>2470</v>
      </c>
      <c r="AK28" s="793">
        <f ca="1">IF($AG28=0,0,'Table 7-A| Primary APTE'!$C$19*VLOOKUP($AG28,$AX$28:$BL$48,5,FALSE))</f>
        <v>0</v>
      </c>
      <c r="AL28" s="793">
        <f ca="1">IF($AG28=0,0,'Table 7-A| Primary APTE'!$C$19*VLOOKUP($AG28,$AX$28:$BL$48,6,FALSE))</f>
        <v>0</v>
      </c>
      <c r="AM28" s="794">
        <f ca="1">IF($AG28=0,0,'Table 7-A| Primary APTE'!$C$19*VLOOKUP($AG28,$AX$28:$BL$48,7,FALSE))</f>
        <v>0</v>
      </c>
      <c r="AN28" s="794">
        <f ca="1">IF($AG28=0,0,'Table 7-A| Primary APTE'!$C$19*VLOOKUP($AG28,$AX$28:$BL$48,8,FALSE))</f>
        <v>0</v>
      </c>
      <c r="AO28" s="794">
        <f ca="1">IF($AG28=0,0,'Table 7-A| Primary APTE'!$C$19*VLOOKUP($AG28,$AX$28:$BL$48,9,FALSE))</f>
        <v>0</v>
      </c>
      <c r="AP28" s="794">
        <f ca="1">IF($AG28=0,0,'Table 7-A| Primary APTE'!$C$19*VLOOKUP($AG28,$AX$28:$BL$48,10,FALSE))</f>
        <v>0</v>
      </c>
      <c r="AQ28" s="794">
        <f ca="1">IF($AG28=0,0,'Table 7-A| Primary APTE'!$C$19*VLOOKUP($AG28,$AX$28:$BL$48,11,FALSE))</f>
        <v>0</v>
      </c>
      <c r="AR28" s="794">
        <f ca="1">IF($AG28=0,0,'Table 7-A| Primary APTE'!$C$19*VLOOKUP($AG28,$AX$28:$BL$48,12,FALSE))</f>
        <v>0</v>
      </c>
      <c r="AS28" s="794">
        <f ca="1">IF($AG28=0,0,'Table 7-A| Primary APTE'!$C$19*VLOOKUP($AG28,$AX$28:$BL$48,13,FALSE))</f>
        <v>0</v>
      </c>
      <c r="AT28" s="794">
        <f ca="1">IF($AG28=0,0,'Table 7-A| Primary APTE'!$C$19*VLOOKUP($AG28,$AX$28:$BL$48,14,FALSE))</f>
        <v>0</v>
      </c>
      <c r="AU28" s="794">
        <f ca="1">IF($AG28=0,0,'Table 7-A| Primary APTE'!$C$19*VLOOKUP($AG28,$AX$28:$BL$48,15,FALSE))</f>
        <v>0</v>
      </c>
      <c r="AV28" s="539"/>
      <c r="AW28" s="99"/>
      <c r="AX28" s="66">
        <v>20200102</v>
      </c>
      <c r="AY28" s="68" t="s">
        <v>2195</v>
      </c>
      <c r="BB28" s="793">
        <v>0.16402000000000003</v>
      </c>
      <c r="BC28" s="793">
        <v>3.9614999999999997E-2</v>
      </c>
      <c r="BD28" s="794">
        <v>0</v>
      </c>
      <c r="BE28" s="794">
        <v>5.6850999999999992E-2</v>
      </c>
      <c r="BF28" s="794">
        <v>0</v>
      </c>
      <c r="BG28" s="794">
        <v>1.1787199999999999E-2</v>
      </c>
      <c r="BH28" s="794">
        <v>0.129687</v>
      </c>
      <c r="BI28" s="794">
        <v>0.10661299999999999</v>
      </c>
      <c r="BJ28" s="794">
        <v>0</v>
      </c>
      <c r="BK28" s="794">
        <v>0</v>
      </c>
      <c r="BL28" s="794">
        <v>0</v>
      </c>
      <c r="BM28" s="539" t="s">
        <v>2249</v>
      </c>
    </row>
    <row r="29" spans="1:65" s="143" customFormat="1" ht="18" customHeight="1" x14ac:dyDescent="0.2">
      <c r="A29" s="1608" t="str">
        <f>IF(ISBLANK('Table 5-D| MPTE HAP'!A38),"",'Table 5-D| MPTE HAP'!A38)</f>
        <v>Asphalt</v>
      </c>
      <c r="B29" s="417" t="str">
        <f>IF(ISBLANK('Table 5-D| MPTE HAP'!B38),"",'Table 5-D| MPTE HAP'!B38)</f>
        <v>Formaldehyde</v>
      </c>
      <c r="C29" s="418">
        <f>IF(ISBLANK('Table 5-D| MPTE HAP'!C38),"",'Table 5-D| MPTE HAP'!C38)</f>
        <v>50000</v>
      </c>
      <c r="D29" s="1596" t="str">
        <f>IF(ISBLANK('Table 5-D| MPTE HAP'!D38),"",'Table 5-D| MPTE HAP'!D38)</f>
        <v>All Asphalt Production &amp; Handling</v>
      </c>
      <c r="E29" s="1485" t="s">
        <v>2200</v>
      </c>
      <c r="F29" s="1485" t="s">
        <v>2200</v>
      </c>
      <c r="G29" s="1485" t="str">
        <f>IF(A29="","",IF('Table 5-D| MPTE HAP'!P38&gt;0,'Table 5-D| MPTE HAP'!P38,""))</f>
        <v/>
      </c>
      <c r="H29" s="1599" t="str">
        <f>IF(A29="","",IF('Table 5-D| MPTE HAP'!Q38="","",'Table 5-D| MPTE HAP'!Q38))</f>
        <v>tons</v>
      </c>
      <c r="I29" s="1485" t="s">
        <v>2200</v>
      </c>
      <c r="J29" s="1605" t="s">
        <v>2200</v>
      </c>
      <c r="K29" s="1602" t="s">
        <v>2200</v>
      </c>
      <c r="L29" s="348">
        <f ca="1">AK57</f>
        <v>0</v>
      </c>
      <c r="M29" s="135"/>
      <c r="N29" s="154">
        <f ca="1">SUMIF(C29:$C$60,C29,L29:$L$60)</f>
        <v>0</v>
      </c>
      <c r="O29" s="48"/>
      <c r="Q29" s="124" t="str">
        <f>IF(AND(NOT(A29=""),NOT(B29=""),NOT(C29=""),NOT(ISBLANK(E29))),E29,IF(AND(A29="",NOT(B29=""),NOT(C29=""),ISBLANK(E29)),Q28,""))</f>
        <v>N/A</v>
      </c>
      <c r="R29" s="124" t="str">
        <f>IF(AND(NOT(A29=""),NOT(B29=""),NOT(C29=""),NOT(ISBLANK(F29))),F29,IF(AND(A29="",NOT(B29=""),NOT(C29=""),ISBLANK(F29)),R28,""))</f>
        <v>N/A</v>
      </c>
      <c r="S29" s="430" t="str">
        <f>IF(AND(NOT(A29=""),NOT(B29=""),NOT(C29=""),G29&gt;0),G29,IF(AND(A29="",NOT(B29=""),NOT(C29="")),S28,0))</f>
        <v/>
      </c>
      <c r="T29" s="430" t="str">
        <f>IF(AND(NOT(A29=""),NOT(B29=""),NOT(C29=""),I29&gt;0),I29,IF(AND(A29="",NOT(B29=""),NOT(C29="")),T28,0))</f>
        <v>N/A</v>
      </c>
      <c r="U29" s="146" t="e">
        <f>IF(AND(NOT(A29=""),NOT(B29=""),NOT(C29=""),NOT(ISBLANK(J29))),VLOOKUP(J29,'Emission Controls'!$A$3:$L$16,11,),IF(AND(A29="",NOT(B29=""),NOT(C29="")),U28,0))</f>
        <v>#N/A</v>
      </c>
      <c r="W29" s="143" t="s">
        <v>75</v>
      </c>
      <c r="Z29" s="131" t="s">
        <v>1592</v>
      </c>
      <c r="AC29" s="99">
        <v>171</v>
      </c>
      <c r="AD29" s="99">
        <f t="shared" ref="AD29:AD60" si="0">SUMIF($C$29:$C$60,AC29,$L$29:$L$60)</f>
        <v>0</v>
      </c>
      <c r="AG29" s="66">
        <f ca="1">'Table 5-D| MPTE HAP'!AG38</f>
        <v>0</v>
      </c>
      <c r="AH29" s="68" t="s">
        <v>2471</v>
      </c>
      <c r="AI29" s="48"/>
      <c r="AJ29" s="48"/>
      <c r="AK29" s="794">
        <f ca="1">IF($AG29=0,0,'Table 7-A| Primary APTE'!$C$20*VLOOKUP($AG29,$AX$28:$BL$48,5,FALSE))</f>
        <v>0</v>
      </c>
      <c r="AL29" s="794">
        <f ca="1">IF($AG29=0,0,'Table 7-A| Primary APTE'!$C$20*VLOOKUP($AG29,$AX$28:$BL$48,6,FALSE))</f>
        <v>0</v>
      </c>
      <c r="AM29" s="794">
        <f ca="1">IF($AG29=0,0,'Table 7-A| Primary APTE'!$C$20*VLOOKUP($AG29,$AX$28:$BL$48,7,FALSE))</f>
        <v>0</v>
      </c>
      <c r="AN29" s="794">
        <f ca="1">IF($AG29=0,0,'Table 7-A| Primary APTE'!$C$20*VLOOKUP($AG29,$AX$28:$BL$48,8,FALSE))</f>
        <v>0</v>
      </c>
      <c r="AO29" s="794">
        <f ca="1">IF($AG29=0,0,'Table 7-A| Primary APTE'!$C$20*VLOOKUP($AG29,$AX$28:$BL$48,9,FALSE))</f>
        <v>0</v>
      </c>
      <c r="AP29" s="794">
        <f ca="1">IF($AG29=0,0,'Table 7-A| Primary APTE'!$C$20*VLOOKUP($AG29,$AX$28:$BL$48,10,FALSE))</f>
        <v>0</v>
      </c>
      <c r="AQ29" s="794">
        <f ca="1">IF($AG29=0,0,'Table 7-A| Primary APTE'!$C$20*VLOOKUP($AG29,$AX$28:$BL$48,11,FALSE))</f>
        <v>0</v>
      </c>
      <c r="AR29" s="794">
        <f ca="1">IF($AG29=0,0,'Table 7-A| Primary APTE'!$C$20*VLOOKUP($AG29,$AX$28:$BL$48,12,FALSE))</f>
        <v>0</v>
      </c>
      <c r="AS29" s="794">
        <f ca="1">IFERROR(IFERROR(1-VLOOKUP('Table 6-A| Controls &amp; Limits'!$K$21,'Emission Controls'!$A$20:$L$33,11,),1)*IF($AG29=0,0,'Table 7-A| Primary APTE'!$C$20*VLOOKUP($AG29,$AX$28:$BL$48,13,FALSE)),0)</f>
        <v>0</v>
      </c>
      <c r="AT29" s="794">
        <f ca="1">IFERROR(IFERROR(1-VLOOKUP('Table 6-A| Controls &amp; Limits'!$K$21,'Emission Controls'!$A$20:$L$33,11,),1)*IF($AG29=0,0,'Table 7-A| Primary APTE'!$C$20*VLOOKUP($AG29,$AX$28:$BL$48,14,FALSE)),0)</f>
        <v>0</v>
      </c>
      <c r="AU29" s="794">
        <f ca="1">IFERROR(IFERROR(1-VLOOKUP('Table 6-A| Controls &amp; Limits'!$K$21,'Emission Controls'!$A$20:$L$33,11,),1)*IF($AG29=0,0,'Table 7-A| Primary APTE'!$C$20*VLOOKUP($AG29,$AX$28:$BL$48,15,FALSE)),0)</f>
        <v>0</v>
      </c>
      <c r="AV29" s="539"/>
      <c r="AW29" s="99"/>
      <c r="AX29" s="66">
        <v>20200253</v>
      </c>
      <c r="AY29" s="68" t="s">
        <v>2196</v>
      </c>
      <c r="AZ29" s="48"/>
      <c r="BA29" s="48"/>
      <c r="BB29" s="794">
        <v>21.0535</v>
      </c>
      <c r="BC29" s="794">
        <v>0.200265</v>
      </c>
      <c r="BD29" s="794">
        <v>2.5469599999999998E-2</v>
      </c>
      <c r="BE29" s="794">
        <v>0.57306599999999996</v>
      </c>
      <c r="BF29" s="794">
        <v>0</v>
      </c>
      <c r="BG29" s="794">
        <v>9.9721699999999996E-2</v>
      </c>
      <c r="BH29" s="794">
        <v>1.62266</v>
      </c>
      <c r="BI29" s="794">
        <v>2.8653300000000002</v>
      </c>
      <c r="BJ29" s="794">
        <v>0</v>
      </c>
      <c r="BK29" s="794">
        <v>0</v>
      </c>
      <c r="BL29" s="794">
        <v>0</v>
      </c>
      <c r="BM29" s="539" t="s">
        <v>2250</v>
      </c>
    </row>
    <row r="30" spans="1:65" s="143" customFormat="1" ht="18" customHeight="1" x14ac:dyDescent="0.2">
      <c r="A30" s="1609"/>
      <c r="B30" s="420" t="str">
        <f>IF(ISBLANK('Table 5-D| MPTE HAP'!B39),"",'Table 5-D| MPTE HAP'!B39)</f>
        <v>Xylenes</v>
      </c>
      <c r="C30" s="421">
        <f>IF(ISBLANK('Table 5-D| MPTE HAP'!C39),"",'Table 5-D| MPTE HAP'!C39)</f>
        <v>1330207</v>
      </c>
      <c r="D30" s="1597"/>
      <c r="E30" s="1486"/>
      <c r="F30" s="1486"/>
      <c r="G30" s="1486"/>
      <c r="H30" s="1600"/>
      <c r="I30" s="1486"/>
      <c r="J30" s="1606"/>
      <c r="K30" s="1603"/>
      <c r="L30" s="357">
        <f ca="1">AL57</f>
        <v>0</v>
      </c>
      <c r="M30" s="135"/>
      <c r="N30" s="154">
        <f ca="1">SUMIF(C30:$C$60,C30,L30:$L$60)</f>
        <v>0</v>
      </c>
      <c r="O30" s="48"/>
      <c r="Q30" s="124" t="str">
        <f t="shared" ref="Q30:Q60" si="1">IF(AND(NOT(A30=""),NOT(B30=""),NOT(C30=""),NOT(ISBLANK(E30))),E30,IF(AND(A30="",NOT(B30=""),NOT(C30=""),ISBLANK(E30)),Q29,""))</f>
        <v>N/A</v>
      </c>
      <c r="R30" s="124" t="str">
        <f t="shared" ref="R30:R60" si="2">IF(AND(NOT(A30=""),NOT(B30=""),NOT(C30=""),NOT(ISBLANK(F30))),F30,IF(AND(A30="",NOT(B30=""),NOT(C30=""),ISBLANK(F30)),R29,""))</f>
        <v>N/A</v>
      </c>
      <c r="S30" s="430" t="str">
        <f t="shared" ref="S30:S60" si="3">IF(AND(NOT(A30=""),NOT(B30=""),NOT(C30=""),G30&gt;0),G30,IF(AND(A30="",NOT(B30=""),NOT(C30="")),S29,0))</f>
        <v/>
      </c>
      <c r="T30" s="430" t="str">
        <f t="shared" ref="T30:T60" si="4">IF(AND(NOT(A30=""),NOT(B30=""),NOT(C30=""),I30&gt;0),I30,IF(AND(A30="",NOT(B30=""),NOT(C30="")),T29,0))</f>
        <v>N/A</v>
      </c>
      <c r="U30" s="146" t="e">
        <f>IF(AND(NOT(A30=""),NOT(B30=""),NOT(C30=""),NOT(ISBLANK(J30))),VLOOKUP(J30,'Emission Controls'!$A$3:$L$16,11,),IF(AND(A30="",NOT(B30=""),NOT(C30="")),U29,0))</f>
        <v>#N/A</v>
      </c>
      <c r="W30" s="143" t="s">
        <v>73</v>
      </c>
      <c r="Z30" s="131" t="s">
        <v>1600</v>
      </c>
      <c r="AC30" s="99">
        <v>50000</v>
      </c>
      <c r="AD30" s="99">
        <f t="shared" ca="1" si="0"/>
        <v>0</v>
      </c>
      <c r="AG30" s="66">
        <f ca="1">'Table 5-D| MPTE HAP'!AG39</f>
        <v>0</v>
      </c>
      <c r="AH30" s="68" t="s">
        <v>2472</v>
      </c>
      <c r="AI30" s="48"/>
      <c r="AJ30" s="48"/>
      <c r="AK30" s="794">
        <f ca="1">IF($AG30=0,0,'Table 7-A| Primary APTE'!$C$20*VLOOKUP($AG30,$AX$28:$BL$48,5,FALSE))</f>
        <v>0</v>
      </c>
      <c r="AL30" s="794">
        <f ca="1">IF($AG30=0,0,'Table 7-A| Primary APTE'!$C$20*VLOOKUP($AG30,$AX$28:$BL$48,6,FALSE))</f>
        <v>0</v>
      </c>
      <c r="AM30" s="794">
        <f ca="1">IF($AG30=0,0,'Table 7-A| Primary APTE'!$C$20*VLOOKUP($AG30,$AX$28:$BL$48,7,FALSE))</f>
        <v>0</v>
      </c>
      <c r="AN30" s="794">
        <f ca="1">IF($AG30=0,0,'Table 7-A| Primary APTE'!$C$20*VLOOKUP($AG30,$AX$28:$BL$48,8,FALSE))</f>
        <v>0</v>
      </c>
      <c r="AO30" s="794">
        <f ca="1">IF($AG30=0,0,'Table 7-A| Primary APTE'!$C$20*VLOOKUP($AG30,$AX$28:$BL$48,9,FALSE))</f>
        <v>0</v>
      </c>
      <c r="AP30" s="794">
        <f ca="1">IF($AG30=0,0,'Table 7-A| Primary APTE'!$C$20*VLOOKUP($AG30,$AX$28:$BL$48,10,FALSE))</f>
        <v>0</v>
      </c>
      <c r="AQ30" s="794">
        <f ca="1">IF($AG30=0,0,'Table 7-A| Primary APTE'!$C$20*VLOOKUP($AG30,$AX$28:$BL$48,11,FALSE))</f>
        <v>0</v>
      </c>
      <c r="AR30" s="794">
        <f ca="1">IF($AG30=0,0,'Table 7-A| Primary APTE'!$C$20*VLOOKUP($AG30,$AX$28:$BL$48,12,FALSE))</f>
        <v>0</v>
      </c>
      <c r="AS30" s="794">
        <f ca="1">IFERROR(IFERROR(1-VLOOKUP('Table 6-A| Controls &amp; Limits'!$K$21,'Emission Controls'!$A$20:$L$33,11,),1)*IF($AG30=0,0,'Table 7-A| Primary APTE'!$C$20*VLOOKUP($AG30,$AX$28:$BL$48,13,FALSE)),0)</f>
        <v>0</v>
      </c>
      <c r="AT30" s="794">
        <f ca="1">IFERROR(IFERROR(1-VLOOKUP('Table 6-A| Controls &amp; Limits'!$K$21,'Emission Controls'!$A$20:$L$33,11,),1)*IF($AG30=0,0,'Table 7-A| Primary APTE'!$C$20*VLOOKUP($AG30,$AX$28:$BL$48,14,FALSE)),0)</f>
        <v>0</v>
      </c>
      <c r="AU30" s="794">
        <f ca="1">IFERROR(IFERROR(1-VLOOKUP('Table 6-A| Controls &amp; Limits'!$K$21,'Emission Controls'!$A$20:$L$33,11,),1)*IF($AG30=0,0,'Table 7-A| Primary APTE'!$C$20*VLOOKUP($AG30,$AX$28:$BL$48,15,FALSE)),0)</f>
        <v>0</v>
      </c>
      <c r="AV30" s="539"/>
      <c r="AW30" s="99"/>
      <c r="AX30" s="66">
        <v>20200254</v>
      </c>
      <c r="AY30" s="68" t="s">
        <v>2197</v>
      </c>
      <c r="AZ30" s="48"/>
      <c r="BA30" s="48"/>
      <c r="BB30" s="794">
        <v>54.2256</v>
      </c>
      <c r="BC30" s="794">
        <v>0.188968</v>
      </c>
      <c r="BD30" s="794">
        <v>4.07719E-2</v>
      </c>
      <c r="BE30" s="794">
        <v>0.419016</v>
      </c>
      <c r="BF30" s="794">
        <v>1.1399700000000001</v>
      </c>
      <c r="BG30" s="794">
        <v>7.6408800000000013E-2</v>
      </c>
      <c r="BH30" s="794">
        <v>0.45188</v>
      </c>
      <c r="BI30" s="794">
        <v>8.5857200000000002</v>
      </c>
      <c r="BJ30" s="794">
        <v>0</v>
      </c>
      <c r="BK30" s="794">
        <v>0</v>
      </c>
      <c r="BL30" s="794">
        <v>0</v>
      </c>
      <c r="BM30" s="539" t="s">
        <v>2250</v>
      </c>
    </row>
    <row r="31" spans="1:65" s="143" customFormat="1" ht="18" customHeight="1" thickBot="1" x14ac:dyDescent="0.25">
      <c r="A31" s="1609"/>
      <c r="B31" s="420" t="str">
        <f>IF(ISBLANK('Table 5-D| MPTE HAP'!B40),"",'Table 5-D| MPTE HAP'!B40)</f>
        <v>Ethylbenzene</v>
      </c>
      <c r="C31" s="421">
        <f>IF(ISBLANK('Table 5-D| MPTE HAP'!C40),"",'Table 5-D| MPTE HAP'!C40)</f>
        <v>100414</v>
      </c>
      <c r="D31" s="1597"/>
      <c r="E31" s="1486"/>
      <c r="F31" s="1486"/>
      <c r="G31" s="1486"/>
      <c r="H31" s="1600"/>
      <c r="I31" s="1486"/>
      <c r="J31" s="1606"/>
      <c r="K31" s="1603"/>
      <c r="L31" s="357">
        <f ca="1">AM57</f>
        <v>0</v>
      </c>
      <c r="M31" s="135"/>
      <c r="N31" s="154">
        <f ca="1">SUMIF(C31:$C$60,C31,L31:$L$60)</f>
        <v>0</v>
      </c>
      <c r="O31" s="48"/>
      <c r="Q31" s="124" t="str">
        <f t="shared" si="1"/>
        <v>N/A</v>
      </c>
      <c r="R31" s="124" t="str">
        <f t="shared" si="2"/>
        <v>N/A</v>
      </c>
      <c r="S31" s="430" t="str">
        <f t="shared" si="3"/>
        <v/>
      </c>
      <c r="T31" s="430" t="str">
        <f t="shared" si="4"/>
        <v>N/A</v>
      </c>
      <c r="U31" s="146" t="e">
        <f>IF(AND(NOT(A31=""),NOT(B31=""),NOT(C31=""),NOT(ISBLANK(J31))),VLOOKUP(J31,'Emission Controls'!$A$3:$L$16,11,),IF(AND(A31="",NOT(B31=""),NOT(C31="")),U30,0))</f>
        <v>#N/A</v>
      </c>
      <c r="Z31" s="132" t="s">
        <v>1595</v>
      </c>
      <c r="AC31" s="99">
        <v>51285</v>
      </c>
      <c r="AD31" s="99">
        <f t="shared" si="0"/>
        <v>0</v>
      </c>
      <c r="AG31" s="66">
        <f ca="1">'Table 5-D| MPTE HAP'!AG40</f>
        <v>0</v>
      </c>
      <c r="AH31" s="68" t="s">
        <v>2473</v>
      </c>
      <c r="AI31" s="48"/>
      <c r="AJ31" s="48"/>
      <c r="AK31" s="794">
        <f ca="1">IF($AG31=0,0,'Table 7-A| Primary APTE'!$C$20*VLOOKUP($AG31,$AX$28:$BL$48,5,FALSE))</f>
        <v>0</v>
      </c>
      <c r="AL31" s="794">
        <f ca="1">IF($AG31=0,0,'Table 7-A| Primary APTE'!$C$20*VLOOKUP($AG31,$AX$28:$BL$48,6,FALSE))</f>
        <v>0</v>
      </c>
      <c r="AM31" s="794">
        <f ca="1">IF($AG31=0,0,'Table 7-A| Primary APTE'!$C$20*VLOOKUP($AG31,$AX$28:$BL$48,7,FALSE))</f>
        <v>0</v>
      </c>
      <c r="AN31" s="794">
        <f ca="1">IF($AG31=0,0,'Table 7-A| Primary APTE'!$C$20*VLOOKUP($AG31,$AX$28:$BL$48,8,FALSE))</f>
        <v>0</v>
      </c>
      <c r="AO31" s="794">
        <f ca="1">IF($AG31=0,0,'Table 7-A| Primary APTE'!$C$20*VLOOKUP($AG31,$AX$28:$BL$48,9,FALSE))</f>
        <v>0</v>
      </c>
      <c r="AP31" s="794">
        <f ca="1">IF($AG31=0,0,'Table 7-A| Primary APTE'!$C$20*VLOOKUP($AG31,$AX$28:$BL$48,10,FALSE))</f>
        <v>0</v>
      </c>
      <c r="AQ31" s="794">
        <f ca="1">IF($AG31=0,0,'Table 7-A| Primary APTE'!$C$20*VLOOKUP($AG31,$AX$28:$BL$48,11,FALSE))</f>
        <v>0</v>
      </c>
      <c r="AR31" s="794">
        <f ca="1">IF($AG31=0,0,'Table 7-A| Primary APTE'!$C$20*VLOOKUP($AG31,$AX$28:$BL$48,12,FALSE))</f>
        <v>0</v>
      </c>
      <c r="AS31" s="794">
        <f ca="1">IFERROR(IFERROR(1-VLOOKUP('Table 6-A| Controls &amp; Limits'!$K$21,'Emission Controls'!$A$20:$L$33,11,),1)*IF($AG31=0,0,'Table 7-A| Primary APTE'!$C$20*VLOOKUP($AG31,$AX$28:$BL$48,13,FALSE)),0)</f>
        <v>0</v>
      </c>
      <c r="AT31" s="794">
        <f ca="1">IFERROR(IFERROR(1-VLOOKUP('Table 6-A| Controls &amp; Limits'!$K$21,'Emission Controls'!$A$20:$L$33,11,),1)*IF($AG31=0,0,'Table 7-A| Primary APTE'!$C$20*VLOOKUP($AG31,$AX$28:$BL$48,14,FALSE)),0)</f>
        <v>0</v>
      </c>
      <c r="AU31" s="794">
        <f ca="1">IFERROR(IFERROR(1-VLOOKUP('Table 6-A| Controls &amp; Limits'!$K$21,'Emission Controls'!$A$20:$L$33,11,),1)*IF($AG31=0,0,'Table 7-A| Primary APTE'!$C$20*VLOOKUP($AG31,$AX$28:$BL$48,15,FALSE)),0)</f>
        <v>0</v>
      </c>
      <c r="AV31" s="539"/>
      <c r="AW31" s="99"/>
      <c r="AX31" s="66">
        <v>20200301</v>
      </c>
      <c r="AY31" s="68" t="s">
        <v>2198</v>
      </c>
      <c r="AZ31" s="48"/>
      <c r="BA31" s="48"/>
      <c r="BB31" s="794">
        <v>0</v>
      </c>
      <c r="BC31" s="794">
        <v>0</v>
      </c>
      <c r="BD31" s="794">
        <v>0</v>
      </c>
      <c r="BE31" s="794">
        <v>0</v>
      </c>
      <c r="BF31" s="794">
        <v>0</v>
      </c>
      <c r="BG31" s="794">
        <v>0</v>
      </c>
      <c r="BH31" s="794">
        <v>0</v>
      </c>
      <c r="BI31" s="794">
        <v>8.75</v>
      </c>
      <c r="BJ31" s="794">
        <v>0</v>
      </c>
      <c r="BK31" s="794">
        <v>0</v>
      </c>
      <c r="BL31" s="794">
        <v>0</v>
      </c>
      <c r="BM31" s="539" t="s">
        <v>2249</v>
      </c>
    </row>
    <row r="32" spans="1:65" s="143" customFormat="1" ht="18" customHeight="1" x14ac:dyDescent="0.2">
      <c r="A32" s="1609"/>
      <c r="B32" s="420" t="str">
        <f>IF(ISBLANK('Table 5-D| MPTE HAP'!B41),"",'Table 5-D| MPTE HAP'!B41)</f>
        <v>Toluene</v>
      </c>
      <c r="C32" s="421">
        <f>IF(ISBLANK('Table 5-D| MPTE HAP'!C41),"",'Table 5-D| MPTE HAP'!C41)</f>
        <v>108883</v>
      </c>
      <c r="D32" s="1597"/>
      <c r="E32" s="1486"/>
      <c r="F32" s="1486"/>
      <c r="G32" s="1486"/>
      <c r="H32" s="1600"/>
      <c r="I32" s="1486"/>
      <c r="J32" s="1606"/>
      <c r="K32" s="1603"/>
      <c r="L32" s="357">
        <f ca="1">AN57</f>
        <v>0</v>
      </c>
      <c r="M32" s="135"/>
      <c r="N32" s="154">
        <f ca="1">SUMIF(C32:$C$60,C32,L32:$L$60)</f>
        <v>0</v>
      </c>
      <c r="O32" s="48"/>
      <c r="Q32" s="124" t="str">
        <f t="shared" si="1"/>
        <v>N/A</v>
      </c>
      <c r="R32" s="124" t="str">
        <f t="shared" si="2"/>
        <v>N/A</v>
      </c>
      <c r="S32" s="430" t="str">
        <f t="shared" si="3"/>
        <v/>
      </c>
      <c r="T32" s="430" t="str">
        <f t="shared" si="4"/>
        <v>N/A</v>
      </c>
      <c r="U32" s="146" t="e">
        <f>IF(AND(NOT(A32=""),NOT(B32=""),NOT(C32=""),NOT(ISBLANK(J32))),VLOOKUP(J32,'Emission Controls'!$A$3:$L$16,11,),IF(AND(A32="",NOT(B32=""),NOT(C32="")),U31,0))</f>
        <v>#N/A</v>
      </c>
      <c r="AC32" s="99">
        <v>51796</v>
      </c>
      <c r="AD32" s="99">
        <f t="shared" si="0"/>
        <v>0</v>
      </c>
      <c r="AG32" s="66">
        <f ca="1">'Table 5-D| MPTE HAP'!AG41</f>
        <v>0</v>
      </c>
      <c r="AH32" s="68" t="s">
        <v>2474</v>
      </c>
      <c r="AI32" s="48"/>
      <c r="AJ32" s="48"/>
      <c r="AK32" s="794">
        <f ca="1">IF($AG32=0,0,'Table 7-A| Primary APTE'!$C$32*VLOOKUP($AG32,$AX$28:$BL$48,5,FALSE))</f>
        <v>0</v>
      </c>
      <c r="AL32" s="794">
        <f ca="1">IF($AG32=0,0,'Table 7-A| Primary APTE'!$C$32*VLOOKUP($AG32,$AX$28:$BL$48,6,FALSE))</f>
        <v>0</v>
      </c>
      <c r="AM32" s="794">
        <f ca="1">IF($AG32=0,0,'Table 7-A| Primary APTE'!$C$32*VLOOKUP($AG32,$AX$28:$BL$48,7,FALSE))</f>
        <v>0</v>
      </c>
      <c r="AN32" s="794">
        <f ca="1">IF($AG32=0,0,'Table 7-A| Primary APTE'!$C$32*VLOOKUP($AG32,$AX$28:$BL$48,8,FALSE))</f>
        <v>0</v>
      </c>
      <c r="AO32" s="794">
        <f ca="1">IF($AG32=0,0,'Table 7-A| Primary APTE'!$C$32*VLOOKUP($AG32,$AX$28:$BL$48,9,FALSE))</f>
        <v>0</v>
      </c>
      <c r="AP32" s="794">
        <f ca="1">IF($AG32=0,0,'Table 7-A| Primary APTE'!$C$32*VLOOKUP($AG32,$AX$28:$BL$48,10,FALSE))</f>
        <v>0</v>
      </c>
      <c r="AQ32" s="794">
        <f ca="1">IF($AG32=0,0,'Table 7-A| Primary APTE'!$C$32*VLOOKUP($AG32,$AX$28:$BL$48,11,FALSE))</f>
        <v>0</v>
      </c>
      <c r="AR32" s="794">
        <f ca="1">IF($AG32=0,0,'Table 7-A| Primary APTE'!$C$32*VLOOKUP($AG32,$AX$28:$BL$48,12,FALSE))</f>
        <v>0</v>
      </c>
      <c r="AS32" s="794">
        <f ca="1">IF($AG32=0,0,'Table 7-A| Primary APTE'!$C$32*VLOOKUP($AG32,$AX$28:$BL$48,13,FALSE))</f>
        <v>0</v>
      </c>
      <c r="AT32" s="794">
        <f ca="1">IF($AG32=0,0,'Table 7-A| Primary APTE'!$C$32*VLOOKUP($AG32,$AX$28:$BL$48,14,FALSE))</f>
        <v>0</v>
      </c>
      <c r="AU32" s="794">
        <f ca="1">IF($AG32=0,0,'Table 7-A| Primary APTE'!$C$32*VLOOKUP($AG32,$AX$28:$BL$48,15,FALSE))</f>
        <v>0</v>
      </c>
      <c r="AV32" s="539"/>
      <c r="AW32" s="99"/>
      <c r="AX32" s="66">
        <v>20200401</v>
      </c>
      <c r="AY32" s="68" t="s">
        <v>2194</v>
      </c>
      <c r="AZ32" s="48"/>
      <c r="BA32" s="48"/>
      <c r="BB32" s="794">
        <v>1.0967099999999999E-2</v>
      </c>
      <c r="BC32" s="794">
        <v>2.6827E-2</v>
      </c>
      <c r="BD32" s="794">
        <v>0</v>
      </c>
      <c r="BE32" s="794">
        <v>3.9058999999999996E-2</v>
      </c>
      <c r="BF32" s="794">
        <v>0</v>
      </c>
      <c r="BG32" s="794">
        <v>1.8069999999999999E-2</v>
      </c>
      <c r="BH32" s="794">
        <v>0.107864</v>
      </c>
      <c r="BI32" s="794">
        <v>3.5027999999999999E-3</v>
      </c>
      <c r="BJ32" s="794">
        <v>0</v>
      </c>
      <c r="BK32" s="794">
        <v>0</v>
      </c>
      <c r="BL32" s="794">
        <v>0</v>
      </c>
      <c r="BM32" s="539" t="s">
        <v>2249</v>
      </c>
    </row>
    <row r="33" spans="1:65" s="143" customFormat="1" ht="18" customHeight="1" x14ac:dyDescent="0.2">
      <c r="A33" s="1609"/>
      <c r="B33" s="420" t="str">
        <f>IF(ISBLANK('Table 5-D| MPTE HAP'!B42),"",'Table 5-D| MPTE HAP'!B42)</f>
        <v>N-Hexane</v>
      </c>
      <c r="C33" s="421">
        <f>IF(ISBLANK('Table 5-D| MPTE HAP'!C42),"",'Table 5-D| MPTE HAP'!C42)</f>
        <v>110543</v>
      </c>
      <c r="D33" s="1597"/>
      <c r="E33" s="1486"/>
      <c r="F33" s="1486"/>
      <c r="G33" s="1486"/>
      <c r="H33" s="1600"/>
      <c r="I33" s="1486"/>
      <c r="J33" s="1606"/>
      <c r="K33" s="1603"/>
      <c r="L33" s="357">
        <f ca="1">AO57</f>
        <v>0</v>
      </c>
      <c r="M33" s="135"/>
      <c r="N33" s="154">
        <f ca="1">SUMIF(C33:$C$60,C33,L33:$L$60)</f>
        <v>0</v>
      </c>
      <c r="Q33" s="124" t="str">
        <f t="shared" si="1"/>
        <v>N/A</v>
      </c>
      <c r="R33" s="124" t="str">
        <f t="shared" si="2"/>
        <v>N/A</v>
      </c>
      <c r="S33" s="430" t="str">
        <f t="shared" si="3"/>
        <v/>
      </c>
      <c r="T33" s="430" t="str">
        <f t="shared" si="4"/>
        <v>N/A</v>
      </c>
      <c r="U33" s="146" t="e">
        <f>IF(AND(NOT(A33=""),NOT(B33=""),NOT(C33=""),NOT(ISBLANK(J33))),VLOOKUP(J33,'Emission Controls'!$A$3:$L$16,11,),IF(AND(A33="",NOT(B33=""),NOT(C33="")),U32,0))</f>
        <v>#N/A</v>
      </c>
      <c r="AC33" s="99">
        <v>53963</v>
      </c>
      <c r="AD33" s="99">
        <f t="shared" si="0"/>
        <v>0</v>
      </c>
      <c r="AG33" s="66">
        <f ca="1">'Table 5-D| MPTE HAP'!AG42</f>
        <v>0</v>
      </c>
      <c r="AH33" s="68" t="s">
        <v>2475</v>
      </c>
      <c r="AI33" s="48"/>
      <c r="AJ33" s="48"/>
      <c r="AK33" s="794">
        <f ca="1">IF($AG33=0,0,'Table 7-A| Primary APTE'!$C$33*VLOOKUP($AG33,$AX$28:$BL$48,5,FALSE))</f>
        <v>0</v>
      </c>
      <c r="AL33" s="794">
        <f ca="1">IF($AG33=0,0,'Table 7-A| Primary APTE'!$C$33*VLOOKUP($AG33,$AX$28:$BL$48,6,FALSE))</f>
        <v>0</v>
      </c>
      <c r="AM33" s="794">
        <f ca="1">IF($AG33=0,0,'Table 7-A| Primary APTE'!$C$33*VLOOKUP($AG33,$AX$28:$BL$48,7,FALSE))</f>
        <v>0</v>
      </c>
      <c r="AN33" s="794">
        <f ca="1">IF($AG33=0,0,'Table 7-A| Primary APTE'!$C$33*VLOOKUP($AG33,$AX$28:$BL$48,8,FALSE))</f>
        <v>0</v>
      </c>
      <c r="AO33" s="794">
        <f ca="1">IF($AG33=0,0,'Table 7-A| Primary APTE'!$C$33*VLOOKUP($AG33,$AX$28:$BL$48,9,FALSE))</f>
        <v>0</v>
      </c>
      <c r="AP33" s="794">
        <f ca="1">IF($AG33=0,0,'Table 7-A| Primary APTE'!$C$33*VLOOKUP($AG33,$AX$28:$BL$48,10,FALSE))</f>
        <v>0</v>
      </c>
      <c r="AQ33" s="794">
        <f ca="1">IF($AG33=0,0,'Table 7-A| Primary APTE'!$C$33*VLOOKUP($AG33,$AX$28:$BL$48,11,FALSE))</f>
        <v>0</v>
      </c>
      <c r="AR33" s="794">
        <f ca="1">IF($AG33=0,0,'Table 7-A| Primary APTE'!$C$33*VLOOKUP($AG33,$AX$28:$BL$48,12,FALSE))</f>
        <v>0</v>
      </c>
      <c r="AS33" s="794">
        <f ca="1">IFERROR(IFERROR(1-VLOOKUP('Table 6-A| Controls &amp; Limits'!$K$21,'Emission Controls'!$A$20:$L$33,11,),1)*IF($AG33=0,0,'Table 7-A| Primary APTE'!$C$33*VLOOKUP($AG33,$AX$28:$BL$48,13,FALSE)),0)</f>
        <v>0</v>
      </c>
      <c r="AT33" s="794">
        <f ca="1">IFERROR(IFERROR(1-VLOOKUP('Table 6-A| Controls &amp; Limits'!$K$21,'Emission Controls'!$A$20:$L$33,11,),1)*IF($AG33=0,0,'Table 7-A| Primary APTE'!$C$33*VLOOKUP($AG33,$AX$28:$BL$48,14,FALSE)),0)</f>
        <v>0</v>
      </c>
      <c r="AU33" s="794">
        <f ca="1">IFERROR(IFERROR(1-VLOOKUP('Table 6-A| Controls &amp; Limits'!$K$21,'Emission Controls'!$A$20:$L$33,11,),1)*IF($AG33=0,0,'Table 7-A| Primary APTE'!$C$33*VLOOKUP($AG33,$AX$28:$BL$48,15,FALSE)),0)</f>
        <v>0</v>
      </c>
      <c r="AV33" s="539"/>
      <c r="AW33" s="99"/>
      <c r="AX33" s="66">
        <v>30500206</v>
      </c>
      <c r="AY33" s="68" t="s">
        <v>2392</v>
      </c>
      <c r="AZ33" s="48"/>
      <c r="BA33" s="48"/>
      <c r="BB33" s="794">
        <v>0.08</v>
      </c>
      <c r="BC33" s="794">
        <v>0</v>
      </c>
      <c r="BD33" s="794">
        <v>0</v>
      </c>
      <c r="BE33" s="794">
        <v>3.3999999999999998E-3</v>
      </c>
      <c r="BF33" s="794">
        <v>1.8</v>
      </c>
      <c r="BG33" s="794">
        <v>6.0999999999999997E-4</v>
      </c>
      <c r="BH33" s="794">
        <v>2.0999999999999999E-3</v>
      </c>
      <c r="BI33" s="794">
        <v>0</v>
      </c>
      <c r="BJ33" s="794">
        <v>2.0999999999999999E-3</v>
      </c>
      <c r="BK33" s="794">
        <v>0</v>
      </c>
      <c r="BL33" s="794">
        <v>3.8000000000000002E-4</v>
      </c>
      <c r="BM33" s="539" t="s">
        <v>2250</v>
      </c>
    </row>
    <row r="34" spans="1:65" s="143" customFormat="1" ht="18" customHeight="1" x14ac:dyDescent="0.2">
      <c r="A34" s="1609"/>
      <c r="B34" s="420" t="str">
        <f>IF(ISBLANK('Table 5-D| MPTE HAP'!B43),"",'Table 5-D| MPTE HAP'!B43)</f>
        <v>Naphthalene</v>
      </c>
      <c r="C34" s="421">
        <f>IF(ISBLANK('Table 5-D| MPTE HAP'!C43),"",'Table 5-D| MPTE HAP'!C43)</f>
        <v>91203</v>
      </c>
      <c r="D34" s="1597"/>
      <c r="E34" s="1486"/>
      <c r="F34" s="1486"/>
      <c r="G34" s="1486"/>
      <c r="H34" s="1600"/>
      <c r="I34" s="1486"/>
      <c r="J34" s="1606"/>
      <c r="K34" s="1603"/>
      <c r="L34" s="357">
        <f ca="1">AP57</f>
        <v>0</v>
      </c>
      <c r="M34" s="135"/>
      <c r="N34" s="154">
        <f ca="1">SUMIF(C34:$C$60,C34,L34:$L$60)</f>
        <v>0</v>
      </c>
      <c r="Q34" s="124" t="str">
        <f t="shared" si="1"/>
        <v>N/A</v>
      </c>
      <c r="R34" s="124" t="str">
        <f t="shared" si="2"/>
        <v>N/A</v>
      </c>
      <c r="S34" s="430" t="str">
        <f t="shared" si="3"/>
        <v/>
      </c>
      <c r="T34" s="430" t="str">
        <f t="shared" si="4"/>
        <v>N/A</v>
      </c>
      <c r="U34" s="146" t="e">
        <f>IF(AND(NOT(A34=""),NOT(B34=""),NOT(C34=""),NOT(ISBLANK(J34))),VLOOKUP(J34,'Emission Controls'!$A$3:$L$16,11,),IF(AND(A34="",NOT(B34=""),NOT(C34="")),U33,0))</f>
        <v>#N/A</v>
      </c>
      <c r="AC34" s="99">
        <v>56235</v>
      </c>
      <c r="AD34" s="99">
        <f t="shared" si="0"/>
        <v>0</v>
      </c>
      <c r="AG34" s="66">
        <f ca="1">'Table 5-D| MPTE HAP'!AG43</f>
        <v>0</v>
      </c>
      <c r="AH34" s="68" t="s">
        <v>2476</v>
      </c>
      <c r="AI34" s="48"/>
      <c r="AJ34" s="48"/>
      <c r="AK34" s="794">
        <f ca="1">IF($AG34=0,0,'Table 7-A| Primary APTE'!$C$33*VLOOKUP($AG34,$AX$28:$BL$48,5,FALSE))</f>
        <v>0</v>
      </c>
      <c r="AL34" s="794">
        <f ca="1">IF($AG34=0,0,'Table 7-A| Primary APTE'!$C$33*VLOOKUP($AG34,$AX$28:$BL$48,6,FALSE))</f>
        <v>0</v>
      </c>
      <c r="AM34" s="794">
        <f ca="1">IF($AG34=0,0,'Table 7-A| Primary APTE'!$C$33*VLOOKUP($AG34,$AX$28:$BL$48,7,FALSE))</f>
        <v>0</v>
      </c>
      <c r="AN34" s="794">
        <f ca="1">IF($AG34=0,0,'Table 7-A| Primary APTE'!$C$33*VLOOKUP($AG34,$AX$28:$BL$48,8,FALSE))</f>
        <v>0</v>
      </c>
      <c r="AO34" s="794">
        <f ca="1">IF($AG34=0,0,'Table 7-A| Primary APTE'!$C$33*VLOOKUP($AG34,$AX$28:$BL$48,9,FALSE))</f>
        <v>0</v>
      </c>
      <c r="AP34" s="794">
        <f ca="1">IF($AG34=0,0,'Table 7-A| Primary APTE'!$C$33*VLOOKUP($AG34,$AX$28:$BL$48,10,FALSE))</f>
        <v>0</v>
      </c>
      <c r="AQ34" s="794">
        <f ca="1">IF($AG34=0,0,'Table 7-A| Primary APTE'!$C$33*VLOOKUP($AG34,$AX$28:$BL$48,11,FALSE))</f>
        <v>0</v>
      </c>
      <c r="AR34" s="794">
        <f ca="1">IF($AG34=0,0,'Table 7-A| Primary APTE'!$C$33*VLOOKUP($AG34,$AX$28:$BL$48,12,FALSE))</f>
        <v>0</v>
      </c>
      <c r="AS34" s="794">
        <f ca="1">IFERROR(IFERROR(1-VLOOKUP('Table 6-A| Controls &amp; Limits'!$K$21,'Emission Controls'!$A$20:$L$33,11,),1)*IF($AG34=0,0,'Table 7-A| Primary APTE'!$C$33*VLOOKUP($AG34,$AX$28:$BL$48,13,FALSE)),0)</f>
        <v>0</v>
      </c>
      <c r="AT34" s="794">
        <f ca="1">IFERROR(IFERROR(1-VLOOKUP('Table 6-A| Controls &amp; Limits'!$K$21,'Emission Controls'!$A$20:$L$33,11,),1)*IF($AG34=0,0,'Table 7-A| Primary APTE'!$C$33*VLOOKUP($AG34,$AX$28:$BL$48,14,FALSE)),0)</f>
        <v>0</v>
      </c>
      <c r="AU34" s="794">
        <f ca="1">IFERROR(IFERROR(1-VLOOKUP('Table 6-A| Controls &amp; Limits'!$K$21,'Emission Controls'!$A$20:$L$33,11,),1)*IF($AG34=0,0,'Table 7-A| Primary APTE'!$C$33*VLOOKUP($AG34,$AX$28:$BL$48,15,FALSE)),0)</f>
        <v>0</v>
      </c>
      <c r="AV34" s="539"/>
      <c r="AW34" s="99"/>
      <c r="AX34" s="66">
        <v>30500207</v>
      </c>
      <c r="AY34" s="68" t="s">
        <v>2457</v>
      </c>
      <c r="AZ34" s="48"/>
      <c r="BA34" s="48"/>
      <c r="BB34" s="794">
        <v>0.06</v>
      </c>
      <c r="BC34" s="794">
        <v>0</v>
      </c>
      <c r="BD34" s="794">
        <v>0</v>
      </c>
      <c r="BE34" s="794">
        <v>0</v>
      </c>
      <c r="BF34" s="794">
        <v>0</v>
      </c>
      <c r="BG34" s="794">
        <v>0</v>
      </c>
      <c r="BH34" s="794">
        <v>0</v>
      </c>
      <c r="BI34" s="794">
        <v>0</v>
      </c>
      <c r="BJ34" s="794">
        <v>2.1582733812949641E-8</v>
      </c>
      <c r="BK34" s="794">
        <v>0</v>
      </c>
      <c r="BL34" s="794">
        <v>4.3165467625899283E-8</v>
      </c>
      <c r="BM34" s="539" t="s">
        <v>2249</v>
      </c>
    </row>
    <row r="35" spans="1:65" s="143" customFormat="1" ht="18" customHeight="1" x14ac:dyDescent="0.2">
      <c r="A35" s="1609"/>
      <c r="B35" s="420" t="str">
        <f>IF(ISBLANK('Table 5-D| MPTE HAP'!B44),"",'Table 5-D| MPTE HAP'!B44)</f>
        <v>Benzene</v>
      </c>
      <c r="C35" s="421">
        <f>IF(ISBLANK('Table 5-D| MPTE HAP'!C44),"",'Table 5-D| MPTE HAP'!C44)</f>
        <v>71432</v>
      </c>
      <c r="D35" s="1597"/>
      <c r="E35" s="1486"/>
      <c r="F35" s="1486"/>
      <c r="G35" s="1486"/>
      <c r="H35" s="1600"/>
      <c r="I35" s="1486"/>
      <c r="J35" s="1606"/>
      <c r="K35" s="1603"/>
      <c r="L35" s="357">
        <f ca="1">AQ57</f>
        <v>0</v>
      </c>
      <c r="M35" s="135"/>
      <c r="N35" s="154">
        <f ca="1">SUMIF(C35:$C$60,C35,L35:$L$60)</f>
        <v>0</v>
      </c>
      <c r="Q35" s="124" t="str">
        <f t="shared" si="1"/>
        <v>N/A</v>
      </c>
      <c r="R35" s="124" t="str">
        <f t="shared" si="2"/>
        <v>N/A</v>
      </c>
      <c r="S35" s="430" t="str">
        <f t="shared" si="3"/>
        <v/>
      </c>
      <c r="T35" s="430" t="str">
        <f t="shared" si="4"/>
        <v>N/A</v>
      </c>
      <c r="U35" s="146" t="e">
        <f>IF(AND(NOT(A35=""),NOT(B35=""),NOT(C35=""),NOT(ISBLANK(J35))),VLOOKUP(J35,'Emission Controls'!$A$3:$L$16,11,),IF(AND(A35="",NOT(B35=""),NOT(C35="")),U34,0))</f>
        <v>#N/A</v>
      </c>
      <c r="AC35" s="99">
        <v>56382</v>
      </c>
      <c r="AD35" s="99">
        <f t="shared" si="0"/>
        <v>0</v>
      </c>
      <c r="AG35" s="66">
        <f ca="1">'Table 5-D| MPTE HAP'!AG44</f>
        <v>0</v>
      </c>
      <c r="AH35" s="68" t="s">
        <v>2477</v>
      </c>
      <c r="AI35" s="48"/>
      <c r="AJ35" s="48"/>
      <c r="AK35" s="794">
        <f ca="1">IF($AG35=0,0,'Table 7-A| Primary APTE'!$C$33*VLOOKUP($AG35,$AX$28:$BL$48,5,FALSE))</f>
        <v>0</v>
      </c>
      <c r="AL35" s="794">
        <f ca="1">IF($AG35=0,0,'Table 7-A| Primary APTE'!$C$33*VLOOKUP($AG35,$AX$28:$BL$48,6,FALSE))</f>
        <v>0</v>
      </c>
      <c r="AM35" s="794">
        <f ca="1">IF($AG35=0,0,'Table 7-A| Primary APTE'!$C$33*VLOOKUP($AG35,$AX$28:$BL$48,7,FALSE))</f>
        <v>0</v>
      </c>
      <c r="AN35" s="794">
        <f ca="1">IF($AG35=0,0,'Table 7-A| Primary APTE'!$C$33*VLOOKUP($AG35,$AX$28:$BL$48,8,FALSE))</f>
        <v>0</v>
      </c>
      <c r="AO35" s="794">
        <f ca="1">IF($AG35=0,0,'Table 7-A| Primary APTE'!$C$33*VLOOKUP($AG35,$AX$28:$BL$48,9,FALSE))</f>
        <v>0</v>
      </c>
      <c r="AP35" s="794">
        <f ca="1">IF($AG35=0,0,'Table 7-A| Primary APTE'!$C$33*VLOOKUP($AG35,$AX$28:$BL$48,10,FALSE))</f>
        <v>0</v>
      </c>
      <c r="AQ35" s="794">
        <f ca="1">IF($AG35=0,0,'Table 7-A| Primary APTE'!$C$33*VLOOKUP($AG35,$AX$28:$BL$48,11,FALSE))</f>
        <v>0</v>
      </c>
      <c r="AR35" s="794">
        <f ca="1">IF($AG35=0,0,'Table 7-A| Primary APTE'!$C$33*VLOOKUP($AG35,$AX$28:$BL$48,12,FALSE))</f>
        <v>0</v>
      </c>
      <c r="AS35" s="794">
        <f ca="1">IFERROR(IFERROR(1-VLOOKUP('Table 6-A| Controls &amp; Limits'!$K$21,'Emission Controls'!$A$20:$L$33,11,),1)*IF($AG35=0,0,'Table 7-A| Primary APTE'!$C$33*VLOOKUP($AG35,$AX$28:$BL$48,13,FALSE)),0)</f>
        <v>0</v>
      </c>
      <c r="AT35" s="794">
        <f ca="1">IFERROR(IFERROR(1-VLOOKUP('Table 6-A| Controls &amp; Limits'!$K$21,'Emission Controls'!$A$20:$L$33,11,),1)*IF($AG35=0,0,'Table 7-A| Primary APTE'!$C$33*VLOOKUP($AG35,$AX$28:$BL$48,14,FALSE)),0)</f>
        <v>0</v>
      </c>
      <c r="AU35" s="794">
        <f ca="1">IFERROR(IFERROR(1-VLOOKUP('Table 6-A| Controls &amp; Limits'!$K$21,'Emission Controls'!$A$20:$L$33,11,),1)*IF($AG35=0,0,'Table 7-A| Primary APTE'!$C$33*VLOOKUP($AG35,$AX$28:$BL$48,15,FALSE)),0)</f>
        <v>0</v>
      </c>
      <c r="AV35" s="539"/>
      <c r="AW35" s="99"/>
      <c r="AX35" s="66">
        <v>30500208</v>
      </c>
      <c r="AY35" s="68" t="s">
        <v>2393</v>
      </c>
      <c r="AZ35" s="48"/>
      <c r="BA35" s="48"/>
      <c r="BB35" s="794">
        <v>0.06</v>
      </c>
      <c r="BC35" s="794">
        <v>0</v>
      </c>
      <c r="BD35" s="794">
        <v>0</v>
      </c>
      <c r="BE35" s="794">
        <v>0</v>
      </c>
      <c r="BF35" s="794">
        <v>0</v>
      </c>
      <c r="BG35" s="794">
        <v>0</v>
      </c>
      <c r="BH35" s="794">
        <v>0</v>
      </c>
      <c r="BI35" s="794">
        <v>0</v>
      </c>
      <c r="BJ35" s="794">
        <v>2.1582733812949641E-8</v>
      </c>
      <c r="BK35" s="794">
        <v>0</v>
      </c>
      <c r="BL35" s="794">
        <v>4.3165467625899283E-8</v>
      </c>
      <c r="BM35" s="539" t="s">
        <v>2249</v>
      </c>
    </row>
    <row r="36" spans="1:65" s="143" customFormat="1" ht="18" customHeight="1" x14ac:dyDescent="0.2">
      <c r="A36" s="1609"/>
      <c r="B36" s="420" t="str">
        <f>IF(ISBLANK('Table 5-D| MPTE HAP'!B45),"",'Table 5-D| MPTE HAP'!B45)</f>
        <v>Acetaldehyde</v>
      </c>
      <c r="C36" s="421">
        <f>IF(ISBLANK('Table 5-D| MPTE HAP'!C45),"",'Table 5-D| MPTE HAP'!C45)</f>
        <v>75070</v>
      </c>
      <c r="D36" s="1597"/>
      <c r="E36" s="1486"/>
      <c r="F36" s="1486"/>
      <c r="G36" s="1486"/>
      <c r="H36" s="1600"/>
      <c r="I36" s="1486"/>
      <c r="J36" s="1606"/>
      <c r="K36" s="1603"/>
      <c r="L36" s="357">
        <f ca="1">AR57</f>
        <v>0</v>
      </c>
      <c r="M36" s="135"/>
      <c r="N36" s="154">
        <f ca="1">SUMIF(C36:$C$60,C36,L36:$L$60)</f>
        <v>0</v>
      </c>
      <c r="Q36" s="124" t="str">
        <f t="shared" si="1"/>
        <v>N/A</v>
      </c>
      <c r="R36" s="124" t="str">
        <f t="shared" si="2"/>
        <v>N/A</v>
      </c>
      <c r="S36" s="430" t="str">
        <f t="shared" si="3"/>
        <v/>
      </c>
      <c r="T36" s="430" t="str">
        <f t="shared" si="4"/>
        <v>N/A</v>
      </c>
      <c r="U36" s="146" t="e">
        <f>IF(AND(NOT(A36=""),NOT(B36=""),NOT(C36=""),NOT(ISBLANK(J36))),VLOOKUP(J36,'Emission Controls'!$A$3:$L$16,11,),IF(AND(A36="",NOT(B36=""),NOT(C36="")),U35,0))</f>
        <v>#N/A</v>
      </c>
      <c r="AC36" s="99">
        <v>57125</v>
      </c>
      <c r="AD36" s="99">
        <f t="shared" si="0"/>
        <v>0</v>
      </c>
      <c r="AG36" s="66">
        <f ca="1">'Table 5-D| MPTE HAP'!AG45</f>
        <v>0</v>
      </c>
      <c r="AH36" s="68" t="s">
        <v>2478</v>
      </c>
      <c r="AI36" s="48"/>
      <c r="AJ36" s="48"/>
      <c r="AK36" s="794">
        <f ca="1">IF($AG36=0,0,'Table 7-A| Primary APTE'!$C$45*VLOOKUP($AG36,$AX$28:$BL$48,5,FALSE))</f>
        <v>0</v>
      </c>
      <c r="AL36" s="794">
        <f ca="1">IF($AG36=0,0,'Table 7-A| Primary APTE'!$C$45*VLOOKUP($AG36,$AX$28:$BL$48,6,FALSE))</f>
        <v>0</v>
      </c>
      <c r="AM36" s="794">
        <f ca="1">IF($AG36=0,0,'Table 7-A| Primary APTE'!$C$45*VLOOKUP($AG36,$AX$28:$BL$48,7,FALSE))</f>
        <v>0</v>
      </c>
      <c r="AN36" s="794">
        <f ca="1">IF($AG36=0,0,'Table 7-A| Primary APTE'!$C$45*VLOOKUP($AG36,$AX$28:$BL$48,8,FALSE))</f>
        <v>0</v>
      </c>
      <c r="AO36" s="794">
        <f ca="1">IF($AG36=0,0,'Table 7-A| Primary APTE'!$C$45*VLOOKUP($AG36,$AX$28:$BL$48,9,FALSE))</f>
        <v>0</v>
      </c>
      <c r="AP36" s="794">
        <f ca="1">IF($AG36=0,0,'Table 7-A| Primary APTE'!$C$45*VLOOKUP($AG36,$AX$28:$BL$48,10,FALSE))</f>
        <v>0</v>
      </c>
      <c r="AQ36" s="794">
        <f ca="1">IF($AG36=0,0,'Table 7-A| Primary APTE'!$C$45*VLOOKUP($AG36,$AX$28:$BL$48,11,FALSE))</f>
        <v>0</v>
      </c>
      <c r="AR36" s="794">
        <f ca="1">IF($AG36=0,0,'Table 7-A| Primary APTE'!$C$45*VLOOKUP($AG36,$AX$28:$BL$48,12,FALSE))</f>
        <v>0</v>
      </c>
      <c r="AS36" s="794">
        <f ca="1">IF($AG36=0,0,'Table 7-A| Primary APTE'!$C$45*VLOOKUP($AG36,$AX$28:$BL$48,13,FALSE))</f>
        <v>0</v>
      </c>
      <c r="AT36" s="794">
        <f ca="1">IF($AG36=0,0,'Table 7-A| Primary APTE'!$C$45*VLOOKUP($AG36,$AX$28:$BL$48,14,FALSE))</f>
        <v>0</v>
      </c>
      <c r="AU36" s="794">
        <f ca="1">IF($AG36=0,0,'Table 7-A| Primary APTE'!$C$45*VLOOKUP($AG36,$AX$28:$BL$48,15,FALSE))</f>
        <v>0</v>
      </c>
      <c r="AV36" s="539"/>
      <c r="AW36" s="99"/>
      <c r="AX36" s="66">
        <v>30500209</v>
      </c>
      <c r="AY36" s="68" t="s">
        <v>2394</v>
      </c>
      <c r="AZ36" s="48"/>
      <c r="BA36" s="48"/>
      <c r="BB36" s="794">
        <v>0</v>
      </c>
      <c r="BC36" s="794">
        <v>0</v>
      </c>
      <c r="BD36" s="794">
        <v>0</v>
      </c>
      <c r="BE36" s="794">
        <v>0</v>
      </c>
      <c r="BF36" s="794">
        <v>0</v>
      </c>
      <c r="BG36" s="794">
        <v>0</v>
      </c>
      <c r="BH36" s="794">
        <v>0</v>
      </c>
      <c r="BI36" s="794">
        <v>0</v>
      </c>
      <c r="BJ36" s="794">
        <v>0</v>
      </c>
      <c r="BK36" s="794">
        <v>0</v>
      </c>
      <c r="BL36" s="794">
        <v>0</v>
      </c>
      <c r="BM36" s="539" t="s">
        <v>2249</v>
      </c>
    </row>
    <row r="37" spans="1:65" s="143" customFormat="1" ht="18" customHeight="1" x14ac:dyDescent="0.2">
      <c r="A37" s="1609"/>
      <c r="B37" s="420" t="str">
        <f>IF(ISBLANK('Table 5-D| MPTE HAP'!B46),"",'Table 5-D| MPTE HAP'!B46)</f>
        <v>Nickel</v>
      </c>
      <c r="C37" s="421">
        <f>IF(ISBLANK('Table 5-D| MPTE HAP'!C46),"",'Table 5-D| MPTE HAP'!C46)</f>
        <v>7440020</v>
      </c>
      <c r="D37" s="1597"/>
      <c r="E37" s="1486"/>
      <c r="F37" s="1486"/>
      <c r="G37" s="1486"/>
      <c r="H37" s="1600"/>
      <c r="I37" s="1486"/>
      <c r="J37" s="1606"/>
      <c r="K37" s="1603"/>
      <c r="L37" s="357">
        <f ca="1">AS57</f>
        <v>0</v>
      </c>
      <c r="M37" s="135"/>
      <c r="N37" s="154">
        <f ca="1">SUMIF(C37:$C$60,C37,L37:$L$60)</f>
        <v>0</v>
      </c>
      <c r="Q37" s="124" t="str">
        <f t="shared" si="1"/>
        <v>N/A</v>
      </c>
      <c r="R37" s="124" t="str">
        <f t="shared" si="2"/>
        <v>N/A</v>
      </c>
      <c r="S37" s="430" t="str">
        <f t="shared" si="3"/>
        <v/>
      </c>
      <c r="T37" s="430" t="str">
        <f t="shared" si="4"/>
        <v>N/A</v>
      </c>
      <c r="U37" s="146" t="e">
        <f>IF(AND(NOT(A37=""),NOT(B37=""),NOT(C37=""),NOT(ISBLANK(J37))),VLOOKUP(J37,'Emission Controls'!$A$3:$L$16,11,),IF(AND(A37="",NOT(B37=""),NOT(C37="")),U36,0))</f>
        <v>#N/A</v>
      </c>
      <c r="AC37" s="99">
        <v>57147</v>
      </c>
      <c r="AD37" s="99">
        <f t="shared" si="0"/>
        <v>0</v>
      </c>
      <c r="AG37" s="66">
        <f ca="1">'Table 5-D| MPTE HAP'!AG46</f>
        <v>0</v>
      </c>
      <c r="AH37" s="68" t="s">
        <v>2479</v>
      </c>
      <c r="AI37" s="48"/>
      <c r="AJ37" s="48"/>
      <c r="AK37" s="794">
        <f ca="1">IF($AG37=0,0,'Table 7-A| Primary APTE'!$C$46*VLOOKUP($AG37,$AX$28:$BL$48,5,FALSE))</f>
        <v>0</v>
      </c>
      <c r="AL37" s="794">
        <f ca="1">IF($AG37=0,0,'Table 7-A| Primary APTE'!$C$46*VLOOKUP($AG37,$AX$28:$BL$48,6,FALSE))</f>
        <v>0</v>
      </c>
      <c r="AM37" s="794">
        <f ca="1">IF($AG37=0,0,'Table 7-A| Primary APTE'!$C$46*VLOOKUP($AG37,$AX$28:$BL$48,7,FALSE))</f>
        <v>0</v>
      </c>
      <c r="AN37" s="794">
        <f ca="1">IF($AG37=0,0,'Table 7-A| Primary APTE'!$C$46*VLOOKUP($AG37,$AX$28:$BL$48,8,FALSE))</f>
        <v>0</v>
      </c>
      <c r="AO37" s="794">
        <f ca="1">IF($AG37=0,0,'Table 7-A| Primary APTE'!$C$46*VLOOKUP($AG37,$AX$28:$BL$48,9,FALSE))</f>
        <v>0</v>
      </c>
      <c r="AP37" s="794">
        <f ca="1">IF($AG37=0,0,'Table 7-A| Primary APTE'!$C$46*VLOOKUP($AG37,$AX$28:$BL$48,10,FALSE))</f>
        <v>0</v>
      </c>
      <c r="AQ37" s="794">
        <f ca="1">IF($AG37=0,0,'Table 7-A| Primary APTE'!$C$46*VLOOKUP($AG37,$AX$28:$BL$48,11,FALSE))</f>
        <v>0</v>
      </c>
      <c r="AR37" s="794">
        <f ca="1">IF($AG37=0,0,'Table 7-A| Primary APTE'!$C$46*VLOOKUP($AG37,$AX$28:$BL$48,12,FALSE))</f>
        <v>0</v>
      </c>
      <c r="AS37" s="794">
        <f ca="1">IFERROR(IFERROR(1-VLOOKUP('Table 6-A| Controls &amp; Limits'!$K$21,'Emission Controls'!$A$20:$L$33,11,),1)*IF($AG37=0,0,'Table 7-A| Primary APTE'!$C$46*VLOOKUP($AG37,$AX$28:$BL$48,13,FALSE)),0)</f>
        <v>0</v>
      </c>
      <c r="AT37" s="794">
        <f ca="1">IFERROR(IFERROR(1-VLOOKUP('Table 6-A| Controls &amp; Limits'!$K$21,'Emission Controls'!$A$20:$L$33,11,),1)*IF($AG37=0,0,'Table 7-A| Primary APTE'!$C$46*VLOOKUP($AG37,$AX$28:$BL$48,14,FALSE)),0)</f>
        <v>0</v>
      </c>
      <c r="AU37" s="794">
        <f ca="1">IFERROR(IFERROR(1-VLOOKUP('Table 6-A| Controls &amp; Limits'!$K$21,'Emission Controls'!$A$20:$L$33,11,),1)*IF($AG37=0,0,'Table 7-A| Primary APTE'!$C$46*VLOOKUP($AG37,$AX$28:$BL$48,15,FALSE)),0)</f>
        <v>0</v>
      </c>
      <c r="AV37" s="539"/>
      <c r="AW37" s="99"/>
      <c r="AX37" s="66">
        <v>30500213</v>
      </c>
      <c r="AY37" s="68" t="s">
        <v>2395</v>
      </c>
      <c r="AZ37" s="48"/>
      <c r="BA37" s="48"/>
      <c r="BB37" s="794">
        <v>8.3999999999999995E-5</v>
      </c>
      <c r="BC37" s="794">
        <v>2.4000000000000001E-5</v>
      </c>
      <c r="BD37" s="794">
        <v>4.6E-6</v>
      </c>
      <c r="BE37" s="794">
        <v>7.6000000000000001E-6</v>
      </c>
      <c r="BF37" s="794">
        <v>1.2E-5</v>
      </c>
      <c r="BG37" s="794">
        <v>4.6E-6</v>
      </c>
      <c r="BH37" s="794">
        <v>3.8999999999999999E-6</v>
      </c>
      <c r="BI37" s="794">
        <v>0</v>
      </c>
      <c r="BJ37" s="794">
        <v>0</v>
      </c>
      <c r="BK37" s="794">
        <v>0</v>
      </c>
      <c r="BL37" s="794">
        <v>0</v>
      </c>
      <c r="BM37" s="539" t="s">
        <v>2251</v>
      </c>
    </row>
    <row r="38" spans="1:65" s="143" customFormat="1" ht="18" customHeight="1" x14ac:dyDescent="0.2">
      <c r="A38" s="1609"/>
      <c r="B38" s="420" t="str">
        <f>IF(ISBLANK('Table 5-D| MPTE HAP'!B47),"",'Table 5-D| MPTE HAP'!B47)</f>
        <v>Phosphorus</v>
      </c>
      <c r="C38" s="421">
        <f>IF(ISBLANK('Table 5-D| MPTE HAP'!C47),"",'Table 5-D| MPTE HAP'!C47)</f>
        <v>7723140</v>
      </c>
      <c r="D38" s="1597"/>
      <c r="E38" s="1486"/>
      <c r="F38" s="1486"/>
      <c r="G38" s="1486"/>
      <c r="H38" s="1600"/>
      <c r="I38" s="1486"/>
      <c r="J38" s="1606"/>
      <c r="K38" s="1603"/>
      <c r="L38" s="357">
        <f ca="1">AT57</f>
        <v>0</v>
      </c>
      <c r="M38" s="135"/>
      <c r="N38" s="154">
        <f ca="1">SUMIF(C38:$C$60,C38,L38:$L$60)</f>
        <v>0</v>
      </c>
      <c r="Q38" s="124" t="str">
        <f t="shared" si="1"/>
        <v>N/A</v>
      </c>
      <c r="R38" s="124" t="str">
        <f t="shared" si="2"/>
        <v>N/A</v>
      </c>
      <c r="S38" s="430" t="str">
        <f t="shared" si="3"/>
        <v/>
      </c>
      <c r="T38" s="430" t="str">
        <f t="shared" si="4"/>
        <v>N/A</v>
      </c>
      <c r="U38" s="146" t="e">
        <f>IF(AND(NOT(A38=""),NOT(B38=""),NOT(C38=""),NOT(ISBLANK(J38))),VLOOKUP(J38,'Emission Controls'!$A$3:$L$16,11,),IF(AND(A38="",NOT(B38=""),NOT(C38="")),U37,0))</f>
        <v>#N/A</v>
      </c>
      <c r="AC38" s="99">
        <v>57578</v>
      </c>
      <c r="AD38" s="99">
        <f t="shared" si="0"/>
        <v>0</v>
      </c>
      <c r="AG38" s="66">
        <f ca="1">'Table 5-D| MPTE HAP'!AG47</f>
        <v>0</v>
      </c>
      <c r="AH38" s="68" t="s">
        <v>2480</v>
      </c>
      <c r="AI38" s="48"/>
      <c r="AJ38" s="48"/>
      <c r="AK38" s="794">
        <f ca="1">IF($AG38=0,0,'Table 7-A| Primary APTE'!$C$46*VLOOKUP($AG38,$AX$28:$BL$48,5,FALSE))</f>
        <v>0</v>
      </c>
      <c r="AL38" s="794">
        <f ca="1">IF($AG38=0,0,'Table 7-A| Primary APTE'!$C$46*VLOOKUP($AG38,$AX$28:$BL$48,6,FALSE))</f>
        <v>0</v>
      </c>
      <c r="AM38" s="794">
        <f ca="1">IF($AG38=0,0,'Table 7-A| Primary APTE'!$C$46*VLOOKUP($AG38,$AX$28:$BL$48,7,FALSE))</f>
        <v>0</v>
      </c>
      <c r="AN38" s="794">
        <f ca="1">IF($AG38=0,0,'Table 7-A| Primary APTE'!$C$46*VLOOKUP($AG38,$AX$28:$BL$48,8,FALSE))</f>
        <v>0</v>
      </c>
      <c r="AO38" s="794">
        <f ca="1">IF($AG38=0,0,'Table 7-A| Primary APTE'!$C$46*VLOOKUP($AG38,$AX$28:$BL$48,9,FALSE))</f>
        <v>0</v>
      </c>
      <c r="AP38" s="794">
        <f ca="1">IF($AG38=0,0,'Table 7-A| Primary APTE'!$C$46*VLOOKUP($AG38,$AX$28:$BL$48,10,FALSE))</f>
        <v>0</v>
      </c>
      <c r="AQ38" s="794">
        <f ca="1">IF($AG38=0,0,'Table 7-A| Primary APTE'!$C$46*VLOOKUP($AG38,$AX$28:$BL$48,11,FALSE))</f>
        <v>0</v>
      </c>
      <c r="AR38" s="794">
        <f ca="1">IF($AG38=0,0,'Table 7-A| Primary APTE'!$C$46*VLOOKUP($AG38,$AX$28:$BL$48,12,FALSE))</f>
        <v>0</v>
      </c>
      <c r="AS38" s="794">
        <f ca="1">IFERROR(IFERROR(1-VLOOKUP('Table 6-A| Controls &amp; Limits'!$K$21,'Emission Controls'!$A$20:$L$33,11,),1)*IF($AG38=0,0,'Table 7-A| Primary APTE'!$C$46*VLOOKUP($AG38,$AX$28:$BL$48,13,FALSE)),0)</f>
        <v>0</v>
      </c>
      <c r="AT38" s="794">
        <f ca="1">IFERROR(IFERROR(1-VLOOKUP('Table 6-A| Controls &amp; Limits'!$K$21,'Emission Controls'!$A$20:$L$33,11,),1)*IF($AG38=0,0,'Table 7-A| Primary APTE'!$C$46*VLOOKUP($AG38,$AX$28:$BL$48,14,FALSE)),0)</f>
        <v>0</v>
      </c>
      <c r="AU38" s="794">
        <f ca="1">IFERROR(IFERROR(1-VLOOKUP('Table 6-A| Controls &amp; Limits'!$K$21,'Emission Controls'!$A$20:$L$33,11,),1)*IF($AG38=0,0,'Table 7-A| Primary APTE'!$C$46*VLOOKUP($AG38,$AX$28:$BL$48,15,FALSE)),0)</f>
        <v>0</v>
      </c>
      <c r="AV38" s="539"/>
      <c r="AW38" s="99"/>
      <c r="AX38" s="66">
        <v>30500214</v>
      </c>
      <c r="AY38" s="68" t="s">
        <v>2396</v>
      </c>
      <c r="AZ38" s="48"/>
      <c r="BA38" s="48"/>
      <c r="BB38" s="794">
        <v>3.7000000000000002E-6</v>
      </c>
      <c r="BC38" s="794">
        <v>1.7E-5</v>
      </c>
      <c r="BD38" s="794">
        <v>1.2E-5</v>
      </c>
      <c r="BE38" s="794">
        <v>8.6999999999999997E-6</v>
      </c>
      <c r="BF38" s="794">
        <v>6.1999999999999999E-6</v>
      </c>
      <c r="BG38" s="794">
        <v>4.3000000000000003E-6</v>
      </c>
      <c r="BH38" s="794">
        <v>2.2000000000000001E-6</v>
      </c>
      <c r="BI38" s="794">
        <v>0</v>
      </c>
      <c r="BJ38" s="794">
        <v>0</v>
      </c>
      <c r="BK38" s="794">
        <v>0</v>
      </c>
      <c r="BL38" s="794">
        <v>0</v>
      </c>
      <c r="BM38" s="539" t="s">
        <v>2251</v>
      </c>
    </row>
    <row r="39" spans="1:65" s="143" customFormat="1" ht="18" customHeight="1" x14ac:dyDescent="0.2">
      <c r="A39" s="1610"/>
      <c r="B39" s="420" t="str">
        <f>IF(ISBLANK('Table 5-D| MPTE HAP'!B48),"",'Table 5-D| MPTE HAP'!B48)</f>
        <v>Manganese</v>
      </c>
      <c r="C39" s="421">
        <f>IF(ISBLANK('Table 5-D| MPTE HAP'!C48),"",'Table 5-D| MPTE HAP'!C48)</f>
        <v>7439965</v>
      </c>
      <c r="D39" s="1598"/>
      <c r="E39" s="1487"/>
      <c r="F39" s="1487"/>
      <c r="G39" s="1487"/>
      <c r="H39" s="1601"/>
      <c r="I39" s="1487"/>
      <c r="J39" s="1607"/>
      <c r="K39" s="1604"/>
      <c r="L39" s="357">
        <f ca="1">AU57</f>
        <v>0</v>
      </c>
      <c r="M39" s="135"/>
      <c r="N39" s="154">
        <f ca="1">SUMIF(C39:$C$60,C39,L39:$L$60)</f>
        <v>0</v>
      </c>
      <c r="Q39" s="124" t="str">
        <f t="shared" si="1"/>
        <v>N/A</v>
      </c>
      <c r="R39" s="124" t="str">
        <f t="shared" si="2"/>
        <v>N/A</v>
      </c>
      <c r="S39" s="430" t="str">
        <f t="shared" si="3"/>
        <v/>
      </c>
      <c r="T39" s="430" t="str">
        <f t="shared" si="4"/>
        <v>N/A</v>
      </c>
      <c r="U39" s="146" t="e">
        <f>IF(AND(NOT(A39=""),NOT(B39=""),NOT(C39=""),NOT(ISBLANK(J39))),VLOOKUP(J39,'Emission Controls'!$A$3:$L$16,11,),IF(AND(A39="",NOT(B39=""),NOT(C39="")),U38,0))</f>
        <v>#N/A</v>
      </c>
      <c r="AC39" s="99">
        <v>57749</v>
      </c>
      <c r="AD39" s="99">
        <f t="shared" si="0"/>
        <v>0</v>
      </c>
      <c r="AG39" s="66">
        <f ca="1">'Table 5-D| MPTE HAP'!AG48</f>
        <v>0</v>
      </c>
      <c r="AH39" s="68" t="s">
        <v>2481</v>
      </c>
      <c r="AI39" s="48"/>
      <c r="AJ39" s="48"/>
      <c r="AK39" s="794">
        <f ca="1">IF($AG39=0,0,'Table 7-A| Primary APTE'!$C$46*VLOOKUP($AG39,$AX$28:$BL$48,5,FALSE))</f>
        <v>0</v>
      </c>
      <c r="AL39" s="794">
        <f ca="1">IF($AG39=0,0,'Table 7-A| Primary APTE'!$C$46*VLOOKUP($AG39,$AX$28:$BL$48,6,FALSE))</f>
        <v>0</v>
      </c>
      <c r="AM39" s="794">
        <f ca="1">IF($AG39=0,0,'Table 7-A| Primary APTE'!$C$46*VLOOKUP($AG39,$AX$28:$BL$48,7,FALSE))</f>
        <v>0</v>
      </c>
      <c r="AN39" s="794">
        <f ca="1">IF($AG39=0,0,'Table 7-A| Primary APTE'!$C$46*VLOOKUP($AG39,$AX$28:$BL$48,8,FALSE))</f>
        <v>0</v>
      </c>
      <c r="AO39" s="794">
        <f ca="1">IF($AG39=0,0,'Table 7-A| Primary APTE'!$C$46*VLOOKUP($AG39,$AX$28:$BL$48,9,FALSE))</f>
        <v>0</v>
      </c>
      <c r="AP39" s="794">
        <f ca="1">IF($AG39=0,0,'Table 7-A| Primary APTE'!$C$46*VLOOKUP($AG39,$AX$28:$BL$48,10,FALSE))</f>
        <v>0</v>
      </c>
      <c r="AQ39" s="794">
        <f ca="1">IF($AG39=0,0,'Table 7-A| Primary APTE'!$C$46*VLOOKUP($AG39,$AX$28:$BL$48,11,FALSE))</f>
        <v>0</v>
      </c>
      <c r="AR39" s="794">
        <f ca="1">IF($AG39=0,0,'Table 7-A| Primary APTE'!$C$46*VLOOKUP($AG39,$AX$28:$BL$48,12,FALSE))</f>
        <v>0</v>
      </c>
      <c r="AS39" s="794">
        <f ca="1">IFERROR(IFERROR(1-VLOOKUP('Table 6-A| Controls &amp; Limits'!$K$21,'Emission Controls'!$A$20:$L$33,11,),1)*IF($AG39=0,0,'Table 7-A| Primary APTE'!$C$46*VLOOKUP($AG39,$AX$28:$BL$48,13,FALSE)),0)</f>
        <v>0</v>
      </c>
      <c r="AT39" s="794">
        <f ca="1">IFERROR(IFERROR(1-VLOOKUP('Table 6-A| Controls &amp; Limits'!$K$21,'Emission Controls'!$A$20:$L$33,11,),1)*IF($AG39=0,0,'Table 7-A| Primary APTE'!$C$46*VLOOKUP($AG39,$AX$28:$BL$48,14,FALSE)),0)</f>
        <v>0</v>
      </c>
      <c r="AU39" s="794">
        <f ca="1">IFERROR(IFERROR(1-VLOOKUP('Table 6-A| Controls &amp; Limits'!$K$21,'Emission Controls'!$A$20:$L$33,11,),1)*IF($AG39=0,0,'Table 7-A| Primary APTE'!$C$46*VLOOKUP($AG39,$AX$28:$BL$48,15,FALSE)),0)</f>
        <v>0</v>
      </c>
      <c r="AV39" s="539"/>
      <c r="AW39" s="99"/>
      <c r="AX39" s="66">
        <v>30500245</v>
      </c>
      <c r="AY39" s="68" t="s">
        <v>2383</v>
      </c>
      <c r="AZ39" s="48"/>
      <c r="BA39" s="48"/>
      <c r="BB39" s="794">
        <v>7.3999999999999999E-4</v>
      </c>
      <c r="BC39" s="794">
        <v>2.7000000000000001E-3</v>
      </c>
      <c r="BD39" s="794">
        <v>2.2000000000000001E-3</v>
      </c>
      <c r="BE39" s="794">
        <v>1E-3</v>
      </c>
      <c r="BF39" s="794">
        <v>0</v>
      </c>
      <c r="BG39" s="794">
        <v>3.6000000000000001E-5</v>
      </c>
      <c r="BH39" s="794">
        <v>2.7999999999999998E-4</v>
      </c>
      <c r="BI39" s="794">
        <v>3.2000000000000003E-4</v>
      </c>
      <c r="BJ39" s="794">
        <v>5.0100000000000003E-4</v>
      </c>
      <c r="BK39" s="794">
        <v>0</v>
      </c>
      <c r="BL39" s="794">
        <v>1.1523E-3</v>
      </c>
      <c r="BM39" s="539" t="s">
        <v>2251</v>
      </c>
    </row>
    <row r="40" spans="1:65" s="143" customFormat="1" ht="18" customHeight="1" x14ac:dyDescent="0.2">
      <c r="A40" s="419" t="str">
        <f>IF(ISBLANK('Table 5-D| MPTE HAP'!A49),"",'Table 5-D| MPTE HAP'!A49)</f>
        <v/>
      </c>
      <c r="B40" s="420" t="str">
        <f>IF(ISBLANK('Table 5-D| MPTE HAP'!B49),"",'Table 5-D| MPTE HAP'!B49)</f>
        <v/>
      </c>
      <c r="C40" s="421" t="str">
        <f>IF(ISBLANK('Table 5-D| MPTE HAP'!C49),"",'Table 5-D| MPTE HAP'!C49)</f>
        <v/>
      </c>
      <c r="D40" s="530" t="str">
        <f>IF(ISBLANK('Table 5-D| MPTE HAP'!D49),"",'Table 5-D| MPTE HAP'!D49)</f>
        <v/>
      </c>
      <c r="E40" s="351"/>
      <c r="F40" s="351"/>
      <c r="G40" s="399" t="str">
        <f>IF(A40="","",IF('Table 5-D| MPTE HAP'!P49&gt;0,'Table 5-D| MPTE HAP'!P49,""))</f>
        <v/>
      </c>
      <c r="H40" s="355" t="str">
        <f>IF(A40="","",IF('Table 5-D| MPTE HAP'!Q49="","",'Table 5-D| MPTE HAP'!Q49))</f>
        <v/>
      </c>
      <c r="I40" s="351"/>
      <c r="J40" s="356"/>
      <c r="K40" s="400" t="str">
        <f>IF(A40="","",IF('Table 5-D| MPTE HAP'!S49&gt;0,'Table 5-D| MPTE HAP'!S49,""))</f>
        <v/>
      </c>
      <c r="L40" s="357" t="str">
        <f>IFERROR(IF(OR('Table 5-D| MPTE HAP'!L49="",Q40="",R40="",AND(Q40="YES",T40=0),AND(R40="YES",U40=0)),"",IF(Q40="YES",'Table 5-D| MPTE HAP'!L49*(T40/S40),'Table 5-D| MPTE HAP'!L49))*IF(R40="YES",IF(VLOOKUP(C40,'HAP CAS &amp; Names'!$F$4:$H$186,3,)="YES",(1-U40),1),1),"")</f>
        <v/>
      </c>
      <c r="M40" s="135"/>
      <c r="N40" s="154">
        <f>SUMIF(C40:$C$60,C40,L40:$L$60)</f>
        <v>0</v>
      </c>
      <c r="Q40" s="124" t="str">
        <f t="shared" si="1"/>
        <v/>
      </c>
      <c r="R40" s="124" t="str">
        <f t="shared" si="2"/>
        <v/>
      </c>
      <c r="S40" s="430">
        <f t="shared" si="3"/>
        <v>0</v>
      </c>
      <c r="T40" s="430">
        <f t="shared" si="4"/>
        <v>0</v>
      </c>
      <c r="U40" s="146">
        <f>IF(AND(NOT(A40=""),NOT(B40=""),NOT(C40=""),NOT(ISBLANK(J40))),VLOOKUP(J40,'Emission Controls'!$A$3:$L$16,11,),IF(AND(A40="",NOT(B40=""),NOT(C40="")),U39,0))</f>
        <v>0</v>
      </c>
      <c r="AC40" s="99">
        <v>58899</v>
      </c>
      <c r="AD40" s="99">
        <f t="shared" si="0"/>
        <v>0</v>
      </c>
      <c r="AG40" s="66">
        <f ca="1">'Table 5-D| MPTE HAP'!AG49</f>
        <v>0</v>
      </c>
      <c r="AH40" s="68" t="s">
        <v>2482</v>
      </c>
      <c r="AI40" s="48"/>
      <c r="AJ40" s="48"/>
      <c r="AK40" s="794">
        <f ca="1">IF($AG40=0,0,'Table 7-A| Primary APTE'!$C$60*VLOOKUP($AG40,$AX$28:$BL$48,5,FALSE))</f>
        <v>0</v>
      </c>
      <c r="AL40" s="794">
        <f ca="1">IF($AG40=0,0,'Table 7-A| Primary APTE'!$C$60*VLOOKUP($AG40,$AX$28:$BL$48,6,FALSE))</f>
        <v>0</v>
      </c>
      <c r="AM40" s="794">
        <f ca="1">IF($AG40=0,0,'Table 7-A| Primary APTE'!$C$60*VLOOKUP($AG40,$AX$28:$BL$48,7,FALSE))</f>
        <v>0</v>
      </c>
      <c r="AN40" s="794">
        <f ca="1">IF($AG40=0,0,'Table 7-A| Primary APTE'!$C$60*VLOOKUP($AG40,$AX$28:$BL$48,8,FALSE))</f>
        <v>0</v>
      </c>
      <c r="AO40" s="794">
        <f ca="1">IF($AG40=0,0,'Table 7-A| Primary APTE'!$C$60*VLOOKUP($AG40,$AX$28:$BL$48,9,FALSE))</f>
        <v>0</v>
      </c>
      <c r="AP40" s="794">
        <f ca="1">IF($AG40=0,0,'Table 7-A| Primary APTE'!$C$60*VLOOKUP($AG40,$AX$28:$BL$48,10,FALSE))</f>
        <v>0</v>
      </c>
      <c r="AQ40" s="794">
        <f ca="1">IF($AG40=0,0,'Table 7-A| Primary APTE'!$C$60*VLOOKUP($AG40,$AX$28:$BL$48,11,FALSE))</f>
        <v>0</v>
      </c>
      <c r="AR40" s="794">
        <f ca="1">IF($AG40=0,0,'Table 7-A| Primary APTE'!$C$60*VLOOKUP($AG40,$AX$28:$BL$48,12,FALSE))</f>
        <v>0</v>
      </c>
      <c r="AS40" s="794">
        <f ca="1">IF($AG40=0,0,'Table 7-A| Primary APTE'!$C$60*VLOOKUP($AG40,$AX$28:$BL$48,13,FALSE))</f>
        <v>0</v>
      </c>
      <c r="AT40" s="794">
        <f ca="1">IF($AG40=0,0,'Table 7-A| Primary APTE'!$C$60*VLOOKUP($AG40,$AX$28:$BL$48,14,FALSE))</f>
        <v>0</v>
      </c>
      <c r="AU40" s="794">
        <f ca="1">IF($AG40=0,0,'Table 7-A| Primary APTE'!$C$60*VLOOKUP($AG40,$AX$28:$BL$48,15,FALSE))</f>
        <v>0</v>
      </c>
      <c r="AV40" s="539"/>
      <c r="AW40" s="99"/>
      <c r="AX40" s="66">
        <v>30500246</v>
      </c>
      <c r="AY40" s="68" t="s">
        <v>2384</v>
      </c>
      <c r="AZ40" s="48"/>
      <c r="BA40" s="48"/>
      <c r="BB40" s="794">
        <v>7.3999999999999999E-4</v>
      </c>
      <c r="BC40" s="794">
        <v>2.7000000000000001E-3</v>
      </c>
      <c r="BD40" s="794">
        <v>2.2000000000000001E-3</v>
      </c>
      <c r="BE40" s="794">
        <v>1E-3</v>
      </c>
      <c r="BF40" s="794">
        <v>0</v>
      </c>
      <c r="BG40" s="794">
        <v>3.6000000000000001E-5</v>
      </c>
      <c r="BH40" s="794">
        <v>2.7999999999999998E-4</v>
      </c>
      <c r="BI40" s="794">
        <v>3.2000000000000003E-4</v>
      </c>
      <c r="BJ40" s="794">
        <v>5.0100000000000003E-4</v>
      </c>
      <c r="BK40" s="794">
        <v>0</v>
      </c>
      <c r="BL40" s="794">
        <v>1.1523E-3</v>
      </c>
      <c r="BM40" s="539" t="s">
        <v>2251</v>
      </c>
    </row>
    <row r="41" spans="1:65" s="143" customFormat="1" ht="18" customHeight="1" x14ac:dyDescent="0.2">
      <c r="A41" s="419" t="str">
        <f>IF(ISBLANK('Table 5-D| MPTE HAP'!A50),"",'Table 5-D| MPTE HAP'!A50)</f>
        <v/>
      </c>
      <c r="B41" s="420" t="str">
        <f>IF(ISBLANK('Table 5-D| MPTE HAP'!B50),"",'Table 5-D| MPTE HAP'!B50)</f>
        <v/>
      </c>
      <c r="C41" s="421" t="str">
        <f>IF(ISBLANK('Table 5-D| MPTE HAP'!C50),"",'Table 5-D| MPTE HAP'!C50)</f>
        <v/>
      </c>
      <c r="D41" s="530" t="str">
        <f>IF(ISBLANK('Table 5-D| MPTE HAP'!D50),"",'Table 5-D| MPTE HAP'!D50)</f>
        <v/>
      </c>
      <c r="E41" s="351"/>
      <c r="F41" s="351"/>
      <c r="G41" s="399" t="str">
        <f>IF(A41="","",IF('Table 5-D| MPTE HAP'!P50&gt;0,'Table 5-D| MPTE HAP'!P50,""))</f>
        <v/>
      </c>
      <c r="H41" s="355" t="str">
        <f>IF(A41="","",IF('Table 5-D| MPTE HAP'!Q50="","",'Table 5-D| MPTE HAP'!Q50))</f>
        <v/>
      </c>
      <c r="I41" s="351"/>
      <c r="J41" s="356"/>
      <c r="K41" s="400" t="str">
        <f>IF(A41="","",IF('Table 5-D| MPTE HAP'!S50&gt;0,'Table 5-D| MPTE HAP'!S50,""))</f>
        <v/>
      </c>
      <c r="L41" s="357" t="str">
        <f>IFERROR(IF(OR('Table 5-D| MPTE HAP'!L50="",Q41="",R41="",AND(Q41="YES",T41=0),AND(R41="YES",U41=0)),"",IF(Q41="YES",'Table 5-D| MPTE HAP'!L50*(T41/S41),'Table 5-D| MPTE HAP'!L50))*IF(R41="YES",IF(VLOOKUP(C41,'HAP CAS &amp; Names'!$F$4:$H$186,3,)="YES",(1-U41),1),1),"")</f>
        <v/>
      </c>
      <c r="M41" s="135"/>
      <c r="N41" s="154">
        <f>SUMIF(C41:$C$60,C41,L41:$L$60)</f>
        <v>0</v>
      </c>
      <c r="Q41" s="124" t="str">
        <f t="shared" si="1"/>
        <v/>
      </c>
      <c r="R41" s="124" t="str">
        <f t="shared" si="2"/>
        <v/>
      </c>
      <c r="S41" s="430">
        <f t="shared" si="3"/>
        <v>0</v>
      </c>
      <c r="T41" s="430">
        <f t="shared" si="4"/>
        <v>0</v>
      </c>
      <c r="U41" s="146">
        <f>IF(AND(NOT(A41=""),NOT(B41=""),NOT(C41=""),NOT(ISBLANK(J41))),VLOOKUP(J41,'Emission Controls'!$A$3:$L$16,11,),IF(AND(A41="",NOT(B41=""),NOT(C41="")),U40,0))</f>
        <v>0</v>
      </c>
      <c r="AC41" s="99">
        <v>59892</v>
      </c>
      <c r="AD41" s="99">
        <f t="shared" si="0"/>
        <v>0</v>
      </c>
      <c r="AG41" s="66">
        <f ca="1">'Table 5-D| MPTE HAP'!AG50</f>
        <v>0</v>
      </c>
      <c r="AH41" s="68" t="s">
        <v>2483</v>
      </c>
      <c r="AI41" s="48"/>
      <c r="AJ41" s="48"/>
      <c r="AK41" s="794">
        <f ca="1">IF($AG41=0,0,'Table 7-A| Primary APTE'!$C$61*VLOOKUP($AG41,$AX$28:$BL$48,5,FALSE))</f>
        <v>0</v>
      </c>
      <c r="AL41" s="794">
        <f ca="1">IF($AG41=0,0,'Table 7-A| Primary APTE'!$C$61*VLOOKUP($AG41,$AX$28:$BL$48,6,FALSE))</f>
        <v>0</v>
      </c>
      <c r="AM41" s="794">
        <f ca="1">IF($AG41=0,0,'Table 7-A| Primary APTE'!$C$61*VLOOKUP($AG41,$AX$28:$BL$48,7,FALSE))</f>
        <v>0</v>
      </c>
      <c r="AN41" s="794">
        <f ca="1">IF($AG41=0,0,'Table 7-A| Primary APTE'!$C$61*VLOOKUP($AG41,$AX$28:$BL$48,8,FALSE))</f>
        <v>0</v>
      </c>
      <c r="AO41" s="794">
        <f ca="1">IF($AG41=0,0,'Table 7-A| Primary APTE'!$C$61*VLOOKUP($AG41,$AX$28:$BL$48,9,FALSE))</f>
        <v>0</v>
      </c>
      <c r="AP41" s="794">
        <f ca="1">IF($AG41=0,0,'Table 7-A| Primary APTE'!$C$61*VLOOKUP($AG41,$AX$28:$BL$48,10,FALSE))</f>
        <v>0</v>
      </c>
      <c r="AQ41" s="794">
        <f ca="1">IF($AG41=0,0,'Table 7-A| Primary APTE'!$C$61*VLOOKUP($AG41,$AX$28:$BL$48,11,FALSE))</f>
        <v>0</v>
      </c>
      <c r="AR41" s="794">
        <f ca="1">IF($AG41=0,0,'Table 7-A| Primary APTE'!$C$61*VLOOKUP($AG41,$AX$28:$BL$48,12,FALSE))</f>
        <v>0</v>
      </c>
      <c r="AS41" s="794">
        <f ca="1">IF($AG41=0,0,'Table 7-A| Primary APTE'!$C$61*VLOOKUP($AG41,$AX$28:$BL$48,13,FALSE))</f>
        <v>0</v>
      </c>
      <c r="AT41" s="794">
        <f ca="1">IF($AG41=0,0,'Table 7-A| Primary APTE'!$C$61*VLOOKUP($AG41,$AX$28:$BL$48,14,FALSE))</f>
        <v>0</v>
      </c>
      <c r="AU41" s="794">
        <f ca="1">IF($AG41=0,0,'Table 7-A| Primary APTE'!$C$61*VLOOKUP($AG41,$AX$28:$BL$48,15,FALSE))</f>
        <v>0</v>
      </c>
      <c r="AV41" s="539"/>
      <c r="AW41" s="99"/>
      <c r="AX41" s="66">
        <v>30500247</v>
      </c>
      <c r="AY41" s="68" t="s">
        <v>2385</v>
      </c>
      <c r="AZ41" s="48"/>
      <c r="BA41" s="48"/>
      <c r="BB41" s="794">
        <v>7.3999999999999999E-4</v>
      </c>
      <c r="BC41" s="794">
        <v>2.7000000000000001E-3</v>
      </c>
      <c r="BD41" s="794">
        <v>2.2000000000000001E-3</v>
      </c>
      <c r="BE41" s="794">
        <v>1E-3</v>
      </c>
      <c r="BF41" s="794">
        <v>0</v>
      </c>
      <c r="BG41" s="794">
        <v>3.6000000000000001E-5</v>
      </c>
      <c r="BH41" s="794">
        <v>2.7999999999999998E-4</v>
      </c>
      <c r="BI41" s="794">
        <v>3.2000000000000003E-4</v>
      </c>
      <c r="BJ41" s="794">
        <v>5.0100000000000003E-4</v>
      </c>
      <c r="BK41" s="794">
        <v>0</v>
      </c>
      <c r="BL41" s="794">
        <v>1.1523E-3</v>
      </c>
      <c r="BM41" s="539" t="s">
        <v>2251</v>
      </c>
    </row>
    <row r="42" spans="1:65" s="143" customFormat="1" ht="18" customHeight="1" x14ac:dyDescent="0.2">
      <c r="A42" s="419" t="str">
        <f>IF(ISBLANK('Table 5-D| MPTE HAP'!A51),"",'Table 5-D| MPTE HAP'!A51)</f>
        <v/>
      </c>
      <c r="B42" s="420" t="str">
        <f>IF(ISBLANK('Table 5-D| MPTE HAP'!B51),"",'Table 5-D| MPTE HAP'!B51)</f>
        <v/>
      </c>
      <c r="C42" s="421" t="str">
        <f>IF(ISBLANK('Table 5-D| MPTE HAP'!C51),"",'Table 5-D| MPTE HAP'!C51)</f>
        <v/>
      </c>
      <c r="D42" s="530" t="str">
        <f>IF(ISBLANK('Table 5-D| MPTE HAP'!D51),"",'Table 5-D| MPTE HAP'!D51)</f>
        <v/>
      </c>
      <c r="E42" s="351"/>
      <c r="F42" s="351"/>
      <c r="G42" s="399" t="str">
        <f>IF(A42="","",IF('Table 5-D| MPTE HAP'!P51&gt;0,'Table 5-D| MPTE HAP'!P51,""))</f>
        <v/>
      </c>
      <c r="H42" s="355" t="str">
        <f>IF(A42="","",IF('Table 5-D| MPTE HAP'!Q51="","",'Table 5-D| MPTE HAP'!Q51))</f>
        <v/>
      </c>
      <c r="I42" s="351"/>
      <c r="J42" s="356"/>
      <c r="K42" s="400" t="str">
        <f>IF(A42="","",IF('Table 5-D| MPTE HAP'!S51&gt;0,'Table 5-D| MPTE HAP'!S51,""))</f>
        <v/>
      </c>
      <c r="L42" s="357" t="str">
        <f>IFERROR(IF(OR('Table 5-D| MPTE HAP'!L51="",Q42="",R42="",AND(Q42="YES",T42=0),AND(R42="YES",U42=0)),"",IF(Q42="YES",'Table 5-D| MPTE HAP'!L51*(T42/S42),'Table 5-D| MPTE HAP'!L51))*IF(R42="YES",IF(VLOOKUP(C42,'HAP CAS &amp; Names'!$F$4:$H$186,3,)="YES",(1-U42),1),1),"")</f>
        <v/>
      </c>
      <c r="M42" s="135"/>
      <c r="N42" s="154">
        <f>SUMIF(C42:$C$60,C42,L42:$L$60)</f>
        <v>0</v>
      </c>
      <c r="Q42" s="124" t="str">
        <f t="shared" si="1"/>
        <v/>
      </c>
      <c r="R42" s="124" t="str">
        <f t="shared" si="2"/>
        <v/>
      </c>
      <c r="S42" s="430">
        <f t="shared" si="3"/>
        <v>0</v>
      </c>
      <c r="T42" s="430">
        <f t="shared" si="4"/>
        <v>0</v>
      </c>
      <c r="U42" s="146">
        <f>IF(AND(NOT(A42=""),NOT(B42=""),NOT(C42=""),NOT(ISBLANK(J42))),VLOOKUP(J42,'Emission Controls'!$A$3:$L$16,11,),IF(AND(A42="",NOT(B42=""),NOT(C42="")),U41,0))</f>
        <v>0</v>
      </c>
      <c r="AC42" s="99">
        <v>60117</v>
      </c>
      <c r="AD42" s="99">
        <f t="shared" si="0"/>
        <v>0</v>
      </c>
      <c r="AG42" s="66">
        <f ca="1">'Table 5-D| MPTE HAP'!AG51</f>
        <v>0</v>
      </c>
      <c r="AH42" s="68" t="s">
        <v>2484</v>
      </c>
      <c r="AI42" s="48"/>
      <c r="AJ42" s="48"/>
      <c r="AK42" s="794">
        <f ca="1">IF($AG42=0,0,'Table 7-A| Primary APTE'!$C$62*VLOOKUP($AG42,$AX$28:$BL$48,5,FALSE))</f>
        <v>0</v>
      </c>
      <c r="AL42" s="794">
        <f ca="1">IF($AG42=0,0,'Table 7-A| Primary APTE'!$C$62*VLOOKUP($AG42,$AX$28:$BL$48,6,FALSE))</f>
        <v>0</v>
      </c>
      <c r="AM42" s="794">
        <f ca="1">IF($AG42=0,0,'Table 7-A| Primary APTE'!$C$62*VLOOKUP($AG42,$AX$28:$BL$48,7,FALSE))</f>
        <v>0</v>
      </c>
      <c r="AN42" s="794">
        <f ca="1">IF($AG42=0,0,'Table 7-A| Primary APTE'!$C$62*VLOOKUP($AG42,$AX$28:$BL$48,8,FALSE))</f>
        <v>0</v>
      </c>
      <c r="AO42" s="794">
        <f ca="1">IF($AG42=0,0,'Table 7-A| Primary APTE'!$C$62*VLOOKUP($AG42,$AX$28:$BL$48,9,FALSE))</f>
        <v>0</v>
      </c>
      <c r="AP42" s="794">
        <f ca="1">IF($AG42=0,0,'Table 7-A| Primary APTE'!$C$62*VLOOKUP($AG42,$AX$28:$BL$48,10,FALSE))</f>
        <v>0</v>
      </c>
      <c r="AQ42" s="794">
        <f ca="1">IF($AG42=0,0,'Table 7-A| Primary APTE'!$C$62*VLOOKUP($AG42,$AX$28:$BL$48,11,FALSE))</f>
        <v>0</v>
      </c>
      <c r="AR42" s="794">
        <f ca="1">IF($AG42=0,0,'Table 7-A| Primary APTE'!$C$62*VLOOKUP($AG42,$AX$28:$BL$48,12,FALSE))</f>
        <v>0</v>
      </c>
      <c r="AS42" s="794">
        <f ca="1">IF($AG42=0,0,'Table 7-A| Primary APTE'!$C$62*VLOOKUP($AG42,$AX$28:$BL$48,13,FALSE))</f>
        <v>0</v>
      </c>
      <c r="AT42" s="794">
        <f ca="1">IF($AG42=0,0,'Table 7-A| Primary APTE'!$C$62*VLOOKUP($AG42,$AX$28:$BL$48,14,FALSE))</f>
        <v>0</v>
      </c>
      <c r="AU42" s="794">
        <f ca="1">IF($AG42=0,0,'Table 7-A| Primary APTE'!$C$62*VLOOKUP($AG42,$AX$28:$BL$48,15,FALSE))</f>
        <v>0</v>
      </c>
      <c r="AV42" s="539"/>
      <c r="AW42" s="99"/>
      <c r="AX42" s="66">
        <v>30500256</v>
      </c>
      <c r="AY42" s="68" t="s">
        <v>2388</v>
      </c>
      <c r="AZ42" s="48"/>
      <c r="BA42" s="48"/>
      <c r="BB42" s="794">
        <v>3.0999999999999999E-3</v>
      </c>
      <c r="BC42" s="794">
        <v>2.0000000000000001E-4</v>
      </c>
      <c r="BD42" s="794">
        <v>2.4000000000000001E-4</v>
      </c>
      <c r="BE42" s="794">
        <v>1.4999999999999999E-4</v>
      </c>
      <c r="BF42" s="794">
        <v>9.2000000000000003E-4</v>
      </c>
      <c r="BG42" s="794">
        <v>9.0000000000000006E-5</v>
      </c>
      <c r="BH42" s="794">
        <v>3.8999999999999999E-4</v>
      </c>
      <c r="BI42" s="794">
        <v>0</v>
      </c>
      <c r="BJ42" s="794">
        <v>1.7829278582477855E-2</v>
      </c>
      <c r="BK42" s="794">
        <v>7.9240000000000005E-3</v>
      </c>
      <c r="BL42" s="794">
        <v>2.1791000000000002E-3</v>
      </c>
      <c r="BM42" s="539" t="s">
        <v>2251</v>
      </c>
    </row>
    <row r="43" spans="1:65" s="143" customFormat="1" ht="18" customHeight="1" x14ac:dyDescent="0.2">
      <c r="A43" s="419" t="str">
        <f>IF(ISBLANK('Table 5-D| MPTE HAP'!A52),"",'Table 5-D| MPTE HAP'!A52)</f>
        <v/>
      </c>
      <c r="B43" s="420" t="str">
        <f>IF(ISBLANK('Table 5-D| MPTE HAP'!B52),"",'Table 5-D| MPTE HAP'!B52)</f>
        <v/>
      </c>
      <c r="C43" s="421" t="str">
        <f>IF(ISBLANK('Table 5-D| MPTE HAP'!C52),"",'Table 5-D| MPTE HAP'!C52)</f>
        <v/>
      </c>
      <c r="D43" s="530" t="str">
        <f>IF(ISBLANK('Table 5-D| MPTE HAP'!D52),"",'Table 5-D| MPTE HAP'!D52)</f>
        <v/>
      </c>
      <c r="E43" s="351"/>
      <c r="F43" s="351"/>
      <c r="G43" s="399" t="str">
        <f>IF(A43="","",IF('Table 5-D| MPTE HAP'!P52&gt;0,'Table 5-D| MPTE HAP'!P52,""))</f>
        <v/>
      </c>
      <c r="H43" s="355" t="str">
        <f>IF(A43="","",IF('Table 5-D| MPTE HAP'!Q52="","",'Table 5-D| MPTE HAP'!Q52))</f>
        <v/>
      </c>
      <c r="I43" s="351"/>
      <c r="J43" s="356"/>
      <c r="K43" s="400" t="str">
        <f>IF(A43="","",IF('Table 5-D| MPTE HAP'!S52&gt;0,'Table 5-D| MPTE HAP'!S52,""))</f>
        <v/>
      </c>
      <c r="L43" s="357" t="str">
        <f>IFERROR(IF(OR('Table 5-D| MPTE HAP'!L52="",Q43="",R43="",AND(Q43="YES",T43=0),AND(R43="YES",U43=0)),"",IF(Q43="YES",'Table 5-D| MPTE HAP'!L52*(T43/S43),'Table 5-D| MPTE HAP'!L52))*IF(R43="YES",IF(VLOOKUP(C43,'HAP CAS &amp; Names'!$F$4:$H$186,3,)="YES",(1-U43),1),1),"")</f>
        <v/>
      </c>
      <c r="M43" s="135"/>
      <c r="N43" s="154">
        <f>SUMIF(C43:$C$60,C43,L43:$L$60)</f>
        <v>0</v>
      </c>
      <c r="Q43" s="124" t="str">
        <f t="shared" si="1"/>
        <v/>
      </c>
      <c r="R43" s="124" t="str">
        <f t="shared" si="2"/>
        <v/>
      </c>
      <c r="S43" s="430">
        <f t="shared" si="3"/>
        <v>0</v>
      </c>
      <c r="T43" s="430">
        <f t="shared" si="4"/>
        <v>0</v>
      </c>
      <c r="U43" s="146">
        <f>IF(AND(NOT(A43=""),NOT(B43=""),NOT(C43=""),NOT(ISBLANK(J43))),VLOOKUP(J43,'Emission Controls'!$A$3:$L$16,11,),IF(AND(A43="",NOT(B43=""),NOT(C43="")),U42,0))</f>
        <v>0</v>
      </c>
      <c r="AC43" s="99">
        <v>60344</v>
      </c>
      <c r="AD43" s="99">
        <f t="shared" si="0"/>
        <v>0</v>
      </c>
      <c r="AG43" s="66">
        <f ca="1">'Table 5-D| MPTE HAP'!AG52</f>
        <v>0</v>
      </c>
      <c r="AH43" s="68" t="s">
        <v>2485</v>
      </c>
      <c r="AI43" s="48"/>
      <c r="AJ43" s="48"/>
      <c r="AK43" s="794">
        <f ca="1">IF($AG43=0,0,'Table 7-A| Primary APTE'!$C$63*VLOOKUP($AG43,$AX$28:$BL$48,5,FALSE))</f>
        <v>0</v>
      </c>
      <c r="AL43" s="794">
        <f ca="1">IF($AG43=0,0,'Table 7-A| Primary APTE'!$C$63*VLOOKUP($AG43,$AX$28:$BL$48,6,FALSE))</f>
        <v>0</v>
      </c>
      <c r="AM43" s="794">
        <f ca="1">IF($AG43=0,0,'Table 7-A| Primary APTE'!$C$63*VLOOKUP($AG43,$AX$28:$BL$48,7,FALSE))</f>
        <v>0</v>
      </c>
      <c r="AN43" s="794">
        <f ca="1">IF($AG43=0,0,'Table 7-A| Primary APTE'!$C$63*VLOOKUP($AG43,$AX$28:$BL$48,8,FALSE))</f>
        <v>0</v>
      </c>
      <c r="AO43" s="794">
        <f ca="1">IF($AG43=0,0,'Table 7-A| Primary APTE'!$C$63*VLOOKUP($AG43,$AX$28:$BL$48,9,FALSE))</f>
        <v>0</v>
      </c>
      <c r="AP43" s="794">
        <f ca="1">IF($AG43=0,0,'Table 7-A| Primary APTE'!$C$63*VLOOKUP($AG43,$AX$28:$BL$48,10,FALSE))</f>
        <v>0</v>
      </c>
      <c r="AQ43" s="794">
        <f ca="1">IF($AG43=0,0,'Table 7-A| Primary APTE'!$C$63*VLOOKUP($AG43,$AX$28:$BL$48,11,FALSE))</f>
        <v>0</v>
      </c>
      <c r="AR43" s="794">
        <f ca="1">IF($AG43=0,0,'Table 7-A| Primary APTE'!$C$63*VLOOKUP($AG43,$AX$28:$BL$48,12,FALSE))</f>
        <v>0</v>
      </c>
      <c r="AS43" s="794">
        <f ca="1">IF($AG43=0,0,'Table 7-A| Primary APTE'!$C$63*VLOOKUP($AG43,$AX$28:$BL$48,13,FALSE))</f>
        <v>0</v>
      </c>
      <c r="AT43" s="794">
        <f ca="1">IF($AG43=0,0,'Table 7-A| Primary APTE'!$C$63*VLOOKUP($AG43,$AX$28:$BL$48,14,FALSE))</f>
        <v>0</v>
      </c>
      <c r="AU43" s="794">
        <f ca="1">IF($AG43=0,0,'Table 7-A| Primary APTE'!$C$63*VLOOKUP($AG43,$AX$28:$BL$48,15,FALSE))</f>
        <v>0</v>
      </c>
      <c r="AV43" s="539"/>
      <c r="AW43" s="99"/>
      <c r="AX43" s="66">
        <v>30500257</v>
      </c>
      <c r="AY43" s="68" t="s">
        <v>2389</v>
      </c>
      <c r="AZ43" s="48"/>
      <c r="BA43" s="48"/>
      <c r="BB43" s="794">
        <v>3.0999999999999999E-3</v>
      </c>
      <c r="BC43" s="794">
        <v>2.0000000000000001E-4</v>
      </c>
      <c r="BD43" s="794">
        <v>2.4000000000000001E-4</v>
      </c>
      <c r="BE43" s="794">
        <v>1.4999999999999999E-4</v>
      </c>
      <c r="BF43" s="794">
        <v>9.2000000000000003E-4</v>
      </c>
      <c r="BG43" s="794">
        <v>9.0000000000000006E-5</v>
      </c>
      <c r="BH43" s="794">
        <v>3.8999999999999999E-4</v>
      </c>
      <c r="BI43" s="794">
        <v>0</v>
      </c>
      <c r="BJ43" s="794">
        <v>1.7829278582477855E-2</v>
      </c>
      <c r="BK43" s="794">
        <v>7.9240000000000005E-3</v>
      </c>
      <c r="BL43" s="794">
        <v>2.1791000000000002E-3</v>
      </c>
      <c r="BM43" s="539" t="s">
        <v>2251</v>
      </c>
    </row>
    <row r="44" spans="1:65" s="143" customFormat="1" ht="18" customHeight="1" thickBot="1" x14ac:dyDescent="0.25">
      <c r="A44" s="419" t="str">
        <f>IF(ISBLANK('Table 5-D| MPTE HAP'!A53),"",'Table 5-D| MPTE HAP'!A53)</f>
        <v/>
      </c>
      <c r="B44" s="420" t="str">
        <f>IF(ISBLANK('Table 5-D| MPTE HAP'!B53),"",'Table 5-D| MPTE HAP'!B53)</f>
        <v/>
      </c>
      <c r="C44" s="421" t="str">
        <f>IF(ISBLANK('Table 5-D| MPTE HAP'!C53),"",'Table 5-D| MPTE HAP'!C53)</f>
        <v/>
      </c>
      <c r="D44" s="530" t="str">
        <f>IF(ISBLANK('Table 5-D| MPTE HAP'!D53),"",'Table 5-D| MPTE HAP'!D53)</f>
        <v/>
      </c>
      <c r="E44" s="351"/>
      <c r="F44" s="351"/>
      <c r="G44" s="399" t="str">
        <f>IF(A44="","",IF('Table 5-D| MPTE HAP'!P53&gt;0,'Table 5-D| MPTE HAP'!P53,""))</f>
        <v/>
      </c>
      <c r="H44" s="355" t="str">
        <f>IF(A44="","",IF('Table 5-D| MPTE HAP'!Q53="","",'Table 5-D| MPTE HAP'!Q53))</f>
        <v/>
      </c>
      <c r="I44" s="351"/>
      <c r="J44" s="356"/>
      <c r="K44" s="400" t="str">
        <f>IF(A44="","",IF('Table 5-D| MPTE HAP'!S53&gt;0,'Table 5-D| MPTE HAP'!S53,""))</f>
        <v/>
      </c>
      <c r="L44" s="357" t="str">
        <f>IFERROR(IF(OR('Table 5-D| MPTE HAP'!L53="",Q44="",R44="",AND(Q44="YES",T44=0),AND(R44="YES",U44=0)),"",IF(Q44="YES",'Table 5-D| MPTE HAP'!L53*(T44/S44),'Table 5-D| MPTE HAP'!L53))*IF(R44="YES",IF(VLOOKUP(C44,'HAP CAS &amp; Names'!$F$4:$H$186,3,)="YES",(1-U44),1),1),"")</f>
        <v/>
      </c>
      <c r="M44" s="135"/>
      <c r="N44" s="154">
        <f>SUMIF(C44:$C$60,C44,L44:$L$60)</f>
        <v>0</v>
      </c>
      <c r="Q44" s="124" t="str">
        <f t="shared" si="1"/>
        <v/>
      </c>
      <c r="R44" s="124" t="str">
        <f t="shared" si="2"/>
        <v/>
      </c>
      <c r="S44" s="430">
        <f t="shared" si="3"/>
        <v>0</v>
      </c>
      <c r="T44" s="430">
        <f t="shared" si="4"/>
        <v>0</v>
      </c>
      <c r="U44" s="146">
        <f>IF(AND(NOT(A44=""),NOT(B44=""),NOT(C44=""),NOT(ISBLANK(J44))),VLOOKUP(J44,'Emission Controls'!$A$3:$L$16,11,),IF(AND(A44="",NOT(B44=""),NOT(C44="")),U43,0))</f>
        <v>0</v>
      </c>
      <c r="AC44" s="99">
        <v>60355</v>
      </c>
      <c r="AD44" s="99">
        <f t="shared" si="0"/>
        <v>0</v>
      </c>
      <c r="AG44" s="66"/>
      <c r="AH44" s="68"/>
      <c r="AI44" s="48"/>
      <c r="AJ44" s="48"/>
      <c r="AK44" s="99"/>
      <c r="AL44" s="99"/>
      <c r="AM44" s="99"/>
      <c r="AN44" s="99"/>
      <c r="AO44" s="99"/>
      <c r="AP44" s="99"/>
      <c r="AQ44" s="99"/>
      <c r="AR44" s="99"/>
      <c r="AS44" s="99"/>
      <c r="AT44" s="99"/>
      <c r="AU44" s="99"/>
      <c r="AV44" s="539"/>
      <c r="AW44" s="99"/>
      <c r="AX44" s="66">
        <v>30500259</v>
      </c>
      <c r="AY44" s="68" t="s">
        <v>2390</v>
      </c>
      <c r="AZ44" s="48"/>
      <c r="BA44" s="48"/>
      <c r="BB44" s="794">
        <v>3.0999999999999999E-3</v>
      </c>
      <c r="BC44" s="794">
        <v>2.0000000000000001E-4</v>
      </c>
      <c r="BD44" s="794">
        <v>2.4000000000000001E-4</v>
      </c>
      <c r="BE44" s="794">
        <v>2.8999999999999998E-3</v>
      </c>
      <c r="BF44" s="794">
        <v>9.2000000000000003E-4</v>
      </c>
      <c r="BG44" s="794">
        <v>6.4999999999999997E-4</v>
      </c>
      <c r="BH44" s="794">
        <v>3.8999999999999999E-4</v>
      </c>
      <c r="BI44" s="794">
        <v>0</v>
      </c>
      <c r="BJ44" s="794">
        <v>1.2999999999999999E-3</v>
      </c>
      <c r="BK44" s="794">
        <v>1.1999999999999999E-3</v>
      </c>
      <c r="BL44" s="794">
        <v>6.4999999999999997E-4</v>
      </c>
      <c r="BM44" s="539" t="s">
        <v>2251</v>
      </c>
    </row>
    <row r="45" spans="1:65" s="143" customFormat="1" ht="18" customHeight="1" thickBot="1" x14ac:dyDescent="0.25">
      <c r="A45" s="419" t="str">
        <f>IF(ISBLANK('Table 5-D| MPTE HAP'!A54),"",'Table 5-D| MPTE HAP'!A54)</f>
        <v/>
      </c>
      <c r="B45" s="420" t="str">
        <f>IF(ISBLANK('Table 5-D| MPTE HAP'!B54),"",'Table 5-D| MPTE HAP'!B54)</f>
        <v/>
      </c>
      <c r="C45" s="421" t="str">
        <f>IF(ISBLANK('Table 5-D| MPTE HAP'!C54),"",'Table 5-D| MPTE HAP'!C54)</f>
        <v/>
      </c>
      <c r="D45" s="530" t="str">
        <f>IF(ISBLANK('Table 5-D| MPTE HAP'!D54),"",'Table 5-D| MPTE HAP'!D54)</f>
        <v/>
      </c>
      <c r="E45" s="351"/>
      <c r="F45" s="351"/>
      <c r="G45" s="399" t="str">
        <f>IF(A45="","",IF('Table 5-D| MPTE HAP'!P54&gt;0,'Table 5-D| MPTE HAP'!P54,""))</f>
        <v/>
      </c>
      <c r="H45" s="355" t="str">
        <f>IF(A45="","",IF('Table 5-D| MPTE HAP'!Q54="","",'Table 5-D| MPTE HAP'!Q54))</f>
        <v/>
      </c>
      <c r="I45" s="351"/>
      <c r="J45" s="356"/>
      <c r="K45" s="400" t="str">
        <f>IF(A45="","",IF('Table 5-D| MPTE HAP'!S54&gt;0,'Table 5-D| MPTE HAP'!S54,""))</f>
        <v/>
      </c>
      <c r="L45" s="357" t="str">
        <f>IFERROR(IF(OR('Table 5-D| MPTE HAP'!L54="",Q45="",R45="",AND(Q45="YES",T45=0),AND(R45="YES",U45=0)),"",IF(Q45="YES",'Table 5-D| MPTE HAP'!L54*(T45/S45),'Table 5-D| MPTE HAP'!L54))*IF(R45="YES",IF(VLOOKUP(C45,'HAP CAS &amp; Names'!$F$4:$H$186,3,)="YES",(1-U45),1),1),"")</f>
        <v/>
      </c>
      <c r="M45" s="135"/>
      <c r="N45" s="154">
        <f>SUMIF(C45:$C$60,C45,L45:$L$60)</f>
        <v>0</v>
      </c>
      <c r="Q45" s="124" t="str">
        <f t="shared" si="1"/>
        <v/>
      </c>
      <c r="R45" s="124" t="str">
        <f t="shared" si="2"/>
        <v/>
      </c>
      <c r="S45" s="430">
        <f t="shared" si="3"/>
        <v>0</v>
      </c>
      <c r="T45" s="430">
        <f t="shared" si="4"/>
        <v>0</v>
      </c>
      <c r="U45" s="146">
        <f>IF(AND(NOT(A45=""),NOT(B45=""),NOT(C45=""),NOT(ISBLANK(J45))),VLOOKUP(J45,'Emission Controls'!$A$3:$L$16,11,),IF(AND(A45="",NOT(B45=""),NOT(C45="")),U44,0))</f>
        <v>0</v>
      </c>
      <c r="AC45" s="99">
        <v>62533</v>
      </c>
      <c r="AD45" s="99">
        <f t="shared" si="0"/>
        <v>0</v>
      </c>
      <c r="AG45" s="1189" t="s">
        <v>2491</v>
      </c>
      <c r="AH45" s="1388"/>
      <c r="AI45" s="1388"/>
      <c r="AJ45" s="1388"/>
      <c r="AK45" s="1388"/>
      <c r="AL45" s="1388"/>
      <c r="AM45" s="1388"/>
      <c r="AN45" s="1388"/>
      <c r="AO45" s="1388"/>
      <c r="AP45" s="1388"/>
      <c r="AQ45" s="1388"/>
      <c r="AR45" s="1388"/>
      <c r="AS45" s="1388"/>
      <c r="AT45" s="1388"/>
      <c r="AU45" s="1190"/>
      <c r="AV45" s="539"/>
      <c r="AW45" s="99"/>
      <c r="AX45" s="66">
        <v>30500260</v>
      </c>
      <c r="AY45" s="68" t="s">
        <v>2391</v>
      </c>
      <c r="AZ45" s="48"/>
      <c r="BA45" s="48"/>
      <c r="BB45" s="794">
        <v>3.0999999999999999E-3</v>
      </c>
      <c r="BC45" s="794">
        <v>2.0000000000000001E-4</v>
      </c>
      <c r="BD45" s="794">
        <v>2.4000000000000001E-4</v>
      </c>
      <c r="BE45" s="794">
        <v>2.8999999999999998E-3</v>
      </c>
      <c r="BF45" s="794">
        <v>9.2000000000000003E-4</v>
      </c>
      <c r="BG45" s="794">
        <v>6.4999999999999997E-4</v>
      </c>
      <c r="BH45" s="794">
        <v>3.8999999999999999E-4</v>
      </c>
      <c r="BI45" s="794">
        <v>0</v>
      </c>
      <c r="BJ45" s="794">
        <v>1.2999999999999999E-3</v>
      </c>
      <c r="BK45" s="794">
        <v>1.1999999999999999E-3</v>
      </c>
      <c r="BL45" s="794">
        <v>6.4999999999999997E-4</v>
      </c>
      <c r="BM45" s="539" t="s">
        <v>2251</v>
      </c>
    </row>
    <row r="46" spans="1:65" s="143" customFormat="1" ht="18" customHeight="1" thickBot="1" x14ac:dyDescent="0.25">
      <c r="A46" s="419" t="str">
        <f>IF(ISBLANK('Table 5-D| MPTE HAP'!A55),"",'Table 5-D| MPTE HAP'!A55)</f>
        <v/>
      </c>
      <c r="B46" s="420" t="str">
        <f>IF(ISBLANK('Table 5-D| MPTE HAP'!B55),"",'Table 5-D| MPTE HAP'!B55)</f>
        <v/>
      </c>
      <c r="C46" s="421" t="str">
        <f>IF(ISBLANK('Table 5-D| MPTE HAP'!C55),"",'Table 5-D| MPTE HAP'!C55)</f>
        <v/>
      </c>
      <c r="D46" s="530" t="str">
        <f>IF(ISBLANK('Table 5-D| MPTE HAP'!D55),"",'Table 5-D| MPTE HAP'!D55)</f>
        <v/>
      </c>
      <c r="E46" s="351"/>
      <c r="F46" s="351"/>
      <c r="G46" s="399" t="str">
        <f>IF(A46="","",IF('Table 5-D| MPTE HAP'!P55&gt;0,'Table 5-D| MPTE HAP'!P55,""))</f>
        <v/>
      </c>
      <c r="H46" s="355" t="str">
        <f>IF(A46="","",IF('Table 5-D| MPTE HAP'!Q55="","",'Table 5-D| MPTE HAP'!Q55))</f>
        <v/>
      </c>
      <c r="I46" s="351"/>
      <c r="J46" s="356"/>
      <c r="K46" s="400" t="str">
        <f>IF(A46="","",IF('Table 5-D| MPTE HAP'!S55&gt;0,'Table 5-D| MPTE HAP'!S55,""))</f>
        <v/>
      </c>
      <c r="L46" s="357" t="str">
        <f>IFERROR(IF(OR('Table 5-D| MPTE HAP'!L55="",Q46="",R46="",AND(Q46="YES",T46=0),AND(R46="YES",U46=0)),"",IF(Q46="YES",'Table 5-D| MPTE HAP'!L55*(T46/S46),'Table 5-D| MPTE HAP'!L55))*IF(R46="YES",IF(VLOOKUP(C46,'HAP CAS &amp; Names'!$F$4:$H$186,3,)="YES",(1-U46),1),1),"")</f>
        <v/>
      </c>
      <c r="M46" s="135"/>
      <c r="N46" s="154">
        <f>SUMIF(C46:$C$60,C46,L46:$L$60)</f>
        <v>0</v>
      </c>
      <c r="Q46" s="124" t="str">
        <f t="shared" si="1"/>
        <v/>
      </c>
      <c r="R46" s="124" t="str">
        <f t="shared" si="2"/>
        <v/>
      </c>
      <c r="S46" s="430">
        <f t="shared" si="3"/>
        <v>0</v>
      </c>
      <c r="T46" s="430">
        <f t="shared" si="4"/>
        <v>0</v>
      </c>
      <c r="U46" s="146">
        <f>IF(AND(NOT(A46=""),NOT(B46=""),NOT(C46=""),NOT(ISBLANK(J46))),VLOOKUP(J46,'Emission Controls'!$A$3:$L$16,11,),IF(AND(A46="",NOT(B46=""),NOT(C46="")),U45,0))</f>
        <v>0</v>
      </c>
      <c r="AC46" s="99">
        <v>62737</v>
      </c>
      <c r="AD46" s="99">
        <f t="shared" si="0"/>
        <v>0</v>
      </c>
      <c r="AG46" s="795" t="s">
        <v>271</v>
      </c>
      <c r="AH46" s="1189" t="s">
        <v>2043</v>
      </c>
      <c r="AI46" s="1388"/>
      <c r="AJ46" s="1190"/>
      <c r="AK46" s="775" t="s">
        <v>74</v>
      </c>
      <c r="AL46" s="790" t="s">
        <v>1550</v>
      </c>
      <c r="AM46" s="791" t="s">
        <v>2467</v>
      </c>
      <c r="AN46" s="791" t="s">
        <v>1</v>
      </c>
      <c r="AO46" s="791" t="s">
        <v>2468</v>
      </c>
      <c r="AP46" s="791" t="s">
        <v>139</v>
      </c>
      <c r="AQ46" s="791" t="s">
        <v>99</v>
      </c>
      <c r="AR46" s="791" t="s">
        <v>108</v>
      </c>
      <c r="AS46" s="790" t="s">
        <v>239</v>
      </c>
      <c r="AT46" s="790" t="s">
        <v>249</v>
      </c>
      <c r="AU46" s="792" t="s">
        <v>237</v>
      </c>
      <c r="AV46" s="539"/>
      <c r="AW46" s="99"/>
      <c r="AX46" s="66">
        <v>30500262</v>
      </c>
      <c r="AY46" s="68" t="s">
        <v>2386</v>
      </c>
      <c r="AZ46" s="48"/>
      <c r="BA46" s="48"/>
      <c r="BB46" s="794">
        <v>3.0999999999999999E-3</v>
      </c>
      <c r="BC46" s="794">
        <v>2.0000000000000001E-4</v>
      </c>
      <c r="BD46" s="794">
        <v>2.4000000000000001E-4</v>
      </c>
      <c r="BE46" s="794">
        <v>2.8999999999999998E-3</v>
      </c>
      <c r="BF46" s="794">
        <v>9.2000000000000003E-4</v>
      </c>
      <c r="BG46" s="794">
        <v>6.4999999999999997E-4</v>
      </c>
      <c r="BH46" s="794">
        <v>3.8999999999999999E-4</v>
      </c>
      <c r="BI46" s="794">
        <v>1.2999999999999999E-3</v>
      </c>
      <c r="BJ46" s="794">
        <v>1.7829000000000001E-2</v>
      </c>
      <c r="BK46" s="794">
        <v>7.9240000000000005E-3</v>
      </c>
      <c r="BL46" s="794">
        <v>2.1791000000000002E-3</v>
      </c>
      <c r="BM46" s="539" t="s">
        <v>2251</v>
      </c>
    </row>
    <row r="47" spans="1:65" s="143" customFormat="1" ht="18" customHeight="1" x14ac:dyDescent="0.2">
      <c r="A47" s="419" t="str">
        <f>IF(ISBLANK('Table 5-D| MPTE HAP'!A56),"",'Table 5-D| MPTE HAP'!A56)</f>
        <v/>
      </c>
      <c r="B47" s="420" t="str">
        <f>IF(ISBLANK('Table 5-D| MPTE HAP'!B56),"",'Table 5-D| MPTE HAP'!B56)</f>
        <v/>
      </c>
      <c r="C47" s="421" t="str">
        <f>IF(ISBLANK('Table 5-D| MPTE HAP'!C56),"",'Table 5-D| MPTE HAP'!C56)</f>
        <v/>
      </c>
      <c r="D47" s="530" t="str">
        <f>IF(ISBLANK('Table 5-D| MPTE HAP'!D56),"",'Table 5-D| MPTE HAP'!D56)</f>
        <v/>
      </c>
      <c r="E47" s="351"/>
      <c r="F47" s="351"/>
      <c r="G47" s="399" t="str">
        <f>IF(A47="","",IF('Table 5-D| MPTE HAP'!P56&gt;0,'Table 5-D| MPTE HAP'!P56,""))</f>
        <v/>
      </c>
      <c r="H47" s="355" t="str">
        <f>IF(A47="","",IF('Table 5-D| MPTE HAP'!Q56="","",'Table 5-D| MPTE HAP'!Q56))</f>
        <v/>
      </c>
      <c r="I47" s="351"/>
      <c r="J47" s="356"/>
      <c r="K47" s="400" t="str">
        <f>IF(A47="","",IF('Table 5-D| MPTE HAP'!S56&gt;0,'Table 5-D| MPTE HAP'!S56,""))</f>
        <v/>
      </c>
      <c r="L47" s="357" t="str">
        <f>IFERROR(IF(OR('Table 5-D| MPTE HAP'!L56="",Q47="",R47="",AND(Q47="YES",T47=0),AND(R47="YES",U47=0)),"",IF(Q47="YES",'Table 5-D| MPTE HAP'!L56*(T47/S47),'Table 5-D| MPTE HAP'!L56))*IF(R47="YES",IF(VLOOKUP(C47,'HAP CAS &amp; Names'!$F$4:$H$186,3,)="YES",(1-U47),1),1),"")</f>
        <v/>
      </c>
      <c r="M47" s="135"/>
      <c r="N47" s="154">
        <f>SUMIF(C47:$C$60,C47,L47:$L$60)</f>
        <v>0</v>
      </c>
      <c r="Q47" s="124" t="str">
        <f t="shared" si="1"/>
        <v/>
      </c>
      <c r="R47" s="124" t="str">
        <f t="shared" si="2"/>
        <v/>
      </c>
      <c r="S47" s="430">
        <f t="shared" si="3"/>
        <v>0</v>
      </c>
      <c r="T47" s="430">
        <f t="shared" si="4"/>
        <v>0</v>
      </c>
      <c r="U47" s="146">
        <f>IF(AND(NOT(A47=""),NOT(B47=""),NOT(C47=""),NOT(ISBLANK(J47))),VLOOKUP(J47,'Emission Controls'!$A$3:$L$16,11,),IF(AND(A47="",NOT(B47=""),NOT(C47="")),U46,0))</f>
        <v>0</v>
      </c>
      <c r="AC47" s="99">
        <v>62759</v>
      </c>
      <c r="AD47" s="99">
        <f t="shared" si="0"/>
        <v>0</v>
      </c>
      <c r="AG47" s="66">
        <f ca="1">'Table 5-D| MPTE HAP'!AG56</f>
        <v>0</v>
      </c>
      <c r="AH47" s="68" t="s">
        <v>2470</v>
      </c>
      <c r="AI47" s="48"/>
      <c r="AJ47" s="48"/>
      <c r="AK47" s="793">
        <f ca="1">AK28</f>
        <v>0</v>
      </c>
      <c r="AL47" s="793">
        <f t="shared" ref="AL47:AU47" ca="1" si="5">AL28</f>
        <v>0</v>
      </c>
      <c r="AM47" s="794">
        <f t="shared" ca="1" si="5"/>
        <v>0</v>
      </c>
      <c r="AN47" s="794">
        <f t="shared" ca="1" si="5"/>
        <v>0</v>
      </c>
      <c r="AO47" s="794">
        <f t="shared" ca="1" si="5"/>
        <v>0</v>
      </c>
      <c r="AP47" s="794">
        <f t="shared" ca="1" si="5"/>
        <v>0</v>
      </c>
      <c r="AQ47" s="794">
        <f t="shared" ca="1" si="5"/>
        <v>0</v>
      </c>
      <c r="AR47" s="794">
        <f t="shared" ca="1" si="5"/>
        <v>0</v>
      </c>
      <c r="AS47" s="794">
        <f t="shared" ca="1" si="5"/>
        <v>0</v>
      </c>
      <c r="AT47" s="794">
        <f t="shared" ca="1" si="5"/>
        <v>0</v>
      </c>
      <c r="AU47" s="794">
        <f t="shared" ca="1" si="5"/>
        <v>0</v>
      </c>
      <c r="AV47" s="539"/>
      <c r="AW47" s="99"/>
      <c r="AX47" s="66">
        <v>30500263</v>
      </c>
      <c r="AY47" s="68" t="s">
        <v>2387</v>
      </c>
      <c r="AZ47" s="48"/>
      <c r="BA47" s="48"/>
      <c r="BB47" s="794">
        <v>3.0999999999999999E-3</v>
      </c>
      <c r="BC47" s="794">
        <v>2.0000000000000001E-4</v>
      </c>
      <c r="BD47" s="794">
        <v>2.4000000000000001E-4</v>
      </c>
      <c r="BE47" s="794">
        <v>2.8999999999999998E-3</v>
      </c>
      <c r="BF47" s="794">
        <v>9.2000000000000003E-4</v>
      </c>
      <c r="BG47" s="794">
        <v>6.4999999999999997E-4</v>
      </c>
      <c r="BH47" s="794">
        <v>3.8999999999999999E-4</v>
      </c>
      <c r="BI47" s="794">
        <v>1.2999999999999999E-3</v>
      </c>
      <c r="BJ47" s="794">
        <v>1.7829000000000001E-2</v>
      </c>
      <c r="BK47" s="794">
        <v>7.9240000000000005E-3</v>
      </c>
      <c r="BL47" s="794">
        <v>2.1791000000000002E-3</v>
      </c>
      <c r="BM47" s="539" t="s">
        <v>2251</v>
      </c>
    </row>
    <row r="48" spans="1:65" s="143" customFormat="1" ht="18" customHeight="1" x14ac:dyDescent="0.2">
      <c r="A48" s="419" t="str">
        <f>IF(ISBLANK('Table 5-D| MPTE HAP'!A57),"",'Table 5-D| MPTE HAP'!A57)</f>
        <v/>
      </c>
      <c r="B48" s="420" t="str">
        <f>IF(ISBLANK('Table 5-D| MPTE HAP'!B57),"",'Table 5-D| MPTE HAP'!B57)</f>
        <v/>
      </c>
      <c r="C48" s="421" t="str">
        <f>IF(ISBLANK('Table 5-D| MPTE HAP'!C57),"",'Table 5-D| MPTE HAP'!C57)</f>
        <v/>
      </c>
      <c r="D48" s="530" t="str">
        <f>IF(ISBLANK('Table 5-D| MPTE HAP'!D57),"",'Table 5-D| MPTE HAP'!D57)</f>
        <v/>
      </c>
      <c r="E48" s="351"/>
      <c r="F48" s="351"/>
      <c r="G48" s="399" t="str">
        <f>IF(A48="","",IF('Table 5-D| MPTE HAP'!P57&gt;0,'Table 5-D| MPTE HAP'!P57,""))</f>
        <v/>
      </c>
      <c r="H48" s="355" t="str">
        <f>IF(A48="","",IF('Table 5-D| MPTE HAP'!Q57="","",'Table 5-D| MPTE HAP'!Q57))</f>
        <v/>
      </c>
      <c r="I48" s="351"/>
      <c r="J48" s="356"/>
      <c r="K48" s="400" t="str">
        <f>IF(A48="","",IF('Table 5-D| MPTE HAP'!S57&gt;0,'Table 5-D| MPTE HAP'!S57,""))</f>
        <v/>
      </c>
      <c r="L48" s="357" t="str">
        <f>IFERROR(IF(OR('Table 5-D| MPTE HAP'!L57="",Q48="",R48="",AND(Q48="YES",T48=0),AND(R48="YES",U48=0)),"",IF(Q48="YES",'Table 5-D| MPTE HAP'!L57*(T48/S48),'Table 5-D| MPTE HAP'!L57))*IF(R48="YES",IF(VLOOKUP(C48,'HAP CAS &amp; Names'!$F$4:$H$186,3,)="YES",(1-U48),1),1),"")</f>
        <v/>
      </c>
      <c r="M48" s="135"/>
      <c r="N48" s="154">
        <f>SUMIF(C48:$C$60,C48,L48:$L$60)</f>
        <v>0</v>
      </c>
      <c r="Q48" s="124" t="str">
        <f t="shared" si="1"/>
        <v/>
      </c>
      <c r="R48" s="124" t="str">
        <f t="shared" si="2"/>
        <v/>
      </c>
      <c r="S48" s="430">
        <f t="shared" si="3"/>
        <v>0</v>
      </c>
      <c r="T48" s="430">
        <f t="shared" si="4"/>
        <v>0</v>
      </c>
      <c r="U48" s="146">
        <f>IF(AND(NOT(A48=""),NOT(B48=""),NOT(C48=""),NOT(ISBLANK(J48))),VLOOKUP(J48,'Emission Controls'!$A$3:$L$16,11,),IF(AND(A48="",NOT(B48=""),NOT(C48="")),U47,0))</f>
        <v>0</v>
      </c>
      <c r="AC48" s="99">
        <v>63252</v>
      </c>
      <c r="AD48" s="99">
        <f t="shared" si="0"/>
        <v>0</v>
      </c>
      <c r="AG48" s="66" t="str">
        <f>'Table 5-D| MPTE HAP'!AG57</f>
        <v>N/A</v>
      </c>
      <c r="AH48" s="68" t="s">
        <v>2487</v>
      </c>
      <c r="AI48" s="48"/>
      <c r="AJ48" s="48"/>
      <c r="AK48" s="794">
        <f ca="1">LARGE(AK29:AK31,1)</f>
        <v>0</v>
      </c>
      <c r="AL48" s="794">
        <f t="shared" ref="AL48:AU48" ca="1" si="6">LARGE(AL29:AL31,1)</f>
        <v>0</v>
      </c>
      <c r="AM48" s="794">
        <f t="shared" ca="1" si="6"/>
        <v>0</v>
      </c>
      <c r="AN48" s="794">
        <f t="shared" ca="1" si="6"/>
        <v>0</v>
      </c>
      <c r="AO48" s="794">
        <f t="shared" ca="1" si="6"/>
        <v>0</v>
      </c>
      <c r="AP48" s="794">
        <f t="shared" ca="1" si="6"/>
        <v>0</v>
      </c>
      <c r="AQ48" s="794">
        <f t="shared" ca="1" si="6"/>
        <v>0</v>
      </c>
      <c r="AR48" s="794">
        <f t="shared" ca="1" si="6"/>
        <v>0</v>
      </c>
      <c r="AS48" s="794">
        <f t="shared" ca="1" si="6"/>
        <v>0</v>
      </c>
      <c r="AT48" s="794">
        <f t="shared" ca="1" si="6"/>
        <v>0</v>
      </c>
      <c r="AU48" s="794">
        <f t="shared" ca="1" si="6"/>
        <v>0</v>
      </c>
      <c r="AV48" s="539"/>
      <c r="AW48" s="99"/>
      <c r="AX48" s="66">
        <v>30500270</v>
      </c>
      <c r="AY48" s="68" t="s">
        <v>2397</v>
      </c>
      <c r="AZ48" s="48"/>
      <c r="BA48" s="48"/>
      <c r="BB48" s="794">
        <v>9.7000000000000003E-7</v>
      </c>
      <c r="BC48" s="794">
        <v>4.5000000000000001E-6</v>
      </c>
      <c r="BD48" s="794">
        <v>3.1E-6</v>
      </c>
      <c r="BE48" s="794">
        <v>2.3E-6</v>
      </c>
      <c r="BF48" s="794">
        <v>1.7E-6</v>
      </c>
      <c r="BG48" s="794">
        <v>0</v>
      </c>
      <c r="BH48" s="794">
        <v>5.7000000000000005E-7</v>
      </c>
      <c r="BI48" s="794">
        <v>0</v>
      </c>
      <c r="BJ48" s="794">
        <v>0</v>
      </c>
      <c r="BK48" s="794">
        <v>0</v>
      </c>
      <c r="BL48" s="794">
        <v>0</v>
      </c>
      <c r="BM48" s="539" t="s">
        <v>2251</v>
      </c>
    </row>
    <row r="49" spans="1:65" s="143" customFormat="1" ht="18" customHeight="1" x14ac:dyDescent="0.2">
      <c r="A49" s="419" t="str">
        <f>IF(ISBLANK('Table 5-D| MPTE HAP'!A58),"",'Table 5-D| MPTE HAP'!A58)</f>
        <v/>
      </c>
      <c r="B49" s="420" t="str">
        <f>IF(ISBLANK('Table 5-D| MPTE HAP'!B58),"",'Table 5-D| MPTE HAP'!B58)</f>
        <v/>
      </c>
      <c r="C49" s="421" t="str">
        <f>IF(ISBLANK('Table 5-D| MPTE HAP'!C58),"",'Table 5-D| MPTE HAP'!C58)</f>
        <v/>
      </c>
      <c r="D49" s="530" t="str">
        <f>IF(ISBLANK('Table 5-D| MPTE HAP'!D58),"",'Table 5-D| MPTE HAP'!D58)</f>
        <v/>
      </c>
      <c r="E49" s="351"/>
      <c r="F49" s="351"/>
      <c r="G49" s="399" t="str">
        <f>IF(A49="","",IF('Table 5-D| MPTE HAP'!P58&gt;0,'Table 5-D| MPTE HAP'!P58,""))</f>
        <v/>
      </c>
      <c r="H49" s="355" t="str">
        <f>IF(A49="","",IF('Table 5-D| MPTE HAP'!Q58="","",'Table 5-D| MPTE HAP'!Q58))</f>
        <v/>
      </c>
      <c r="I49" s="351"/>
      <c r="J49" s="356"/>
      <c r="K49" s="400" t="str">
        <f>IF(A49="","",IF('Table 5-D| MPTE HAP'!S58&gt;0,'Table 5-D| MPTE HAP'!S58,""))</f>
        <v/>
      </c>
      <c r="L49" s="357" t="str">
        <f>IFERROR(IF(OR('Table 5-D| MPTE HAP'!L58="",Q49="",R49="",AND(Q49="YES",T49=0),AND(R49="YES",U49=0)),"",IF(Q49="YES",'Table 5-D| MPTE HAP'!L58*(T49/S49),'Table 5-D| MPTE HAP'!L58))*IF(R49="YES",IF(VLOOKUP(C49,'HAP CAS &amp; Names'!$F$4:$H$186,3,)="YES",(1-U49),1),1),"")</f>
        <v/>
      </c>
      <c r="M49" s="135"/>
      <c r="N49" s="154">
        <f>SUMIF(C49:$C$60,C49,L49:$L$60)</f>
        <v>0</v>
      </c>
      <c r="Q49" s="124" t="str">
        <f t="shared" si="1"/>
        <v/>
      </c>
      <c r="R49" s="124" t="str">
        <f t="shared" si="2"/>
        <v/>
      </c>
      <c r="S49" s="430">
        <f t="shared" si="3"/>
        <v>0</v>
      </c>
      <c r="T49" s="430">
        <f t="shared" si="4"/>
        <v>0</v>
      </c>
      <c r="U49" s="146">
        <f>IF(AND(NOT(A49=""),NOT(B49=""),NOT(C49=""),NOT(ISBLANK(J49))),VLOOKUP(J49,'Emission Controls'!$A$3:$L$16,11,),IF(AND(A49="",NOT(B49=""),NOT(C49="")),U48,0))</f>
        <v>0</v>
      </c>
      <c r="AC49" s="99">
        <v>64675</v>
      </c>
      <c r="AD49" s="99">
        <f t="shared" si="0"/>
        <v>0</v>
      </c>
      <c r="AG49" s="66">
        <f ca="1">'Table 5-D| MPTE HAP'!AG58</f>
        <v>0</v>
      </c>
      <c r="AH49" s="68" t="s">
        <v>2474</v>
      </c>
      <c r="AI49" s="48"/>
      <c r="AJ49" s="48"/>
      <c r="AK49" s="794">
        <f ca="1">AK32</f>
        <v>0</v>
      </c>
      <c r="AL49" s="794">
        <f t="shared" ref="AL49:AU49" ca="1" si="7">AL32</f>
        <v>0</v>
      </c>
      <c r="AM49" s="794">
        <f t="shared" ca="1" si="7"/>
        <v>0</v>
      </c>
      <c r="AN49" s="794">
        <f t="shared" ca="1" si="7"/>
        <v>0</v>
      </c>
      <c r="AO49" s="794">
        <f t="shared" ca="1" si="7"/>
        <v>0</v>
      </c>
      <c r="AP49" s="794">
        <f t="shared" ca="1" si="7"/>
        <v>0</v>
      </c>
      <c r="AQ49" s="794">
        <f t="shared" ca="1" si="7"/>
        <v>0</v>
      </c>
      <c r="AR49" s="794">
        <f t="shared" ca="1" si="7"/>
        <v>0</v>
      </c>
      <c r="AS49" s="794">
        <f t="shared" ca="1" si="7"/>
        <v>0</v>
      </c>
      <c r="AT49" s="794">
        <f t="shared" ca="1" si="7"/>
        <v>0</v>
      </c>
      <c r="AU49" s="794">
        <f t="shared" ca="1" si="7"/>
        <v>0</v>
      </c>
      <c r="AV49" s="99"/>
      <c r="AW49" s="99"/>
      <c r="AX49" s="66"/>
      <c r="AY49" s="68"/>
      <c r="AZ49" s="48"/>
      <c r="BA49" s="48"/>
      <c r="BB49" s="99"/>
      <c r="BC49" s="99"/>
      <c r="BD49" s="99"/>
      <c r="BE49" s="99"/>
      <c r="BF49" s="99"/>
      <c r="BG49" s="99"/>
      <c r="BH49" s="99"/>
      <c r="BI49" s="99"/>
      <c r="BJ49" s="99"/>
      <c r="BK49" s="99"/>
      <c r="BL49" s="99"/>
      <c r="BM49" s="99"/>
    </row>
    <row r="50" spans="1:65" s="143" customFormat="1" ht="18" customHeight="1" x14ac:dyDescent="0.2">
      <c r="A50" s="419" t="str">
        <f>IF(ISBLANK('Table 5-D| MPTE HAP'!A59),"",'Table 5-D| MPTE HAP'!A59)</f>
        <v/>
      </c>
      <c r="B50" s="420" t="str">
        <f>IF(ISBLANK('Table 5-D| MPTE HAP'!B59),"",'Table 5-D| MPTE HAP'!B59)</f>
        <v/>
      </c>
      <c r="C50" s="421" t="str">
        <f>IF(ISBLANK('Table 5-D| MPTE HAP'!C59),"",'Table 5-D| MPTE HAP'!C59)</f>
        <v/>
      </c>
      <c r="D50" s="530" t="str">
        <f>IF(ISBLANK('Table 5-D| MPTE HAP'!D59),"",'Table 5-D| MPTE HAP'!D59)</f>
        <v/>
      </c>
      <c r="E50" s="351"/>
      <c r="F50" s="351"/>
      <c r="G50" s="399" t="str">
        <f>IF(A50="","",IF('Table 5-D| MPTE HAP'!P59&gt;0,'Table 5-D| MPTE HAP'!P59,""))</f>
        <v/>
      </c>
      <c r="H50" s="355" t="str">
        <f>IF(A50="","",IF('Table 5-D| MPTE HAP'!Q59="","",'Table 5-D| MPTE HAP'!Q59))</f>
        <v/>
      </c>
      <c r="I50" s="351"/>
      <c r="J50" s="356"/>
      <c r="K50" s="400" t="str">
        <f>IF(A50="","",IF('Table 5-D| MPTE HAP'!S59&gt;0,'Table 5-D| MPTE HAP'!S59,""))</f>
        <v/>
      </c>
      <c r="L50" s="357" t="str">
        <f>IFERROR(IF(OR('Table 5-D| MPTE HAP'!L59="",Q50="",R50="",AND(Q50="YES",T50=0),AND(R50="YES",U50=0)),"",IF(Q50="YES",'Table 5-D| MPTE HAP'!L59*(T50/S50),'Table 5-D| MPTE HAP'!L59))*IF(R50="YES",IF(VLOOKUP(C50,'HAP CAS &amp; Names'!$F$4:$H$186,3,)="YES",(1-U50),1),1),"")</f>
        <v/>
      </c>
      <c r="M50" s="135"/>
      <c r="N50" s="154">
        <f>SUMIF(C50:$C$60,C50,L50:$L$60)</f>
        <v>0</v>
      </c>
      <c r="Q50" s="124" t="str">
        <f t="shared" si="1"/>
        <v/>
      </c>
      <c r="R50" s="124" t="str">
        <f t="shared" si="2"/>
        <v/>
      </c>
      <c r="S50" s="430">
        <f t="shared" si="3"/>
        <v>0</v>
      </c>
      <c r="T50" s="430">
        <f t="shared" si="4"/>
        <v>0</v>
      </c>
      <c r="U50" s="146">
        <f>IF(AND(NOT(A50=""),NOT(B50=""),NOT(C50=""),NOT(ISBLANK(J50))),VLOOKUP(J50,'Emission Controls'!$A$3:$L$16,11,),IF(AND(A50="",NOT(B50=""),NOT(C50="")),U49,0))</f>
        <v>0</v>
      </c>
      <c r="AC50" s="99">
        <v>67561</v>
      </c>
      <c r="AD50" s="99">
        <f t="shared" si="0"/>
        <v>0</v>
      </c>
      <c r="AG50" s="66" t="str">
        <f>'Table 5-D| MPTE HAP'!AG59</f>
        <v>N/A</v>
      </c>
      <c r="AH50" s="68" t="s">
        <v>2489</v>
      </c>
      <c r="AI50" s="48"/>
      <c r="AJ50" s="48"/>
      <c r="AK50" s="794">
        <f ca="1">LARGE(AK33:AK35,1)</f>
        <v>0</v>
      </c>
      <c r="AL50" s="794">
        <f t="shared" ref="AL50:AU50" ca="1" si="8">LARGE(AL33:AL35,1)</f>
        <v>0</v>
      </c>
      <c r="AM50" s="794">
        <f t="shared" ca="1" si="8"/>
        <v>0</v>
      </c>
      <c r="AN50" s="794">
        <f t="shared" ca="1" si="8"/>
        <v>0</v>
      </c>
      <c r="AO50" s="794">
        <f t="shared" ca="1" si="8"/>
        <v>0</v>
      </c>
      <c r="AP50" s="794">
        <f t="shared" ca="1" si="8"/>
        <v>0</v>
      </c>
      <c r="AQ50" s="794">
        <f t="shared" ca="1" si="8"/>
        <v>0</v>
      </c>
      <c r="AR50" s="794">
        <f t="shared" ca="1" si="8"/>
        <v>0</v>
      </c>
      <c r="AS50" s="794">
        <f t="shared" ca="1" si="8"/>
        <v>0</v>
      </c>
      <c r="AT50" s="794">
        <f t="shared" ca="1" si="8"/>
        <v>0</v>
      </c>
      <c r="AU50" s="794">
        <f t="shared" ca="1" si="8"/>
        <v>0</v>
      </c>
      <c r="AV50" s="99"/>
      <c r="AW50" s="99"/>
      <c r="AX50" s="66"/>
      <c r="AY50" s="68"/>
      <c r="AZ50" s="48"/>
      <c r="BA50" s="48"/>
      <c r="BB50" s="99"/>
      <c r="BC50" s="99"/>
      <c r="BD50" s="99"/>
      <c r="BE50" s="99"/>
      <c r="BF50" s="99"/>
      <c r="BG50" s="99"/>
      <c r="BH50" s="99"/>
      <c r="BI50" s="99"/>
      <c r="BJ50" s="99"/>
      <c r="BK50" s="99"/>
      <c r="BL50" s="99"/>
      <c r="BM50" s="99"/>
    </row>
    <row r="51" spans="1:65" s="143" customFormat="1" ht="18" customHeight="1" x14ac:dyDescent="0.2">
      <c r="A51" s="419" t="str">
        <f>IF(ISBLANK('Table 5-D| MPTE HAP'!A60),"",'Table 5-D| MPTE HAP'!A60)</f>
        <v/>
      </c>
      <c r="B51" s="420" t="str">
        <f>IF(ISBLANK('Table 5-D| MPTE HAP'!B60),"",'Table 5-D| MPTE HAP'!B60)</f>
        <v/>
      </c>
      <c r="C51" s="421" t="str">
        <f>IF(ISBLANK('Table 5-D| MPTE HAP'!C60),"",'Table 5-D| MPTE HAP'!C60)</f>
        <v/>
      </c>
      <c r="D51" s="530" t="str">
        <f>IF(ISBLANK('Table 5-D| MPTE HAP'!D60),"",'Table 5-D| MPTE HAP'!D60)</f>
        <v/>
      </c>
      <c r="E51" s="351"/>
      <c r="F51" s="351"/>
      <c r="G51" s="399" t="str">
        <f>IF(A51="","",IF('Table 5-D| MPTE HAP'!P60&gt;0,'Table 5-D| MPTE HAP'!P60,""))</f>
        <v/>
      </c>
      <c r="H51" s="355" t="str">
        <f>IF(A51="","",IF('Table 5-D| MPTE HAP'!Q60="","",'Table 5-D| MPTE HAP'!Q60))</f>
        <v/>
      </c>
      <c r="I51" s="351"/>
      <c r="J51" s="356"/>
      <c r="K51" s="400" t="str">
        <f>IF(A51="","",IF('Table 5-D| MPTE HAP'!S60&gt;0,'Table 5-D| MPTE HAP'!S60,""))</f>
        <v/>
      </c>
      <c r="L51" s="357" t="str">
        <f>IFERROR(IF(OR('Table 5-D| MPTE HAP'!L60="",Q51="",R51="",AND(Q51="YES",T51=0),AND(R51="YES",U51=0)),"",IF(Q51="YES",'Table 5-D| MPTE HAP'!L60*(T51/S51),'Table 5-D| MPTE HAP'!L60))*IF(R51="YES",IF(VLOOKUP(C51,'HAP CAS &amp; Names'!$F$4:$H$186,3,)="YES",(1-U51),1),1),"")</f>
        <v/>
      </c>
      <c r="M51" s="135"/>
      <c r="N51" s="154">
        <f>SUMIF(C51:$C$60,C51,L51:$L$60)</f>
        <v>0</v>
      </c>
      <c r="Q51" s="124" t="str">
        <f t="shared" si="1"/>
        <v/>
      </c>
      <c r="R51" s="124" t="str">
        <f t="shared" si="2"/>
        <v/>
      </c>
      <c r="S51" s="430">
        <f t="shared" si="3"/>
        <v>0</v>
      </c>
      <c r="T51" s="430">
        <f t="shared" si="4"/>
        <v>0</v>
      </c>
      <c r="U51" s="146">
        <f>IF(AND(NOT(A51=""),NOT(B51=""),NOT(C51=""),NOT(ISBLANK(J51))),VLOOKUP(J51,'Emission Controls'!$A$3:$L$16,11,),IF(AND(A51="",NOT(B51=""),NOT(C51="")),U50,0))</f>
        <v>0</v>
      </c>
      <c r="AC51" s="99">
        <v>67663</v>
      </c>
      <c r="AD51" s="99">
        <f t="shared" si="0"/>
        <v>0</v>
      </c>
      <c r="AG51" s="66">
        <f ca="1">'Table 5-D| MPTE HAP'!AG60</f>
        <v>0</v>
      </c>
      <c r="AH51" s="68" t="s">
        <v>2478</v>
      </c>
      <c r="AI51" s="48"/>
      <c r="AJ51" s="48"/>
      <c r="AK51" s="794">
        <f ca="1">AK36</f>
        <v>0</v>
      </c>
      <c r="AL51" s="794">
        <f t="shared" ref="AL51:AU51" ca="1" si="9">AL36</f>
        <v>0</v>
      </c>
      <c r="AM51" s="794">
        <f t="shared" ca="1" si="9"/>
        <v>0</v>
      </c>
      <c r="AN51" s="794">
        <f t="shared" ca="1" si="9"/>
        <v>0</v>
      </c>
      <c r="AO51" s="794">
        <f t="shared" ca="1" si="9"/>
        <v>0</v>
      </c>
      <c r="AP51" s="794">
        <f t="shared" ca="1" si="9"/>
        <v>0</v>
      </c>
      <c r="AQ51" s="794">
        <f t="shared" ca="1" si="9"/>
        <v>0</v>
      </c>
      <c r="AR51" s="794">
        <f t="shared" ca="1" si="9"/>
        <v>0</v>
      </c>
      <c r="AS51" s="794">
        <f t="shared" ca="1" si="9"/>
        <v>0</v>
      </c>
      <c r="AT51" s="794">
        <f t="shared" ca="1" si="9"/>
        <v>0</v>
      </c>
      <c r="AU51" s="794">
        <f t="shared" ca="1" si="9"/>
        <v>0</v>
      </c>
      <c r="AV51" s="99"/>
      <c r="AW51" s="99"/>
      <c r="AX51" s="66"/>
      <c r="AY51" s="68"/>
      <c r="AZ51" s="48"/>
      <c r="BA51" s="48"/>
      <c r="BB51" s="99"/>
      <c r="BC51" s="99"/>
      <c r="BD51" s="99"/>
      <c r="BE51" s="99"/>
      <c r="BF51" s="99"/>
      <c r="BG51" s="99"/>
      <c r="BH51" s="99"/>
      <c r="BI51" s="99"/>
      <c r="BJ51" s="99"/>
      <c r="BK51" s="99"/>
      <c r="BL51" s="99"/>
      <c r="BM51" s="99"/>
    </row>
    <row r="52" spans="1:65" s="143" customFormat="1" ht="18" customHeight="1" x14ac:dyDescent="0.2">
      <c r="A52" s="419" t="str">
        <f>IF(ISBLANK('Table 5-D| MPTE HAP'!A61),"",'Table 5-D| MPTE HAP'!A61)</f>
        <v/>
      </c>
      <c r="B52" s="420" t="str">
        <f>IF(ISBLANK('Table 5-D| MPTE HAP'!B61),"",'Table 5-D| MPTE HAP'!B61)</f>
        <v/>
      </c>
      <c r="C52" s="421" t="str">
        <f>IF(ISBLANK('Table 5-D| MPTE HAP'!C61),"",'Table 5-D| MPTE HAP'!C61)</f>
        <v/>
      </c>
      <c r="D52" s="530" t="str">
        <f>IF(ISBLANK('Table 5-D| MPTE HAP'!D61),"",'Table 5-D| MPTE HAP'!D61)</f>
        <v/>
      </c>
      <c r="E52" s="351"/>
      <c r="F52" s="351"/>
      <c r="G52" s="399" t="str">
        <f>IF(A52="","",IF('Table 5-D| MPTE HAP'!P61&gt;0,'Table 5-D| MPTE HAP'!P61,""))</f>
        <v/>
      </c>
      <c r="H52" s="355" t="str">
        <f>IF(A52="","",IF('Table 5-D| MPTE HAP'!Q61="","",'Table 5-D| MPTE HAP'!Q61))</f>
        <v/>
      </c>
      <c r="I52" s="351"/>
      <c r="J52" s="356"/>
      <c r="K52" s="400" t="str">
        <f>IF(A52="","",IF('Table 5-D| MPTE HAP'!S61&gt;0,'Table 5-D| MPTE HAP'!S61,""))</f>
        <v/>
      </c>
      <c r="L52" s="357" t="str">
        <f>IFERROR(IF(OR('Table 5-D| MPTE HAP'!L61="",Q52="",R52="",AND(Q52="YES",T52=0),AND(R52="YES",U52=0)),"",IF(Q52="YES",'Table 5-D| MPTE HAP'!L61*(T52/S52),'Table 5-D| MPTE HAP'!L61))*IF(R52="YES",IF(VLOOKUP(C52,'HAP CAS &amp; Names'!$F$4:$H$186,3,)="YES",(1-U52),1),1),"")</f>
        <v/>
      </c>
      <c r="M52" s="135"/>
      <c r="N52" s="154">
        <f>SUMIF(C52:$C$60,C52,L52:$L$60)</f>
        <v>0</v>
      </c>
      <c r="Q52" s="124" t="str">
        <f t="shared" si="1"/>
        <v/>
      </c>
      <c r="R52" s="124" t="str">
        <f t="shared" si="2"/>
        <v/>
      </c>
      <c r="S52" s="430">
        <f t="shared" si="3"/>
        <v>0</v>
      </c>
      <c r="T52" s="430">
        <f t="shared" si="4"/>
        <v>0</v>
      </c>
      <c r="U52" s="146">
        <f>IF(AND(NOT(A52=""),NOT(B52=""),NOT(C52=""),NOT(ISBLANK(J52))),VLOOKUP(J52,'Emission Controls'!$A$3:$L$16,11,),IF(AND(A52="",NOT(B52=""),NOT(C52="")),U51,0))</f>
        <v>0</v>
      </c>
      <c r="AC52" s="99">
        <v>67721</v>
      </c>
      <c r="AD52" s="99">
        <f t="shared" si="0"/>
        <v>0</v>
      </c>
      <c r="AG52" s="66" t="str">
        <f>'Table 5-D| MPTE HAP'!AG61</f>
        <v>N/A</v>
      </c>
      <c r="AH52" s="68" t="s">
        <v>2488</v>
      </c>
      <c r="AI52" s="48"/>
      <c r="AJ52" s="48"/>
      <c r="AK52" s="794">
        <f ca="1">LARGE(AK37:AK39,1)</f>
        <v>0</v>
      </c>
      <c r="AL52" s="794">
        <f t="shared" ref="AL52:AU52" ca="1" si="10">LARGE(AL37:AL39,1)</f>
        <v>0</v>
      </c>
      <c r="AM52" s="794">
        <f t="shared" ca="1" si="10"/>
        <v>0</v>
      </c>
      <c r="AN52" s="794">
        <f t="shared" ca="1" si="10"/>
        <v>0</v>
      </c>
      <c r="AO52" s="794">
        <f t="shared" ca="1" si="10"/>
        <v>0</v>
      </c>
      <c r="AP52" s="794">
        <f t="shared" ca="1" si="10"/>
        <v>0</v>
      </c>
      <c r="AQ52" s="794">
        <f t="shared" ca="1" si="10"/>
        <v>0</v>
      </c>
      <c r="AR52" s="794">
        <f t="shared" ca="1" si="10"/>
        <v>0</v>
      </c>
      <c r="AS52" s="794">
        <f t="shared" ca="1" si="10"/>
        <v>0</v>
      </c>
      <c r="AT52" s="794">
        <f t="shared" ca="1" si="10"/>
        <v>0</v>
      </c>
      <c r="AU52" s="794">
        <f t="shared" ca="1" si="10"/>
        <v>0</v>
      </c>
      <c r="AV52" s="99"/>
      <c r="AW52" s="99"/>
      <c r="AX52" s="66"/>
      <c r="AY52" s="68"/>
      <c r="AZ52" s="48"/>
      <c r="BA52" s="48"/>
      <c r="BB52" s="99"/>
      <c r="BC52" s="99"/>
      <c r="BD52" s="99"/>
      <c r="BE52" s="99"/>
      <c r="BF52" s="99"/>
      <c r="BG52" s="99"/>
      <c r="BH52" s="99"/>
      <c r="BI52" s="99"/>
      <c r="BJ52" s="99"/>
      <c r="BK52" s="99"/>
      <c r="BL52" s="99"/>
      <c r="BM52" s="99"/>
    </row>
    <row r="53" spans="1:65" s="143" customFormat="1" ht="18" customHeight="1" x14ac:dyDescent="0.2">
      <c r="A53" s="419" t="str">
        <f>IF(ISBLANK('Table 5-D| MPTE HAP'!A62),"",'Table 5-D| MPTE HAP'!A62)</f>
        <v/>
      </c>
      <c r="B53" s="420" t="str">
        <f>IF(ISBLANK('Table 5-D| MPTE HAP'!B62),"",'Table 5-D| MPTE HAP'!B62)</f>
        <v/>
      </c>
      <c r="C53" s="421" t="str">
        <f>IF(ISBLANK('Table 5-D| MPTE HAP'!C62),"",'Table 5-D| MPTE HAP'!C62)</f>
        <v/>
      </c>
      <c r="D53" s="530" t="str">
        <f>IF(ISBLANK('Table 5-D| MPTE HAP'!D62),"",'Table 5-D| MPTE HAP'!D62)</f>
        <v/>
      </c>
      <c r="E53" s="351"/>
      <c r="F53" s="351"/>
      <c r="G53" s="399" t="str">
        <f>IF(A53="","",IF('Table 5-D| MPTE HAP'!P62&gt;0,'Table 5-D| MPTE HAP'!P62,""))</f>
        <v/>
      </c>
      <c r="H53" s="355" t="str">
        <f>IF(A53="","",IF('Table 5-D| MPTE HAP'!Q62="","",'Table 5-D| MPTE HAP'!Q62))</f>
        <v/>
      </c>
      <c r="I53" s="351"/>
      <c r="J53" s="356"/>
      <c r="K53" s="400" t="str">
        <f>IF(A53="","",IF('Table 5-D| MPTE HAP'!S62&gt;0,'Table 5-D| MPTE HAP'!S62,""))</f>
        <v/>
      </c>
      <c r="L53" s="357" t="str">
        <f>IFERROR(IF(OR('Table 5-D| MPTE HAP'!L62="",Q53="",R53="",AND(Q53="YES",T53=0),AND(R53="YES",U53=0)),"",IF(Q53="YES",'Table 5-D| MPTE HAP'!L62*(T53/S53),'Table 5-D| MPTE HAP'!L62))*IF(R53="YES",IF(VLOOKUP(C53,'HAP CAS &amp; Names'!$F$4:$H$186,3,)="YES",(1-U53),1),1),"")</f>
        <v/>
      </c>
      <c r="M53" s="135"/>
      <c r="N53" s="154">
        <f>SUMIF(C53:$C$60,C53,L53:$L$60)</f>
        <v>0</v>
      </c>
      <c r="Q53" s="124" t="str">
        <f t="shared" si="1"/>
        <v/>
      </c>
      <c r="R53" s="124" t="str">
        <f t="shared" si="2"/>
        <v/>
      </c>
      <c r="S53" s="430">
        <f t="shared" si="3"/>
        <v>0</v>
      </c>
      <c r="T53" s="430">
        <f t="shared" si="4"/>
        <v>0</v>
      </c>
      <c r="U53" s="146">
        <f>IF(AND(NOT(A53=""),NOT(B53=""),NOT(C53=""),NOT(ISBLANK(J53))),VLOOKUP(J53,'Emission Controls'!$A$3:$L$16,11,),IF(AND(A53="",NOT(B53=""),NOT(C53="")),U52,0))</f>
        <v>0</v>
      </c>
      <c r="AC53" s="99">
        <v>68122</v>
      </c>
      <c r="AD53" s="99">
        <f t="shared" si="0"/>
        <v>0</v>
      </c>
      <c r="AG53" s="66">
        <f ca="1">'Table 5-D| MPTE HAP'!AG62</f>
        <v>0</v>
      </c>
      <c r="AH53" s="68" t="str">
        <f>AH40</f>
        <v>Engine #1</v>
      </c>
      <c r="AI53" s="48"/>
      <c r="AJ53" s="48"/>
      <c r="AK53" s="794">
        <f ca="1">AK40</f>
        <v>0</v>
      </c>
      <c r="AL53" s="794">
        <f t="shared" ref="AL53:AU53" ca="1" si="11">AL40</f>
        <v>0</v>
      </c>
      <c r="AM53" s="794">
        <f t="shared" ca="1" si="11"/>
        <v>0</v>
      </c>
      <c r="AN53" s="794">
        <f t="shared" ca="1" si="11"/>
        <v>0</v>
      </c>
      <c r="AO53" s="794">
        <f t="shared" ca="1" si="11"/>
        <v>0</v>
      </c>
      <c r="AP53" s="794">
        <f t="shared" ca="1" si="11"/>
        <v>0</v>
      </c>
      <c r="AQ53" s="794">
        <f t="shared" ca="1" si="11"/>
        <v>0</v>
      </c>
      <c r="AR53" s="794">
        <f t="shared" ca="1" si="11"/>
        <v>0</v>
      </c>
      <c r="AS53" s="794">
        <f t="shared" ca="1" si="11"/>
        <v>0</v>
      </c>
      <c r="AT53" s="794">
        <f t="shared" ca="1" si="11"/>
        <v>0</v>
      </c>
      <c r="AU53" s="794">
        <f t="shared" ca="1" si="11"/>
        <v>0</v>
      </c>
      <c r="AV53" s="99"/>
      <c r="AW53" s="99"/>
      <c r="AX53" s="66"/>
      <c r="AY53" s="68"/>
      <c r="AZ53" s="48"/>
      <c r="BA53" s="48"/>
      <c r="BB53" s="99"/>
      <c r="BC53" s="99"/>
      <c r="BD53" s="99"/>
      <c r="BE53" s="99"/>
      <c r="BF53" s="99"/>
      <c r="BG53" s="99"/>
      <c r="BH53" s="99"/>
      <c r="BI53" s="99"/>
      <c r="BJ53" s="99"/>
      <c r="BK53" s="99"/>
      <c r="BL53" s="99"/>
      <c r="BM53" s="99"/>
    </row>
    <row r="54" spans="1:65" s="143" customFormat="1" ht="18" customHeight="1" x14ac:dyDescent="0.2">
      <c r="A54" s="419" t="str">
        <f>IF(ISBLANK('Table 5-D| MPTE HAP'!A63),"",'Table 5-D| MPTE HAP'!A63)</f>
        <v/>
      </c>
      <c r="B54" s="420" t="str">
        <f>IF(ISBLANK('Table 5-D| MPTE HAP'!B63),"",'Table 5-D| MPTE HAP'!B63)</f>
        <v/>
      </c>
      <c r="C54" s="421" t="str">
        <f>IF(ISBLANK('Table 5-D| MPTE HAP'!C63),"",'Table 5-D| MPTE HAP'!C63)</f>
        <v/>
      </c>
      <c r="D54" s="530" t="str">
        <f>IF(ISBLANK('Table 5-D| MPTE HAP'!D63),"",'Table 5-D| MPTE HAP'!D63)</f>
        <v/>
      </c>
      <c r="E54" s="351"/>
      <c r="F54" s="351"/>
      <c r="G54" s="399" t="str">
        <f>IF(A54="","",IF('Table 5-D| MPTE HAP'!P63&gt;0,'Table 5-D| MPTE HAP'!P63,""))</f>
        <v/>
      </c>
      <c r="H54" s="355" t="str">
        <f>IF(A54="","",IF('Table 5-D| MPTE HAP'!Q63="","",'Table 5-D| MPTE HAP'!Q63))</f>
        <v/>
      </c>
      <c r="I54" s="351"/>
      <c r="J54" s="356"/>
      <c r="K54" s="400" t="str">
        <f>IF(A54="","",IF('Table 5-D| MPTE HAP'!S63&gt;0,'Table 5-D| MPTE HAP'!S63,""))</f>
        <v/>
      </c>
      <c r="L54" s="357" t="str">
        <f>IFERROR(IF(OR('Table 5-D| MPTE HAP'!L63="",Q54="",R54="",AND(Q54="YES",T54=0),AND(R54="YES",U54=0)),"",IF(Q54="YES",'Table 5-D| MPTE HAP'!L63*(T54/S54),'Table 5-D| MPTE HAP'!L63))*IF(R54="YES",IF(VLOOKUP(C54,'HAP CAS &amp; Names'!$F$4:$H$186,3,)="YES",(1-U54),1),1),"")</f>
        <v/>
      </c>
      <c r="M54" s="135"/>
      <c r="N54" s="154">
        <f>SUMIF(C54:$C$60,C54,L54:$L$60)</f>
        <v>0</v>
      </c>
      <c r="Q54" s="124" t="str">
        <f t="shared" si="1"/>
        <v/>
      </c>
      <c r="R54" s="124" t="str">
        <f t="shared" si="2"/>
        <v/>
      </c>
      <c r="S54" s="430">
        <f t="shared" si="3"/>
        <v>0</v>
      </c>
      <c r="T54" s="430">
        <f t="shared" si="4"/>
        <v>0</v>
      </c>
      <c r="U54" s="146">
        <f>IF(AND(NOT(A54=""),NOT(B54=""),NOT(C54=""),NOT(ISBLANK(J54))),VLOOKUP(J54,'Emission Controls'!$A$3:$L$16,11,),IF(AND(A54="",NOT(B54=""),NOT(C54="")),U53,0))</f>
        <v>0</v>
      </c>
      <c r="AC54" s="99">
        <v>71432</v>
      </c>
      <c r="AD54" s="99">
        <f t="shared" ca="1" si="0"/>
        <v>0</v>
      </c>
      <c r="AG54" s="66">
        <f ca="1">'Table 5-D| MPTE HAP'!AG63</f>
        <v>0</v>
      </c>
      <c r="AH54" s="68" t="str">
        <f>AH41</f>
        <v>Engine #2</v>
      </c>
      <c r="AI54" s="48"/>
      <c r="AJ54" s="48"/>
      <c r="AK54" s="794">
        <f t="shared" ref="AK54:AU56" ca="1" si="12">AK41</f>
        <v>0</v>
      </c>
      <c r="AL54" s="794">
        <f t="shared" ca="1" si="12"/>
        <v>0</v>
      </c>
      <c r="AM54" s="794">
        <f t="shared" ca="1" si="12"/>
        <v>0</v>
      </c>
      <c r="AN54" s="794">
        <f t="shared" ca="1" si="12"/>
        <v>0</v>
      </c>
      <c r="AO54" s="794">
        <f t="shared" ca="1" si="12"/>
        <v>0</v>
      </c>
      <c r="AP54" s="794">
        <f t="shared" ca="1" si="12"/>
        <v>0</v>
      </c>
      <c r="AQ54" s="794">
        <f t="shared" ca="1" si="12"/>
        <v>0</v>
      </c>
      <c r="AR54" s="794">
        <f t="shared" ca="1" si="12"/>
        <v>0</v>
      </c>
      <c r="AS54" s="794">
        <f t="shared" ca="1" si="12"/>
        <v>0</v>
      </c>
      <c r="AT54" s="794">
        <f t="shared" ca="1" si="12"/>
        <v>0</v>
      </c>
      <c r="AU54" s="794">
        <f t="shared" ca="1" si="12"/>
        <v>0</v>
      </c>
      <c r="AV54" s="99"/>
      <c r="AW54" s="99"/>
      <c r="AX54" s="66"/>
      <c r="AY54" s="68"/>
      <c r="AZ54" s="48"/>
      <c r="BA54" s="48"/>
      <c r="BB54" s="99"/>
      <c r="BC54" s="99"/>
      <c r="BD54" s="99"/>
      <c r="BE54" s="99"/>
      <c r="BF54" s="99"/>
      <c r="BG54" s="99"/>
      <c r="BH54" s="99"/>
      <c r="BI54" s="99"/>
      <c r="BJ54" s="99"/>
      <c r="BK54" s="99"/>
      <c r="BL54" s="99"/>
      <c r="BM54" s="99"/>
    </row>
    <row r="55" spans="1:65" s="143" customFormat="1" ht="18" customHeight="1" x14ac:dyDescent="0.2">
      <c r="A55" s="419" t="str">
        <f>IF(ISBLANK('Table 5-D| MPTE HAP'!A64),"",'Table 5-D| MPTE HAP'!A64)</f>
        <v/>
      </c>
      <c r="B55" s="420" t="str">
        <f>IF(ISBLANK('Table 5-D| MPTE HAP'!B64),"",'Table 5-D| MPTE HAP'!B64)</f>
        <v/>
      </c>
      <c r="C55" s="421" t="str">
        <f>IF(ISBLANK('Table 5-D| MPTE HAP'!C64),"",'Table 5-D| MPTE HAP'!C64)</f>
        <v/>
      </c>
      <c r="D55" s="530" t="str">
        <f>IF(ISBLANK('Table 5-D| MPTE HAP'!D64),"",'Table 5-D| MPTE HAP'!D64)</f>
        <v/>
      </c>
      <c r="E55" s="351"/>
      <c r="F55" s="351"/>
      <c r="G55" s="399" t="str">
        <f>IF(A55="","",IF('Table 5-D| MPTE HAP'!P64&gt;0,'Table 5-D| MPTE HAP'!P64,""))</f>
        <v/>
      </c>
      <c r="H55" s="355" t="str">
        <f>IF(A55="","",IF('Table 5-D| MPTE HAP'!Q64="","",'Table 5-D| MPTE HAP'!Q64))</f>
        <v/>
      </c>
      <c r="I55" s="351"/>
      <c r="J55" s="356"/>
      <c r="K55" s="400" t="str">
        <f>IF(A55="","",IF('Table 5-D| MPTE HAP'!S64&gt;0,'Table 5-D| MPTE HAP'!S64,""))</f>
        <v/>
      </c>
      <c r="L55" s="357" t="str">
        <f>IFERROR(IF(OR('Table 5-D| MPTE HAP'!L64="",Q55="",R55="",AND(Q55="YES",T55=0),AND(R55="YES",U55=0)),"",IF(Q55="YES",'Table 5-D| MPTE HAP'!L64*(T55/S55),'Table 5-D| MPTE HAP'!L64))*IF(R55="YES",IF(VLOOKUP(C55,'HAP CAS &amp; Names'!$F$4:$H$186,3,)="YES",(1-U55),1),1),"")</f>
        <v/>
      </c>
      <c r="M55" s="135"/>
      <c r="N55" s="154">
        <f>SUMIF(C55:$C$60,C55,L55:$L$60)</f>
        <v>0</v>
      </c>
      <c r="Q55" s="124" t="str">
        <f t="shared" si="1"/>
        <v/>
      </c>
      <c r="R55" s="124" t="str">
        <f t="shared" si="2"/>
        <v/>
      </c>
      <c r="S55" s="430">
        <f t="shared" si="3"/>
        <v>0</v>
      </c>
      <c r="T55" s="430">
        <f t="shared" si="4"/>
        <v>0</v>
      </c>
      <c r="U55" s="146">
        <f>IF(AND(NOT(A55=""),NOT(B55=""),NOT(C55=""),NOT(ISBLANK(J55))),VLOOKUP(J55,'Emission Controls'!$A$3:$L$16,11,),IF(AND(A55="",NOT(B55=""),NOT(C55="")),U54,0))</f>
        <v>0</v>
      </c>
      <c r="AC55" s="99">
        <v>71556</v>
      </c>
      <c r="AD55" s="99">
        <f t="shared" si="0"/>
        <v>0</v>
      </c>
      <c r="AG55" s="66">
        <f ca="1">'Table 5-D| MPTE HAP'!AG64</f>
        <v>0</v>
      </c>
      <c r="AH55" s="68" t="str">
        <f>AH42</f>
        <v>Engine #3</v>
      </c>
      <c r="AI55" s="48"/>
      <c r="AJ55" s="48"/>
      <c r="AK55" s="794">
        <f t="shared" ca="1" si="12"/>
        <v>0</v>
      </c>
      <c r="AL55" s="794">
        <f t="shared" ca="1" si="12"/>
        <v>0</v>
      </c>
      <c r="AM55" s="794">
        <f t="shared" ca="1" si="12"/>
        <v>0</v>
      </c>
      <c r="AN55" s="794">
        <f t="shared" ca="1" si="12"/>
        <v>0</v>
      </c>
      <c r="AO55" s="794">
        <f t="shared" ca="1" si="12"/>
        <v>0</v>
      </c>
      <c r="AP55" s="794">
        <f t="shared" ca="1" si="12"/>
        <v>0</v>
      </c>
      <c r="AQ55" s="794">
        <f t="shared" ca="1" si="12"/>
        <v>0</v>
      </c>
      <c r="AR55" s="794">
        <f t="shared" ca="1" si="12"/>
        <v>0</v>
      </c>
      <c r="AS55" s="794">
        <f t="shared" ca="1" si="12"/>
        <v>0</v>
      </c>
      <c r="AT55" s="794">
        <f t="shared" ca="1" si="12"/>
        <v>0</v>
      </c>
      <c r="AU55" s="794">
        <f t="shared" ca="1" si="12"/>
        <v>0</v>
      </c>
      <c r="AV55" s="99"/>
      <c r="AW55" s="99"/>
      <c r="AX55" s="66"/>
      <c r="AY55" s="68"/>
      <c r="AZ55" s="48"/>
      <c r="BA55" s="48"/>
      <c r="BB55" s="99"/>
      <c r="BC55" s="99"/>
      <c r="BD55" s="99"/>
      <c r="BE55" s="99"/>
      <c r="BF55" s="99"/>
      <c r="BG55" s="99"/>
      <c r="BH55" s="99"/>
      <c r="BI55" s="99"/>
      <c r="BJ55" s="99"/>
      <c r="BK55" s="99"/>
      <c r="BL55" s="99"/>
      <c r="BM55" s="99"/>
    </row>
    <row r="56" spans="1:65" s="143" customFormat="1" ht="18" customHeight="1" thickBot="1" x14ac:dyDescent="0.25">
      <c r="A56" s="419" t="str">
        <f>IF(ISBLANK('Table 5-D| MPTE HAP'!A65),"",'Table 5-D| MPTE HAP'!A65)</f>
        <v/>
      </c>
      <c r="B56" s="420" t="str">
        <f>IF(ISBLANK('Table 5-D| MPTE HAP'!B65),"",'Table 5-D| MPTE HAP'!B65)</f>
        <v/>
      </c>
      <c r="C56" s="421" t="str">
        <f>IF(ISBLANK('Table 5-D| MPTE HAP'!C65),"",'Table 5-D| MPTE HAP'!C65)</f>
        <v/>
      </c>
      <c r="D56" s="530" t="str">
        <f>IF(ISBLANK('Table 5-D| MPTE HAP'!D65),"",'Table 5-D| MPTE HAP'!D65)</f>
        <v/>
      </c>
      <c r="E56" s="351"/>
      <c r="F56" s="351"/>
      <c r="G56" s="399" t="str">
        <f>IF(A56="","",IF('Table 5-D| MPTE HAP'!P65&gt;0,'Table 5-D| MPTE HAP'!P65,""))</f>
        <v/>
      </c>
      <c r="H56" s="355" t="str">
        <f>IF(A56="","",IF('Table 5-D| MPTE HAP'!Q65="","",'Table 5-D| MPTE HAP'!Q65))</f>
        <v/>
      </c>
      <c r="I56" s="351"/>
      <c r="J56" s="356"/>
      <c r="K56" s="400" t="str">
        <f>IF(A56="","",IF('Table 5-D| MPTE HAP'!S65&gt;0,'Table 5-D| MPTE HAP'!S65,""))</f>
        <v/>
      </c>
      <c r="L56" s="357" t="str">
        <f>IFERROR(IF(OR('Table 5-D| MPTE HAP'!L65="",Q56="",R56="",AND(Q56="YES",T56=0),AND(R56="YES",U56=0)),"",IF(Q56="YES",'Table 5-D| MPTE HAP'!L65*(T56/S56),'Table 5-D| MPTE HAP'!L65))*IF(R56="YES",IF(VLOOKUP(C56,'HAP CAS &amp; Names'!$F$4:$H$186,3,)="YES",(1-U56),1),1),"")</f>
        <v/>
      </c>
      <c r="M56" s="135"/>
      <c r="N56" s="154">
        <f>SUMIF(C56:$C$60,C56,L56:$L$60)</f>
        <v>0</v>
      </c>
      <c r="Q56" s="124" t="str">
        <f t="shared" si="1"/>
        <v/>
      </c>
      <c r="R56" s="124" t="str">
        <f t="shared" si="2"/>
        <v/>
      </c>
      <c r="S56" s="430">
        <f t="shared" si="3"/>
        <v>0</v>
      </c>
      <c r="T56" s="430">
        <f t="shared" si="4"/>
        <v>0</v>
      </c>
      <c r="U56" s="146">
        <f>IF(AND(NOT(A56=""),NOT(B56=""),NOT(C56=""),NOT(ISBLANK(J56))),VLOOKUP(J56,'Emission Controls'!$A$3:$L$16,11,),IF(AND(A56="",NOT(B56=""),NOT(C56="")),U55,0))</f>
        <v>0</v>
      </c>
      <c r="AC56" s="99">
        <v>72435</v>
      </c>
      <c r="AD56" s="99">
        <f t="shared" si="0"/>
        <v>0</v>
      </c>
      <c r="AG56" s="66">
        <f ca="1">'Table 5-D| MPTE HAP'!AG65</f>
        <v>0</v>
      </c>
      <c r="AH56" s="68" t="str">
        <f>AH43</f>
        <v>Engine #4</v>
      </c>
      <c r="AI56" s="48"/>
      <c r="AJ56" s="48"/>
      <c r="AK56" s="796">
        <f t="shared" ca="1" si="12"/>
        <v>0</v>
      </c>
      <c r="AL56" s="796">
        <f t="shared" ca="1" si="12"/>
        <v>0</v>
      </c>
      <c r="AM56" s="796">
        <f t="shared" ca="1" si="12"/>
        <v>0</v>
      </c>
      <c r="AN56" s="796">
        <f t="shared" ca="1" si="12"/>
        <v>0</v>
      </c>
      <c r="AO56" s="796">
        <f t="shared" ca="1" si="12"/>
        <v>0</v>
      </c>
      <c r="AP56" s="796">
        <f t="shared" ca="1" si="12"/>
        <v>0</v>
      </c>
      <c r="AQ56" s="796">
        <f t="shared" ca="1" si="12"/>
        <v>0</v>
      </c>
      <c r="AR56" s="796">
        <f t="shared" ca="1" si="12"/>
        <v>0</v>
      </c>
      <c r="AS56" s="796">
        <f t="shared" ca="1" si="12"/>
        <v>0</v>
      </c>
      <c r="AT56" s="796">
        <f t="shared" ca="1" si="12"/>
        <v>0</v>
      </c>
      <c r="AU56" s="796">
        <f t="shared" ca="1" si="12"/>
        <v>0</v>
      </c>
      <c r="AV56" s="99"/>
      <c r="AW56" s="99"/>
      <c r="AX56" s="66"/>
      <c r="AY56" s="68"/>
      <c r="AZ56" s="48"/>
      <c r="BA56" s="48"/>
      <c r="BB56" s="99"/>
      <c r="BC56" s="99"/>
      <c r="BD56" s="99"/>
      <c r="BE56" s="99"/>
      <c r="BF56" s="99"/>
      <c r="BG56" s="99"/>
      <c r="BH56" s="99"/>
      <c r="BI56" s="99"/>
      <c r="BJ56" s="99"/>
      <c r="BK56" s="99"/>
      <c r="BL56" s="99"/>
      <c r="BM56" s="99"/>
    </row>
    <row r="57" spans="1:65" s="143" customFormat="1" ht="18" customHeight="1" thickBot="1" x14ac:dyDescent="0.25">
      <c r="A57" s="419" t="str">
        <f>IF(ISBLANK('Table 5-D| MPTE HAP'!A66),"",'Table 5-D| MPTE HAP'!A66)</f>
        <v/>
      </c>
      <c r="B57" s="420" t="str">
        <f>IF(ISBLANK('Table 5-D| MPTE HAP'!B66),"",'Table 5-D| MPTE HAP'!B66)</f>
        <v/>
      </c>
      <c r="C57" s="421" t="str">
        <f>IF(ISBLANK('Table 5-D| MPTE HAP'!C66),"",'Table 5-D| MPTE HAP'!C66)</f>
        <v/>
      </c>
      <c r="D57" s="530" t="str">
        <f>IF(ISBLANK('Table 5-D| MPTE HAP'!D66),"",'Table 5-D| MPTE HAP'!D66)</f>
        <v/>
      </c>
      <c r="E57" s="351"/>
      <c r="F57" s="351"/>
      <c r="G57" s="399" t="str">
        <f>IF(A57="","",IF('Table 5-D| MPTE HAP'!P66&gt;0,'Table 5-D| MPTE HAP'!P66,""))</f>
        <v/>
      </c>
      <c r="H57" s="355" t="str">
        <f>IF(A57="","",IF('Table 5-D| MPTE HAP'!Q66="","",'Table 5-D| MPTE HAP'!Q66))</f>
        <v/>
      </c>
      <c r="I57" s="351"/>
      <c r="J57" s="356"/>
      <c r="K57" s="400" t="str">
        <f>IF(A57="","",IF('Table 5-D| MPTE HAP'!S66&gt;0,'Table 5-D| MPTE HAP'!S66,""))</f>
        <v/>
      </c>
      <c r="L57" s="357" t="str">
        <f>IFERROR(IF(OR('Table 5-D| MPTE HAP'!L66="",Q57="",R57="",AND(Q57="YES",T57=0),AND(R57="YES",U57=0)),"",IF(Q57="YES",'Table 5-D| MPTE HAP'!L66*(T57/S57),'Table 5-D| MPTE HAP'!L66))*IF(R57="YES",IF(VLOOKUP(C57,'HAP CAS &amp; Names'!$F$4:$H$186,3,)="YES",(1-U57),1),1),"")</f>
        <v/>
      </c>
      <c r="M57" s="135"/>
      <c r="N57" s="154">
        <f>SUMIF(C57:$C$60,C57,L57:$L$60)</f>
        <v>0</v>
      </c>
      <c r="Q57" s="124" t="str">
        <f t="shared" si="1"/>
        <v/>
      </c>
      <c r="R57" s="124" t="str">
        <f t="shared" si="2"/>
        <v/>
      </c>
      <c r="S57" s="430">
        <f t="shared" si="3"/>
        <v>0</v>
      </c>
      <c r="T57" s="430">
        <f t="shared" si="4"/>
        <v>0</v>
      </c>
      <c r="U57" s="146">
        <f>IF(AND(NOT(A57=""),NOT(B57=""),NOT(C57=""),NOT(ISBLANK(J57))),VLOOKUP(J57,'Emission Controls'!$A$3:$L$16,11,),IF(AND(A57="",NOT(B57=""),NOT(C57="")),U56,0))</f>
        <v>0</v>
      </c>
      <c r="AC57" s="99">
        <v>74839</v>
      </c>
      <c r="AD57" s="99">
        <f t="shared" si="0"/>
        <v>0</v>
      </c>
      <c r="AG57" s="66"/>
      <c r="AH57" s="68"/>
      <c r="AI57" s="48"/>
      <c r="AJ57" s="50" t="s">
        <v>2490</v>
      </c>
      <c r="AK57" s="797">
        <f ca="1">SUM(AK47:AK56)</f>
        <v>0</v>
      </c>
      <c r="AL57" s="798">
        <f t="shared" ref="AL57:AU57" ca="1" si="13">SUM(AL47:AL56)</f>
        <v>0</v>
      </c>
      <c r="AM57" s="798">
        <f t="shared" ca="1" si="13"/>
        <v>0</v>
      </c>
      <c r="AN57" s="798">
        <f t="shared" ca="1" si="13"/>
        <v>0</v>
      </c>
      <c r="AO57" s="798">
        <f t="shared" ca="1" si="13"/>
        <v>0</v>
      </c>
      <c r="AP57" s="798">
        <f t="shared" ca="1" si="13"/>
        <v>0</v>
      </c>
      <c r="AQ57" s="798">
        <f t="shared" ca="1" si="13"/>
        <v>0</v>
      </c>
      <c r="AR57" s="798">
        <f t="shared" ca="1" si="13"/>
        <v>0</v>
      </c>
      <c r="AS57" s="798">
        <f t="shared" ca="1" si="13"/>
        <v>0</v>
      </c>
      <c r="AT57" s="798">
        <f t="shared" ca="1" si="13"/>
        <v>0</v>
      </c>
      <c r="AU57" s="799">
        <f t="shared" ca="1" si="13"/>
        <v>0</v>
      </c>
      <c r="AV57" s="99"/>
      <c r="AW57" s="99"/>
      <c r="AX57" s="66"/>
      <c r="AY57" s="68"/>
      <c r="AZ57" s="48"/>
      <c r="BA57" s="48"/>
      <c r="BB57" s="99"/>
      <c r="BC57" s="99"/>
      <c r="BD57" s="99"/>
      <c r="BE57" s="99"/>
      <c r="BF57" s="99"/>
      <c r="BG57" s="99"/>
      <c r="BH57" s="99"/>
      <c r="BI57" s="99"/>
      <c r="BJ57" s="99"/>
      <c r="BK57" s="99"/>
      <c r="BL57" s="99"/>
      <c r="BM57" s="99"/>
    </row>
    <row r="58" spans="1:65" s="143" customFormat="1" ht="18" customHeight="1" x14ac:dyDescent="0.2">
      <c r="A58" s="419" t="str">
        <f>IF(ISBLANK('Table 5-D| MPTE HAP'!A67),"",'Table 5-D| MPTE HAP'!A67)</f>
        <v/>
      </c>
      <c r="B58" s="420" t="str">
        <f>IF(ISBLANK('Table 5-D| MPTE HAP'!B67),"",'Table 5-D| MPTE HAP'!B67)</f>
        <v/>
      </c>
      <c r="C58" s="421" t="str">
        <f>IF(ISBLANK('Table 5-D| MPTE HAP'!C67),"",'Table 5-D| MPTE HAP'!C67)</f>
        <v/>
      </c>
      <c r="D58" s="530" t="str">
        <f>IF(ISBLANK('Table 5-D| MPTE HAP'!D67),"",'Table 5-D| MPTE HAP'!D67)</f>
        <v/>
      </c>
      <c r="E58" s="351"/>
      <c r="F58" s="351"/>
      <c r="G58" s="399" t="str">
        <f>IF(A58="","",IF('Table 5-D| MPTE HAP'!P67&gt;0,'Table 5-D| MPTE HAP'!P67,""))</f>
        <v/>
      </c>
      <c r="H58" s="355" t="str">
        <f>IF(A58="","",IF('Table 5-D| MPTE HAP'!Q67="","",'Table 5-D| MPTE HAP'!Q67))</f>
        <v/>
      </c>
      <c r="I58" s="351"/>
      <c r="J58" s="356"/>
      <c r="K58" s="400" t="str">
        <f>IF(A58="","",IF('Table 5-D| MPTE HAP'!S67&gt;0,'Table 5-D| MPTE HAP'!S67,""))</f>
        <v/>
      </c>
      <c r="L58" s="357" t="str">
        <f>IFERROR(IF(OR('Table 5-D| MPTE HAP'!L67="",Q58="",R58="",AND(Q58="YES",T58=0),AND(R58="YES",U58=0)),"",IF(Q58="YES",'Table 5-D| MPTE HAP'!L67*(T58/S58),'Table 5-D| MPTE HAP'!L67))*IF(R58="YES",IF(VLOOKUP(C58,'HAP CAS &amp; Names'!$F$4:$H$186,3,)="YES",(1-U58),1),1),"")</f>
        <v/>
      </c>
      <c r="M58" s="135"/>
      <c r="N58" s="154">
        <f>SUMIF(C58:$C$60,C58,L58:$L$60)</f>
        <v>0</v>
      </c>
      <c r="Q58" s="124" t="str">
        <f t="shared" si="1"/>
        <v/>
      </c>
      <c r="R58" s="124" t="str">
        <f t="shared" si="2"/>
        <v/>
      </c>
      <c r="S58" s="430">
        <f t="shared" si="3"/>
        <v>0</v>
      </c>
      <c r="T58" s="430">
        <f t="shared" si="4"/>
        <v>0</v>
      </c>
      <c r="U58" s="146">
        <f>IF(AND(NOT(A58=""),NOT(B58=""),NOT(C58=""),NOT(ISBLANK(J58))),VLOOKUP(J58,'Emission Controls'!$A$3:$L$16,11,),IF(AND(A58="",NOT(B58=""),NOT(C58="")),U57,0))</f>
        <v>0</v>
      </c>
      <c r="AC58" s="99">
        <v>74873</v>
      </c>
      <c r="AD58" s="99">
        <f t="shared" si="0"/>
        <v>0</v>
      </c>
    </row>
    <row r="59" spans="1:65" s="143" customFormat="1" ht="18" customHeight="1" x14ac:dyDescent="0.2">
      <c r="A59" s="419" t="str">
        <f>IF(ISBLANK('Table 5-D| MPTE HAP'!A68),"",'Table 5-D| MPTE HAP'!A68)</f>
        <v/>
      </c>
      <c r="B59" s="420" t="str">
        <f>IF(ISBLANK('Table 5-D| MPTE HAP'!B68),"",'Table 5-D| MPTE HAP'!B68)</f>
        <v/>
      </c>
      <c r="C59" s="421" t="str">
        <f>IF(ISBLANK('Table 5-D| MPTE HAP'!C68),"",'Table 5-D| MPTE HAP'!C68)</f>
        <v/>
      </c>
      <c r="D59" s="530" t="str">
        <f>IF(ISBLANK('Table 5-D| MPTE HAP'!D68),"",'Table 5-D| MPTE HAP'!D68)</f>
        <v/>
      </c>
      <c r="E59" s="351"/>
      <c r="F59" s="351"/>
      <c r="G59" s="399" t="str">
        <f>IF(A59="","",IF('Table 5-D| MPTE HAP'!P68&gt;0,'Table 5-D| MPTE HAP'!P68,""))</f>
        <v/>
      </c>
      <c r="H59" s="355" t="str">
        <f>IF(A59="","",IF('Table 5-D| MPTE HAP'!Q68="","",'Table 5-D| MPTE HAP'!Q68))</f>
        <v/>
      </c>
      <c r="I59" s="351"/>
      <c r="J59" s="356"/>
      <c r="K59" s="400" t="str">
        <f>IF(A59="","",IF('Table 5-D| MPTE HAP'!S68&gt;0,'Table 5-D| MPTE HAP'!S68,""))</f>
        <v/>
      </c>
      <c r="L59" s="357" t="str">
        <f>IFERROR(IF(OR('Table 5-D| MPTE HAP'!L68="",Q59="",R59="",AND(Q59="YES",T59=0),AND(R59="YES",U59=0)),"",IF(Q59="YES",'Table 5-D| MPTE HAP'!L68*(T59/S59),'Table 5-D| MPTE HAP'!L68))*IF(R59="YES",IF(VLOOKUP(C59,'HAP CAS &amp; Names'!$F$4:$H$186,3,)="YES",(1-U59),1),1),"")</f>
        <v/>
      </c>
      <c r="M59" s="135"/>
      <c r="N59" s="154">
        <f>SUMIF(C59:$C$60,C59,L59:$L$60)</f>
        <v>0</v>
      </c>
      <c r="Q59" s="124" t="str">
        <f t="shared" si="1"/>
        <v/>
      </c>
      <c r="R59" s="124" t="str">
        <f t="shared" si="2"/>
        <v/>
      </c>
      <c r="S59" s="430">
        <f t="shared" si="3"/>
        <v>0</v>
      </c>
      <c r="T59" s="430">
        <f t="shared" si="4"/>
        <v>0</v>
      </c>
      <c r="U59" s="146">
        <f>IF(AND(NOT(A59=""),NOT(B59=""),NOT(C59=""),NOT(ISBLANK(J59))),VLOOKUP(J59,'Emission Controls'!$A$3:$L$16,11,),IF(AND(A59="",NOT(B59=""),NOT(C59="")),U58,0))</f>
        <v>0</v>
      </c>
      <c r="AC59" s="99">
        <v>74884</v>
      </c>
      <c r="AD59" s="99">
        <f t="shared" si="0"/>
        <v>0</v>
      </c>
    </row>
    <row r="60" spans="1:65" s="143" customFormat="1" ht="18" customHeight="1" thickBot="1" x14ac:dyDescent="0.25">
      <c r="A60" s="422" t="str">
        <f>IF(ISBLANK('Table 5-D| MPTE HAP'!A69),"",'Table 5-D| MPTE HAP'!A69)</f>
        <v/>
      </c>
      <c r="B60" s="423" t="str">
        <f>IF(ISBLANK('Table 5-D| MPTE HAP'!B69),"",'Table 5-D| MPTE HAP'!B69)</f>
        <v/>
      </c>
      <c r="C60" s="424" t="str">
        <f>IF(ISBLANK('Table 5-D| MPTE HAP'!C69),"",'Table 5-D| MPTE HAP'!C69)</f>
        <v/>
      </c>
      <c r="D60" s="531" t="str">
        <f>IF(ISBLANK('Table 5-D| MPTE HAP'!D69),"",'Table 5-D| MPTE HAP'!D69)</f>
        <v/>
      </c>
      <c r="E60" s="360"/>
      <c r="F60" s="360"/>
      <c r="G60" s="401" t="str">
        <f>IF(A60="","",IF('Table 5-D| MPTE HAP'!P69&gt;0,'Table 5-D| MPTE HAP'!P69,""))</f>
        <v/>
      </c>
      <c r="H60" s="364" t="str">
        <f>IF(A60="","",IF('Table 5-D| MPTE HAP'!Q69="","",'Table 5-D| MPTE HAP'!Q69))</f>
        <v/>
      </c>
      <c r="I60" s="360"/>
      <c r="J60" s="365"/>
      <c r="K60" s="402" t="str">
        <f>IF(A60="","",IF('Table 5-D| MPTE HAP'!S69&gt;0,'Table 5-D| MPTE HAP'!S69,""))</f>
        <v/>
      </c>
      <c r="L60" s="366" t="str">
        <f>IFERROR(IF(OR('Table 5-D| MPTE HAP'!L69="",Q60="",R60="",AND(Q60="YES",T60=0),AND(R60="YES",U60=0)),"",IF(Q60="YES",'Table 5-D| MPTE HAP'!L69*(T60/S60),'Table 5-D| MPTE HAP'!L69))*IF(R60="YES",IF(VLOOKUP(C60,'HAP CAS &amp; Names'!$F$4:$H$186,3,)="YES",(1-U60),1),1),"")</f>
        <v/>
      </c>
      <c r="M60" s="135"/>
      <c r="N60" s="154">
        <f>SUMIF(C60:$C$60,C60,L60:$L$60)</f>
        <v>0</v>
      </c>
      <c r="Q60" s="124" t="str">
        <f t="shared" si="1"/>
        <v/>
      </c>
      <c r="R60" s="124" t="str">
        <f t="shared" si="2"/>
        <v/>
      </c>
      <c r="S60" s="430">
        <f t="shared" si="3"/>
        <v>0</v>
      </c>
      <c r="T60" s="430">
        <f t="shared" si="4"/>
        <v>0</v>
      </c>
      <c r="U60" s="146">
        <f>IF(AND(NOT(A60=""),NOT(B60=""),NOT(C60=""),NOT(ISBLANK(J60))),VLOOKUP(J60,'Emission Controls'!$A$3:$L$16,11,),IF(AND(A60="",NOT(B60=""),NOT(C60="")),U59,0))</f>
        <v>0</v>
      </c>
      <c r="AC60" s="99">
        <v>75003</v>
      </c>
      <c r="AD60" s="99">
        <f t="shared" si="0"/>
        <v>0</v>
      </c>
    </row>
    <row r="61" spans="1:65" s="143" customFormat="1" ht="18" customHeight="1" x14ac:dyDescent="0.2">
      <c r="A61" s="48"/>
      <c r="B61" s="48"/>
      <c r="C61" s="48"/>
      <c r="D61" s="48"/>
      <c r="E61" s="48"/>
      <c r="F61" s="48"/>
      <c r="G61" s="48"/>
      <c r="H61" s="48"/>
      <c r="I61" s="48"/>
      <c r="J61" s="144"/>
      <c r="K61" s="144"/>
      <c r="L61" s="48"/>
      <c r="M61" s="135"/>
      <c r="N61" s="154"/>
      <c r="Q61" s="124"/>
      <c r="R61" s="124"/>
      <c r="S61" s="430"/>
      <c r="T61" s="430"/>
      <c r="U61" s="146"/>
      <c r="AC61" s="99">
        <v>75014</v>
      </c>
      <c r="AD61" s="99">
        <f t="shared" ref="AD61:AD92" si="14">SUMIF($C$29:$C$60,AC61,$L$29:$L$60)</f>
        <v>0</v>
      </c>
    </row>
    <row r="62" spans="1:65" s="143" customFormat="1" ht="18" customHeight="1" x14ac:dyDescent="0.2">
      <c r="A62" s="48"/>
      <c r="B62" s="48"/>
      <c r="C62" s="48"/>
      <c r="D62" s="48"/>
      <c r="E62" s="48"/>
      <c r="F62" s="48"/>
      <c r="G62" s="48"/>
      <c r="H62" s="48"/>
      <c r="I62" s="48"/>
      <c r="J62" s="144"/>
      <c r="K62" s="144"/>
      <c r="L62" s="48"/>
      <c r="M62" s="135"/>
      <c r="N62" s="154"/>
      <c r="Q62" s="124"/>
      <c r="R62" s="124"/>
      <c r="S62" s="430"/>
      <c r="T62" s="430"/>
      <c r="U62" s="146"/>
      <c r="AC62" s="99">
        <v>75058</v>
      </c>
      <c r="AD62" s="99">
        <f t="shared" si="14"/>
        <v>0</v>
      </c>
    </row>
    <row r="63" spans="1:65" s="143" customFormat="1" ht="18" customHeight="1" x14ac:dyDescent="0.2">
      <c r="A63" s="48"/>
      <c r="B63" s="48"/>
      <c r="C63" s="48"/>
      <c r="D63" s="48"/>
      <c r="E63" s="48"/>
      <c r="F63" s="48"/>
      <c r="G63" s="48"/>
      <c r="H63" s="48"/>
      <c r="I63" s="48"/>
      <c r="J63" s="144"/>
      <c r="K63" s="144"/>
      <c r="L63" s="48"/>
      <c r="M63" s="135"/>
      <c r="N63" s="154"/>
      <c r="Q63" s="124"/>
      <c r="R63" s="124"/>
      <c r="S63" s="430"/>
      <c r="T63" s="430"/>
      <c r="U63" s="146"/>
      <c r="AC63" s="99">
        <v>75070</v>
      </c>
      <c r="AD63" s="99">
        <f t="shared" ca="1" si="14"/>
        <v>0</v>
      </c>
    </row>
    <row r="64" spans="1:65" s="143" customFormat="1" ht="18" customHeight="1" x14ac:dyDescent="0.2">
      <c r="A64" s="48"/>
      <c r="B64" s="48"/>
      <c r="C64" s="48"/>
      <c r="D64" s="48"/>
      <c r="E64" s="48"/>
      <c r="F64" s="48"/>
      <c r="G64" s="48"/>
      <c r="H64" s="48"/>
      <c r="I64" s="48"/>
      <c r="J64" s="144"/>
      <c r="K64" s="144"/>
      <c r="L64" s="48"/>
      <c r="M64" s="135"/>
      <c r="N64" s="154"/>
      <c r="Q64" s="124"/>
      <c r="R64" s="124"/>
      <c r="S64" s="430"/>
      <c r="T64" s="430"/>
      <c r="U64" s="146"/>
      <c r="AC64" s="99">
        <v>75092</v>
      </c>
      <c r="AD64" s="99">
        <f t="shared" si="14"/>
        <v>0</v>
      </c>
    </row>
    <row r="65" spans="1:30" s="143" customFormat="1" ht="18" customHeight="1" x14ac:dyDescent="0.2">
      <c r="A65" s="48"/>
      <c r="B65" s="48"/>
      <c r="C65" s="48"/>
      <c r="D65" s="48"/>
      <c r="E65" s="48"/>
      <c r="F65" s="48"/>
      <c r="G65" s="48"/>
      <c r="H65" s="48"/>
      <c r="I65" s="48"/>
      <c r="J65" s="144"/>
      <c r="K65" s="144"/>
      <c r="L65" s="48"/>
      <c r="M65" s="135"/>
      <c r="N65" s="154"/>
      <c r="Q65" s="124"/>
      <c r="R65" s="124"/>
      <c r="S65" s="430"/>
      <c r="T65" s="430"/>
      <c r="U65" s="146"/>
      <c r="AC65" s="99">
        <v>75150</v>
      </c>
      <c r="AD65" s="99">
        <f t="shared" si="14"/>
        <v>0</v>
      </c>
    </row>
    <row r="66" spans="1:30" s="143" customFormat="1" ht="18" customHeight="1" x14ac:dyDescent="0.2">
      <c r="A66" s="48"/>
      <c r="B66" s="48"/>
      <c r="C66" s="48"/>
      <c r="D66" s="48"/>
      <c r="E66" s="48"/>
      <c r="F66" s="48"/>
      <c r="G66" s="48"/>
      <c r="H66" s="48"/>
      <c r="I66" s="48"/>
      <c r="J66" s="144"/>
      <c r="K66" s="144"/>
      <c r="L66" s="48"/>
      <c r="M66" s="135"/>
      <c r="N66" s="154"/>
      <c r="Q66" s="124"/>
      <c r="R66" s="124"/>
      <c r="S66" s="430"/>
      <c r="T66" s="430"/>
      <c r="U66" s="146"/>
      <c r="AC66" s="99">
        <v>75218</v>
      </c>
      <c r="AD66" s="99">
        <f t="shared" si="14"/>
        <v>0</v>
      </c>
    </row>
    <row r="67" spans="1:30" s="143" customFormat="1" ht="18" customHeight="1" x14ac:dyDescent="0.2">
      <c r="A67" s="48"/>
      <c r="B67" s="48"/>
      <c r="C67" s="48"/>
      <c r="D67" s="48"/>
      <c r="E67" s="48"/>
      <c r="F67" s="48"/>
      <c r="G67" s="48"/>
      <c r="H67" s="48"/>
      <c r="I67" s="48"/>
      <c r="J67" s="144"/>
      <c r="K67" s="144"/>
      <c r="L67" s="48"/>
      <c r="M67" s="135"/>
      <c r="N67" s="154"/>
      <c r="Q67" s="124"/>
      <c r="R67" s="124"/>
      <c r="S67" s="430"/>
      <c r="T67" s="430"/>
      <c r="U67" s="146"/>
      <c r="AC67" s="99">
        <v>75252</v>
      </c>
      <c r="AD67" s="99">
        <f t="shared" si="14"/>
        <v>0</v>
      </c>
    </row>
    <row r="68" spans="1:30" s="143" customFormat="1" ht="18" customHeight="1" x14ac:dyDescent="0.2">
      <c r="A68" s="48"/>
      <c r="B68" s="48"/>
      <c r="C68" s="48"/>
      <c r="D68" s="48"/>
      <c r="E68" s="48"/>
      <c r="F68" s="48"/>
      <c r="G68" s="48"/>
      <c r="H68" s="48"/>
      <c r="I68" s="48"/>
      <c r="J68" s="144"/>
      <c r="K68" s="144"/>
      <c r="L68" s="48"/>
      <c r="M68" s="135"/>
      <c r="N68" s="154"/>
      <c r="Q68" s="124"/>
      <c r="R68" s="124"/>
      <c r="S68" s="430"/>
      <c r="T68" s="430"/>
      <c r="U68" s="146"/>
      <c r="AC68" s="99">
        <v>75343</v>
      </c>
      <c r="AD68" s="99">
        <f t="shared" si="14"/>
        <v>0</v>
      </c>
    </row>
    <row r="69" spans="1:30" s="143" customFormat="1" ht="18" customHeight="1" x14ac:dyDescent="0.2">
      <c r="A69" s="48"/>
      <c r="B69" s="48"/>
      <c r="C69" s="48"/>
      <c r="D69" s="48"/>
      <c r="E69" s="48"/>
      <c r="F69" s="48"/>
      <c r="G69" s="48"/>
      <c r="H69" s="48"/>
      <c r="I69" s="48"/>
      <c r="J69" s="144"/>
      <c r="K69" s="144"/>
      <c r="L69" s="48"/>
      <c r="M69" s="135"/>
      <c r="N69" s="154"/>
      <c r="Q69" s="124"/>
      <c r="R69" s="124"/>
      <c r="S69" s="430"/>
      <c r="T69" s="430"/>
      <c r="U69" s="146"/>
      <c r="AC69" s="99">
        <v>75354</v>
      </c>
      <c r="AD69" s="99">
        <f t="shared" si="14"/>
        <v>0</v>
      </c>
    </row>
    <row r="70" spans="1:30" s="143" customFormat="1" ht="18" customHeight="1" x14ac:dyDescent="0.2">
      <c r="A70" s="48"/>
      <c r="B70" s="48"/>
      <c r="C70" s="48"/>
      <c r="D70" s="48"/>
      <c r="E70" s="48"/>
      <c r="F70" s="48"/>
      <c r="G70" s="48"/>
      <c r="H70" s="48"/>
      <c r="I70" s="48"/>
      <c r="J70" s="144"/>
      <c r="K70" s="144"/>
      <c r="L70" s="48"/>
      <c r="M70" s="135"/>
      <c r="N70" s="154"/>
      <c r="Q70" s="124"/>
      <c r="R70" s="124"/>
      <c r="S70" s="430"/>
      <c r="T70" s="430"/>
      <c r="U70" s="146"/>
      <c r="AC70" s="99">
        <v>75445</v>
      </c>
      <c r="AD70" s="99">
        <f t="shared" si="14"/>
        <v>0</v>
      </c>
    </row>
    <row r="71" spans="1:30" s="143" customFormat="1" ht="18" customHeight="1" x14ac:dyDescent="0.2">
      <c r="A71" s="48"/>
      <c r="B71" s="48"/>
      <c r="C71" s="48"/>
      <c r="D71" s="48"/>
      <c r="E71" s="48"/>
      <c r="F71" s="48"/>
      <c r="G71" s="48"/>
      <c r="H71" s="48"/>
      <c r="I71" s="48"/>
      <c r="J71" s="144"/>
      <c r="K71" s="144"/>
      <c r="L71" s="48"/>
      <c r="M71" s="135"/>
      <c r="N71" s="154"/>
      <c r="Q71" s="124"/>
      <c r="R71" s="124"/>
      <c r="S71" s="430"/>
      <c r="T71" s="430"/>
      <c r="U71" s="146"/>
      <c r="AC71" s="99">
        <v>75558</v>
      </c>
      <c r="AD71" s="99">
        <f t="shared" si="14"/>
        <v>0</v>
      </c>
    </row>
    <row r="72" spans="1:30" s="143" customFormat="1" ht="18" customHeight="1" x14ac:dyDescent="0.2">
      <c r="A72" s="48"/>
      <c r="B72" s="48"/>
      <c r="C72" s="48"/>
      <c r="D72" s="48"/>
      <c r="E72" s="48"/>
      <c r="F72" s="48"/>
      <c r="G72" s="48"/>
      <c r="H72" s="48"/>
      <c r="I72" s="48"/>
      <c r="J72" s="144"/>
      <c r="K72" s="144"/>
      <c r="L72" s="48"/>
      <c r="M72" s="135"/>
      <c r="N72" s="154"/>
      <c r="Q72" s="124"/>
      <c r="R72" s="124"/>
      <c r="S72" s="430"/>
      <c r="T72" s="430"/>
      <c r="U72" s="146"/>
      <c r="AC72" s="99">
        <v>75569</v>
      </c>
      <c r="AD72" s="99">
        <f t="shared" si="14"/>
        <v>0</v>
      </c>
    </row>
    <row r="73" spans="1:30" s="143" customFormat="1" ht="18" customHeight="1" x14ac:dyDescent="0.2">
      <c r="A73" s="48"/>
      <c r="B73" s="48"/>
      <c r="C73" s="48"/>
      <c r="D73" s="48"/>
      <c r="E73" s="48"/>
      <c r="F73" s="48"/>
      <c r="G73" s="48"/>
      <c r="H73" s="48"/>
      <c r="I73" s="48"/>
      <c r="J73" s="144"/>
      <c r="K73" s="144"/>
      <c r="L73" s="48"/>
      <c r="M73" s="135"/>
      <c r="N73" s="154"/>
      <c r="Q73" s="124"/>
      <c r="R73" s="124"/>
      <c r="S73" s="430"/>
      <c r="T73" s="430"/>
      <c r="U73" s="146"/>
      <c r="AC73" s="99">
        <v>76448</v>
      </c>
      <c r="AD73" s="99">
        <f t="shared" si="14"/>
        <v>0</v>
      </c>
    </row>
    <row r="74" spans="1:30" s="143" customFormat="1" ht="18" customHeight="1" x14ac:dyDescent="0.2">
      <c r="A74" s="48"/>
      <c r="B74" s="48"/>
      <c r="C74" s="48"/>
      <c r="D74" s="48"/>
      <c r="E74" s="48"/>
      <c r="F74" s="48"/>
      <c r="G74" s="48"/>
      <c r="H74" s="48"/>
      <c r="I74" s="48"/>
      <c r="J74" s="144"/>
      <c r="K74" s="144"/>
      <c r="L74" s="48"/>
      <c r="M74" s="135"/>
      <c r="N74" s="154"/>
      <c r="Q74" s="124"/>
      <c r="R74" s="124"/>
      <c r="S74" s="430"/>
      <c r="T74" s="430"/>
      <c r="U74" s="146"/>
      <c r="AC74" s="99">
        <v>77474</v>
      </c>
      <c r="AD74" s="99">
        <f t="shared" si="14"/>
        <v>0</v>
      </c>
    </row>
    <row r="75" spans="1:30" s="143" customFormat="1" ht="18" customHeight="1" x14ac:dyDescent="0.2">
      <c r="A75" s="48"/>
      <c r="B75" s="48"/>
      <c r="C75" s="48"/>
      <c r="D75" s="48"/>
      <c r="E75" s="48"/>
      <c r="F75" s="48"/>
      <c r="G75" s="48"/>
      <c r="H75" s="48"/>
      <c r="I75" s="48"/>
      <c r="J75" s="144"/>
      <c r="K75" s="144"/>
      <c r="L75" s="48"/>
      <c r="M75" s="135"/>
      <c r="N75" s="154"/>
      <c r="Q75" s="124"/>
      <c r="R75" s="124"/>
      <c r="S75" s="430"/>
      <c r="T75" s="430"/>
      <c r="U75" s="146"/>
      <c r="AC75" s="99">
        <v>77781</v>
      </c>
      <c r="AD75" s="99">
        <f t="shared" si="14"/>
        <v>0</v>
      </c>
    </row>
    <row r="76" spans="1:30" s="143" customFormat="1" ht="18" customHeight="1" x14ac:dyDescent="0.2">
      <c r="A76" s="48"/>
      <c r="B76" s="48"/>
      <c r="C76" s="48"/>
      <c r="D76" s="48"/>
      <c r="E76" s="48"/>
      <c r="F76" s="48"/>
      <c r="G76" s="48"/>
      <c r="H76" s="48"/>
      <c r="I76" s="48"/>
      <c r="J76" s="144"/>
      <c r="K76" s="144"/>
      <c r="L76" s="48"/>
      <c r="M76" s="135"/>
      <c r="N76" s="154"/>
      <c r="Q76" s="124"/>
      <c r="R76" s="124"/>
      <c r="S76" s="430"/>
      <c r="T76" s="430"/>
      <c r="U76" s="146"/>
      <c r="AC76" s="99">
        <v>78591</v>
      </c>
      <c r="AD76" s="99">
        <f t="shared" si="14"/>
        <v>0</v>
      </c>
    </row>
    <row r="77" spans="1:30" s="143" customFormat="1" ht="18" customHeight="1" x14ac:dyDescent="0.2">
      <c r="A77" s="48"/>
      <c r="B77" s="48"/>
      <c r="C77" s="48"/>
      <c r="D77" s="48"/>
      <c r="E77" s="48"/>
      <c r="F77" s="48"/>
      <c r="G77" s="48"/>
      <c r="H77" s="48"/>
      <c r="I77" s="48"/>
      <c r="J77" s="144"/>
      <c r="K77" s="144"/>
      <c r="L77" s="48"/>
      <c r="M77" s="135"/>
      <c r="N77" s="154"/>
      <c r="Q77" s="124"/>
      <c r="R77" s="124"/>
      <c r="S77" s="430"/>
      <c r="T77" s="430"/>
      <c r="U77" s="146"/>
      <c r="AC77" s="99">
        <v>78875</v>
      </c>
      <c r="AD77" s="99">
        <f t="shared" si="14"/>
        <v>0</v>
      </c>
    </row>
    <row r="78" spans="1:30" s="143" customFormat="1" ht="18" customHeight="1" x14ac:dyDescent="0.2">
      <c r="A78" s="48"/>
      <c r="B78" s="48"/>
      <c r="C78" s="48"/>
      <c r="D78" s="48"/>
      <c r="E78" s="48"/>
      <c r="F78" s="48"/>
      <c r="G78" s="48"/>
      <c r="H78" s="48"/>
      <c r="I78" s="48"/>
      <c r="J78" s="144"/>
      <c r="K78" s="144"/>
      <c r="L78" s="48"/>
      <c r="M78" s="135"/>
      <c r="N78" s="154"/>
      <c r="Q78" s="124"/>
      <c r="R78" s="124"/>
      <c r="S78" s="430"/>
      <c r="T78" s="430"/>
      <c r="U78" s="146"/>
      <c r="AC78" s="99">
        <v>79005</v>
      </c>
      <c r="AD78" s="99">
        <f t="shared" si="14"/>
        <v>0</v>
      </c>
    </row>
    <row r="79" spans="1:30" s="143" customFormat="1" ht="18" customHeight="1" x14ac:dyDescent="0.2">
      <c r="A79" s="48"/>
      <c r="B79" s="48"/>
      <c r="C79" s="48"/>
      <c r="D79" s="48"/>
      <c r="E79" s="48"/>
      <c r="F79" s="48"/>
      <c r="G79" s="48"/>
      <c r="H79" s="48"/>
      <c r="I79" s="48"/>
      <c r="J79" s="144"/>
      <c r="K79" s="144"/>
      <c r="L79" s="48"/>
      <c r="M79" s="135"/>
      <c r="N79" s="154"/>
      <c r="Q79" s="124"/>
      <c r="R79" s="124"/>
      <c r="S79" s="430"/>
      <c r="T79" s="430"/>
      <c r="U79" s="146"/>
      <c r="AC79" s="99">
        <v>79016</v>
      </c>
      <c r="AD79" s="99">
        <f t="shared" si="14"/>
        <v>0</v>
      </c>
    </row>
    <row r="80" spans="1:30" s="143" customFormat="1" ht="18" customHeight="1" x14ac:dyDescent="0.2">
      <c r="A80" s="48"/>
      <c r="B80" s="48"/>
      <c r="C80" s="48"/>
      <c r="D80" s="48"/>
      <c r="E80" s="48"/>
      <c r="F80" s="48"/>
      <c r="G80" s="48"/>
      <c r="H80" s="48"/>
      <c r="I80" s="48"/>
      <c r="J80" s="144"/>
      <c r="K80" s="144"/>
      <c r="L80" s="48"/>
      <c r="M80" s="135"/>
      <c r="N80" s="154"/>
      <c r="Q80" s="124"/>
      <c r="R80" s="124"/>
      <c r="S80" s="430"/>
      <c r="T80" s="430"/>
      <c r="U80" s="146"/>
      <c r="AC80" s="99">
        <v>79061</v>
      </c>
      <c r="AD80" s="99">
        <f t="shared" si="14"/>
        <v>0</v>
      </c>
    </row>
    <row r="81" spans="1:30" s="143" customFormat="1" ht="18" customHeight="1" x14ac:dyDescent="0.2">
      <c r="A81" s="48"/>
      <c r="B81" s="48"/>
      <c r="C81" s="48"/>
      <c r="D81" s="48"/>
      <c r="E81" s="48"/>
      <c r="F81" s="48"/>
      <c r="G81" s="48"/>
      <c r="H81" s="48"/>
      <c r="I81" s="48"/>
      <c r="J81" s="144"/>
      <c r="K81" s="144"/>
      <c r="L81" s="48"/>
      <c r="M81" s="135"/>
      <c r="N81" s="154"/>
      <c r="Q81" s="124"/>
      <c r="R81" s="124"/>
      <c r="S81" s="430"/>
      <c r="T81" s="430"/>
      <c r="U81" s="146"/>
      <c r="AC81" s="99">
        <v>79107</v>
      </c>
      <c r="AD81" s="99">
        <f t="shared" si="14"/>
        <v>0</v>
      </c>
    </row>
    <row r="82" spans="1:30" s="143" customFormat="1" ht="18" customHeight="1" x14ac:dyDescent="0.2">
      <c r="A82" s="48"/>
      <c r="B82" s="48"/>
      <c r="C82" s="48"/>
      <c r="D82" s="48"/>
      <c r="E82" s="48"/>
      <c r="F82" s="48"/>
      <c r="G82" s="48"/>
      <c r="H82" s="48"/>
      <c r="I82" s="48"/>
      <c r="J82" s="144"/>
      <c r="K82" s="144"/>
      <c r="L82" s="48"/>
      <c r="M82" s="135"/>
      <c r="N82" s="154"/>
      <c r="Q82" s="124"/>
      <c r="R82" s="124"/>
      <c r="S82" s="430"/>
      <c r="T82" s="430"/>
      <c r="U82" s="146"/>
      <c r="AC82" s="99">
        <v>79118</v>
      </c>
      <c r="AD82" s="99">
        <f t="shared" si="14"/>
        <v>0</v>
      </c>
    </row>
    <row r="83" spans="1:30" s="143" customFormat="1" ht="18" customHeight="1" x14ac:dyDescent="0.2">
      <c r="A83" s="48"/>
      <c r="B83" s="48"/>
      <c r="C83" s="48"/>
      <c r="D83" s="48"/>
      <c r="E83" s="48"/>
      <c r="F83" s="48"/>
      <c r="G83" s="48"/>
      <c r="H83" s="48"/>
      <c r="I83" s="48"/>
      <c r="J83" s="144"/>
      <c r="K83" s="144"/>
      <c r="L83" s="48"/>
      <c r="M83" s="135"/>
      <c r="N83" s="154"/>
      <c r="Q83" s="124"/>
      <c r="R83" s="124"/>
      <c r="S83" s="430"/>
      <c r="T83" s="430"/>
      <c r="U83" s="146"/>
      <c r="AC83" s="99">
        <v>79345</v>
      </c>
      <c r="AD83" s="99">
        <f t="shared" si="14"/>
        <v>0</v>
      </c>
    </row>
    <row r="84" spans="1:30" s="143" customFormat="1" ht="18" customHeight="1" x14ac:dyDescent="0.2">
      <c r="A84" s="48"/>
      <c r="B84" s="48"/>
      <c r="C84" s="48"/>
      <c r="D84" s="48"/>
      <c r="E84" s="48"/>
      <c r="F84" s="48"/>
      <c r="G84" s="48"/>
      <c r="H84" s="48"/>
      <c r="I84" s="48"/>
      <c r="J84" s="144"/>
      <c r="K84" s="144"/>
      <c r="L84" s="48"/>
      <c r="M84" s="135"/>
      <c r="N84" s="154"/>
      <c r="Q84" s="124"/>
      <c r="R84" s="124"/>
      <c r="S84" s="430"/>
      <c r="T84" s="430"/>
      <c r="U84" s="146"/>
      <c r="AC84" s="99">
        <v>79447</v>
      </c>
      <c r="AD84" s="99">
        <f t="shared" si="14"/>
        <v>0</v>
      </c>
    </row>
    <row r="85" spans="1:30" s="143" customFormat="1" ht="18" customHeight="1" x14ac:dyDescent="0.2">
      <c r="A85" s="48"/>
      <c r="B85" s="48"/>
      <c r="C85" s="48"/>
      <c r="D85" s="48"/>
      <c r="E85" s="48"/>
      <c r="F85" s="48"/>
      <c r="G85" s="48"/>
      <c r="H85" s="48"/>
      <c r="I85" s="48"/>
      <c r="J85" s="144"/>
      <c r="K85" s="144"/>
      <c r="L85" s="48"/>
      <c r="M85" s="135"/>
      <c r="N85" s="154"/>
      <c r="Q85" s="124"/>
      <c r="R85" s="124"/>
      <c r="S85" s="430"/>
      <c r="T85" s="430"/>
      <c r="U85" s="146"/>
      <c r="AC85" s="99">
        <v>79469</v>
      </c>
      <c r="AD85" s="99">
        <f t="shared" si="14"/>
        <v>0</v>
      </c>
    </row>
    <row r="86" spans="1:30" s="143" customFormat="1" ht="18" customHeight="1" x14ac:dyDescent="0.2">
      <c r="A86" s="48"/>
      <c r="B86" s="48"/>
      <c r="C86" s="48"/>
      <c r="D86" s="48"/>
      <c r="E86" s="48"/>
      <c r="F86" s="48"/>
      <c r="G86" s="48"/>
      <c r="H86" s="48"/>
      <c r="I86" s="48"/>
      <c r="J86" s="144"/>
      <c r="K86" s="144"/>
      <c r="L86" s="48"/>
      <c r="M86" s="135"/>
      <c r="N86" s="154"/>
      <c r="Q86" s="124"/>
      <c r="R86" s="124"/>
      <c r="S86" s="430"/>
      <c r="T86" s="430"/>
      <c r="U86" s="146"/>
      <c r="AC86" s="99">
        <v>80626</v>
      </c>
      <c r="AD86" s="99">
        <f t="shared" si="14"/>
        <v>0</v>
      </c>
    </row>
    <row r="87" spans="1:30" s="143" customFormat="1" ht="18" customHeight="1" x14ac:dyDescent="0.2">
      <c r="A87" s="48"/>
      <c r="B87" s="48"/>
      <c r="C87" s="48"/>
      <c r="D87" s="48"/>
      <c r="E87" s="48"/>
      <c r="F87" s="48"/>
      <c r="G87" s="48"/>
      <c r="H87" s="48"/>
      <c r="I87" s="48"/>
      <c r="J87" s="144"/>
      <c r="K87" s="144"/>
      <c r="L87" s="48"/>
      <c r="M87" s="135"/>
      <c r="N87" s="154"/>
      <c r="Q87" s="124"/>
      <c r="R87" s="124"/>
      <c r="S87" s="430"/>
      <c r="T87" s="430"/>
      <c r="U87" s="146"/>
      <c r="AC87" s="99">
        <v>82688</v>
      </c>
      <c r="AD87" s="99">
        <f t="shared" si="14"/>
        <v>0</v>
      </c>
    </row>
    <row r="88" spans="1:30" s="143" customFormat="1" ht="18" customHeight="1" x14ac:dyDescent="0.2">
      <c r="A88" s="48"/>
      <c r="B88" s="48"/>
      <c r="C88" s="48"/>
      <c r="D88" s="48"/>
      <c r="E88" s="48"/>
      <c r="F88" s="48"/>
      <c r="G88" s="48"/>
      <c r="H88" s="48"/>
      <c r="I88" s="48"/>
      <c r="J88" s="144"/>
      <c r="K88" s="144"/>
      <c r="L88" s="48"/>
      <c r="M88" s="135"/>
      <c r="N88" s="154"/>
      <c r="Q88" s="124"/>
      <c r="R88" s="124"/>
      <c r="S88" s="430"/>
      <c r="T88" s="430"/>
      <c r="U88" s="146"/>
      <c r="AC88" s="99">
        <v>84742</v>
      </c>
      <c r="AD88" s="99">
        <f t="shared" si="14"/>
        <v>0</v>
      </c>
    </row>
    <row r="89" spans="1:30" s="143" customFormat="1" ht="18" customHeight="1" x14ac:dyDescent="0.2">
      <c r="A89" s="48"/>
      <c r="B89" s="48"/>
      <c r="C89" s="48"/>
      <c r="D89" s="48"/>
      <c r="E89" s="48"/>
      <c r="F89" s="48"/>
      <c r="G89" s="48"/>
      <c r="H89" s="48"/>
      <c r="I89" s="48"/>
      <c r="J89" s="144"/>
      <c r="K89" s="144"/>
      <c r="L89" s="48"/>
      <c r="M89" s="135"/>
      <c r="N89" s="154"/>
      <c r="Q89" s="124"/>
      <c r="R89" s="124"/>
      <c r="S89" s="430"/>
      <c r="T89" s="430"/>
      <c r="U89" s="146"/>
      <c r="AC89" s="99">
        <v>85449</v>
      </c>
      <c r="AD89" s="99">
        <f t="shared" si="14"/>
        <v>0</v>
      </c>
    </row>
    <row r="90" spans="1:30" s="143" customFormat="1" ht="18" customHeight="1" x14ac:dyDescent="0.2">
      <c r="A90" s="48"/>
      <c r="B90" s="48"/>
      <c r="C90" s="48"/>
      <c r="D90" s="48"/>
      <c r="E90" s="48"/>
      <c r="F90" s="48"/>
      <c r="G90" s="48"/>
      <c r="H90" s="48"/>
      <c r="I90" s="48"/>
      <c r="J90" s="144"/>
      <c r="K90" s="144"/>
      <c r="L90" s="48"/>
      <c r="M90" s="135"/>
      <c r="N90" s="154"/>
      <c r="Q90" s="124"/>
      <c r="R90" s="124"/>
      <c r="S90" s="430"/>
      <c r="T90" s="430"/>
      <c r="U90" s="146"/>
      <c r="AC90" s="99">
        <v>87683</v>
      </c>
      <c r="AD90" s="99">
        <f t="shared" si="14"/>
        <v>0</v>
      </c>
    </row>
    <row r="91" spans="1:30" s="143" customFormat="1" ht="18" customHeight="1" x14ac:dyDescent="0.2">
      <c r="A91" s="48"/>
      <c r="B91" s="48"/>
      <c r="C91" s="48"/>
      <c r="D91" s="48"/>
      <c r="E91" s="48"/>
      <c r="F91" s="48"/>
      <c r="G91" s="48"/>
      <c r="H91" s="48"/>
      <c r="I91" s="48"/>
      <c r="J91" s="144"/>
      <c r="K91" s="144"/>
      <c r="L91" s="48"/>
      <c r="M91" s="135"/>
      <c r="N91" s="154"/>
      <c r="Q91" s="124"/>
      <c r="R91" s="124"/>
      <c r="S91" s="430"/>
      <c r="T91" s="430"/>
      <c r="U91" s="146"/>
      <c r="AC91" s="99">
        <v>87865</v>
      </c>
      <c r="AD91" s="99">
        <f t="shared" si="14"/>
        <v>0</v>
      </c>
    </row>
    <row r="92" spans="1:30" s="143" customFormat="1" ht="18" customHeight="1" x14ac:dyDescent="0.2">
      <c r="A92" s="48"/>
      <c r="B92" s="48"/>
      <c r="C92" s="48"/>
      <c r="D92" s="48"/>
      <c r="E92" s="48"/>
      <c r="F92" s="48"/>
      <c r="G92" s="48"/>
      <c r="H92" s="48"/>
      <c r="I92" s="48"/>
      <c r="J92" s="144"/>
      <c r="K92" s="144"/>
      <c r="L92" s="48"/>
      <c r="M92" s="135"/>
      <c r="N92" s="154"/>
      <c r="Q92" s="124"/>
      <c r="R92" s="124"/>
      <c r="S92" s="430"/>
      <c r="T92" s="430"/>
      <c r="U92" s="146"/>
      <c r="AC92" s="99">
        <v>88062</v>
      </c>
      <c r="AD92" s="99">
        <f t="shared" si="14"/>
        <v>0</v>
      </c>
    </row>
    <row r="93" spans="1:30" s="143" customFormat="1" ht="18" customHeight="1" x14ac:dyDescent="0.2">
      <c r="A93" s="48"/>
      <c r="B93" s="48"/>
      <c r="C93" s="48"/>
      <c r="D93" s="48"/>
      <c r="E93" s="48"/>
      <c r="F93" s="48"/>
      <c r="G93" s="48"/>
      <c r="H93" s="48"/>
      <c r="I93" s="48"/>
      <c r="J93" s="144"/>
      <c r="K93" s="144"/>
      <c r="L93" s="48"/>
      <c r="M93" s="135"/>
      <c r="N93" s="154"/>
      <c r="Q93" s="124"/>
      <c r="R93" s="124"/>
      <c r="S93" s="430"/>
      <c r="T93" s="430"/>
      <c r="U93" s="146"/>
      <c r="AC93" s="99">
        <v>90040</v>
      </c>
      <c r="AD93" s="99">
        <f t="shared" ref="AD93:AD124" si="15">SUMIF($C$29:$C$60,AC93,$L$29:$L$60)</f>
        <v>0</v>
      </c>
    </row>
    <row r="94" spans="1:30" s="143" customFormat="1" ht="18" customHeight="1" x14ac:dyDescent="0.2">
      <c r="A94" s="48"/>
      <c r="B94" s="48"/>
      <c r="C94" s="48"/>
      <c r="D94" s="48"/>
      <c r="E94" s="48"/>
      <c r="F94" s="48"/>
      <c r="G94" s="48"/>
      <c r="H94" s="48"/>
      <c r="I94" s="48"/>
      <c r="J94" s="144"/>
      <c r="K94" s="144"/>
      <c r="L94" s="48"/>
      <c r="M94" s="135"/>
      <c r="N94" s="154"/>
      <c r="Q94" s="124"/>
      <c r="R94" s="124"/>
      <c r="S94" s="430"/>
      <c r="T94" s="430"/>
      <c r="U94" s="146"/>
      <c r="AC94" s="99">
        <v>91203</v>
      </c>
      <c r="AD94" s="99">
        <f t="shared" ca="1" si="15"/>
        <v>0</v>
      </c>
    </row>
    <row r="95" spans="1:30" s="143" customFormat="1" ht="18" customHeight="1" x14ac:dyDescent="0.2">
      <c r="A95" s="48"/>
      <c r="B95" s="48"/>
      <c r="C95" s="48"/>
      <c r="D95" s="48"/>
      <c r="E95" s="48"/>
      <c r="F95" s="48"/>
      <c r="G95" s="48"/>
      <c r="H95" s="48"/>
      <c r="I95" s="48"/>
      <c r="J95" s="144"/>
      <c r="K95" s="144"/>
      <c r="L95" s="48"/>
      <c r="M95" s="135"/>
      <c r="N95" s="154"/>
      <c r="Q95" s="124"/>
      <c r="R95" s="124"/>
      <c r="S95" s="430"/>
      <c r="T95" s="430"/>
      <c r="U95" s="146"/>
      <c r="AC95" s="99">
        <v>91225</v>
      </c>
      <c r="AD95" s="99">
        <f t="shared" si="15"/>
        <v>0</v>
      </c>
    </row>
    <row r="96" spans="1:30" s="143" customFormat="1" ht="18" customHeight="1" x14ac:dyDescent="0.2">
      <c r="A96" s="48"/>
      <c r="B96" s="48"/>
      <c r="C96" s="48"/>
      <c r="D96" s="48"/>
      <c r="E96" s="48"/>
      <c r="F96" s="48"/>
      <c r="G96" s="48"/>
      <c r="H96" s="48"/>
      <c r="I96" s="48"/>
      <c r="J96" s="144"/>
      <c r="K96" s="144"/>
      <c r="L96" s="48"/>
      <c r="M96" s="135"/>
      <c r="N96" s="154"/>
      <c r="Q96" s="124"/>
      <c r="R96" s="124"/>
      <c r="S96" s="430"/>
      <c r="T96" s="430"/>
      <c r="U96" s="146"/>
      <c r="AC96" s="99">
        <v>91941</v>
      </c>
      <c r="AD96" s="99">
        <f t="shared" si="15"/>
        <v>0</v>
      </c>
    </row>
    <row r="97" spans="1:30" s="143" customFormat="1" ht="18" customHeight="1" x14ac:dyDescent="0.2">
      <c r="A97" s="48"/>
      <c r="B97" s="48"/>
      <c r="C97" s="48"/>
      <c r="D97" s="48"/>
      <c r="E97" s="48"/>
      <c r="F97" s="48"/>
      <c r="G97" s="48"/>
      <c r="H97" s="48"/>
      <c r="I97" s="48"/>
      <c r="J97" s="144"/>
      <c r="K97" s="144"/>
      <c r="L97" s="48"/>
      <c r="M97" s="135"/>
      <c r="N97" s="154"/>
      <c r="Q97" s="124"/>
      <c r="R97" s="124"/>
      <c r="S97" s="430"/>
      <c r="T97" s="430"/>
      <c r="U97" s="146"/>
      <c r="AC97" s="99">
        <v>92524</v>
      </c>
      <c r="AD97" s="99">
        <f t="shared" si="15"/>
        <v>0</v>
      </c>
    </row>
    <row r="98" spans="1:30" s="143" customFormat="1" ht="18" customHeight="1" x14ac:dyDescent="0.2">
      <c r="A98" s="48"/>
      <c r="B98" s="48"/>
      <c r="C98" s="48"/>
      <c r="D98" s="48"/>
      <c r="E98" s="48"/>
      <c r="F98" s="48"/>
      <c r="G98" s="48"/>
      <c r="H98" s="48"/>
      <c r="I98" s="48"/>
      <c r="J98" s="144"/>
      <c r="K98" s="144"/>
      <c r="L98" s="48"/>
      <c r="M98" s="135"/>
      <c r="N98" s="154"/>
      <c r="Q98" s="124"/>
      <c r="R98" s="124"/>
      <c r="S98" s="430"/>
      <c r="T98" s="430"/>
      <c r="U98" s="146"/>
      <c r="AC98" s="99">
        <v>92671</v>
      </c>
      <c r="AD98" s="99">
        <f t="shared" si="15"/>
        <v>0</v>
      </c>
    </row>
    <row r="99" spans="1:30" s="143" customFormat="1" ht="18" customHeight="1" x14ac:dyDescent="0.2">
      <c r="A99" s="48"/>
      <c r="B99" s="48"/>
      <c r="C99" s="48"/>
      <c r="D99" s="48"/>
      <c r="E99" s="48"/>
      <c r="F99" s="48"/>
      <c r="G99" s="48"/>
      <c r="H99" s="48"/>
      <c r="I99" s="48"/>
      <c r="J99" s="144"/>
      <c r="K99" s="144"/>
      <c r="L99" s="48"/>
      <c r="M99" s="135"/>
      <c r="N99" s="154"/>
      <c r="Q99" s="124"/>
      <c r="R99" s="124"/>
      <c r="S99" s="430"/>
      <c r="T99" s="430"/>
      <c r="U99" s="146"/>
      <c r="AC99" s="99">
        <v>92875</v>
      </c>
      <c r="AD99" s="99">
        <f t="shared" si="15"/>
        <v>0</v>
      </c>
    </row>
    <row r="100" spans="1:30" s="143" customFormat="1" ht="18" customHeight="1" x14ac:dyDescent="0.2">
      <c r="A100" s="48"/>
      <c r="B100" s="48"/>
      <c r="C100" s="48"/>
      <c r="D100" s="48"/>
      <c r="E100" s="48"/>
      <c r="F100" s="48"/>
      <c r="G100" s="48"/>
      <c r="H100" s="48"/>
      <c r="I100" s="48"/>
      <c r="J100" s="144"/>
      <c r="K100" s="144"/>
      <c r="L100" s="48"/>
      <c r="M100" s="135"/>
      <c r="N100" s="154"/>
      <c r="Q100" s="124"/>
      <c r="R100" s="124"/>
      <c r="S100" s="430"/>
      <c r="T100" s="430"/>
      <c r="U100" s="146"/>
      <c r="AC100" s="99">
        <v>92933</v>
      </c>
      <c r="AD100" s="99">
        <f t="shared" si="15"/>
        <v>0</v>
      </c>
    </row>
    <row r="101" spans="1:30" s="143" customFormat="1" ht="18" customHeight="1" x14ac:dyDescent="0.2">
      <c r="A101" s="48"/>
      <c r="B101" s="48"/>
      <c r="C101" s="48"/>
      <c r="D101" s="48"/>
      <c r="E101" s="48"/>
      <c r="F101" s="48"/>
      <c r="G101" s="48"/>
      <c r="H101" s="48"/>
      <c r="I101" s="48"/>
      <c r="J101" s="144"/>
      <c r="K101" s="144"/>
      <c r="L101" s="48"/>
      <c r="M101" s="135"/>
      <c r="N101" s="154"/>
      <c r="Q101" s="124"/>
      <c r="R101" s="124"/>
      <c r="S101" s="430"/>
      <c r="T101" s="430"/>
      <c r="U101" s="146"/>
      <c r="AC101" s="99">
        <v>94757</v>
      </c>
      <c r="AD101" s="99">
        <f t="shared" si="15"/>
        <v>0</v>
      </c>
    </row>
    <row r="102" spans="1:30" s="143" customFormat="1" ht="18" customHeight="1" x14ac:dyDescent="0.2">
      <c r="A102" s="48"/>
      <c r="B102" s="48"/>
      <c r="C102" s="48"/>
      <c r="D102" s="48"/>
      <c r="E102" s="48"/>
      <c r="F102" s="48"/>
      <c r="G102" s="48"/>
      <c r="H102" s="48"/>
      <c r="I102" s="48"/>
      <c r="J102" s="144"/>
      <c r="K102" s="144"/>
      <c r="L102" s="48"/>
      <c r="M102" s="135"/>
      <c r="N102" s="154"/>
      <c r="Q102" s="124"/>
      <c r="R102" s="124"/>
      <c r="S102" s="430"/>
      <c r="T102" s="430"/>
      <c r="U102" s="146"/>
      <c r="AC102" s="99">
        <v>95476</v>
      </c>
      <c r="AD102" s="99">
        <f t="shared" si="15"/>
        <v>0</v>
      </c>
    </row>
    <row r="103" spans="1:30" s="143" customFormat="1" ht="18" customHeight="1" x14ac:dyDescent="0.2">
      <c r="A103" s="48"/>
      <c r="B103" s="48"/>
      <c r="C103" s="48"/>
      <c r="D103" s="48"/>
      <c r="E103" s="48"/>
      <c r="F103" s="48"/>
      <c r="G103" s="48"/>
      <c r="H103" s="48"/>
      <c r="I103" s="48"/>
      <c r="J103" s="144"/>
      <c r="K103" s="144"/>
      <c r="L103" s="48"/>
      <c r="M103" s="135"/>
      <c r="N103" s="154"/>
      <c r="Q103" s="124"/>
      <c r="R103" s="124"/>
      <c r="S103" s="430"/>
      <c r="T103" s="430"/>
      <c r="U103" s="146"/>
      <c r="AC103" s="99">
        <v>95487</v>
      </c>
      <c r="AD103" s="99">
        <f t="shared" si="15"/>
        <v>0</v>
      </c>
    </row>
    <row r="104" spans="1:30" s="143" customFormat="1" ht="18" customHeight="1" x14ac:dyDescent="0.2">
      <c r="A104" s="48"/>
      <c r="B104" s="48"/>
      <c r="C104" s="48"/>
      <c r="D104" s="48"/>
      <c r="E104" s="48"/>
      <c r="F104" s="48"/>
      <c r="G104" s="48"/>
      <c r="H104" s="48"/>
      <c r="I104" s="48"/>
      <c r="J104" s="144"/>
      <c r="K104" s="144"/>
      <c r="L104" s="48"/>
      <c r="M104" s="135"/>
      <c r="N104" s="154"/>
      <c r="Q104" s="124"/>
      <c r="R104" s="124"/>
      <c r="S104" s="430"/>
      <c r="T104" s="430"/>
      <c r="U104" s="146"/>
      <c r="AC104" s="99">
        <v>95534</v>
      </c>
      <c r="AD104" s="99">
        <f t="shared" si="15"/>
        <v>0</v>
      </c>
    </row>
    <row r="105" spans="1:30" s="143" customFormat="1" ht="18" customHeight="1" x14ac:dyDescent="0.2">
      <c r="A105" s="48"/>
      <c r="B105" s="48"/>
      <c r="C105" s="48"/>
      <c r="D105" s="48"/>
      <c r="E105" s="48"/>
      <c r="F105" s="48"/>
      <c r="G105" s="48"/>
      <c r="H105" s="48"/>
      <c r="I105" s="48"/>
      <c r="J105" s="144"/>
      <c r="K105" s="144"/>
      <c r="L105" s="48"/>
      <c r="M105" s="135"/>
      <c r="N105" s="154"/>
      <c r="Q105" s="124"/>
      <c r="R105" s="124"/>
      <c r="S105" s="430"/>
      <c r="T105" s="430"/>
      <c r="U105" s="146"/>
      <c r="AC105" s="99">
        <v>95807</v>
      </c>
      <c r="AD105" s="99">
        <f t="shared" si="15"/>
        <v>0</v>
      </c>
    </row>
    <row r="106" spans="1:30" s="143" customFormat="1" ht="18" customHeight="1" x14ac:dyDescent="0.2">
      <c r="A106" s="48"/>
      <c r="B106" s="48"/>
      <c r="C106" s="48"/>
      <c r="D106" s="48"/>
      <c r="E106" s="48"/>
      <c r="F106" s="48"/>
      <c r="G106" s="48"/>
      <c r="H106" s="48"/>
      <c r="I106" s="48"/>
      <c r="J106" s="144"/>
      <c r="K106" s="144"/>
      <c r="L106" s="48"/>
      <c r="M106" s="135"/>
      <c r="N106" s="154"/>
      <c r="Q106" s="124"/>
      <c r="R106" s="124"/>
      <c r="S106" s="430"/>
      <c r="T106" s="430"/>
      <c r="U106" s="146"/>
      <c r="AC106" s="99">
        <v>95954</v>
      </c>
      <c r="AD106" s="99">
        <f t="shared" si="15"/>
        <v>0</v>
      </c>
    </row>
    <row r="107" spans="1:30" s="143" customFormat="1" ht="18" customHeight="1" x14ac:dyDescent="0.2">
      <c r="A107" s="48"/>
      <c r="B107" s="48"/>
      <c r="C107" s="48"/>
      <c r="D107" s="48"/>
      <c r="E107" s="48"/>
      <c r="F107" s="48"/>
      <c r="G107" s="48"/>
      <c r="H107" s="48"/>
      <c r="I107" s="48"/>
      <c r="J107" s="144"/>
      <c r="K107" s="144"/>
      <c r="L107" s="48"/>
      <c r="M107" s="135"/>
      <c r="N107" s="154"/>
      <c r="Q107" s="124"/>
      <c r="R107" s="124"/>
      <c r="S107" s="430"/>
      <c r="T107" s="430"/>
      <c r="U107" s="146"/>
      <c r="AC107" s="99">
        <v>96093</v>
      </c>
      <c r="AD107" s="99">
        <f t="shared" si="15"/>
        <v>0</v>
      </c>
    </row>
    <row r="108" spans="1:30" s="143" customFormat="1" ht="18" customHeight="1" x14ac:dyDescent="0.2">
      <c r="A108" s="48"/>
      <c r="B108" s="48"/>
      <c r="C108" s="48"/>
      <c r="D108" s="48"/>
      <c r="E108" s="48"/>
      <c r="F108" s="48"/>
      <c r="G108" s="48"/>
      <c r="H108" s="48"/>
      <c r="I108" s="48"/>
      <c r="J108" s="144"/>
      <c r="K108" s="144"/>
      <c r="L108" s="48"/>
      <c r="M108" s="135"/>
      <c r="N108" s="154"/>
      <c r="Q108" s="124"/>
      <c r="R108" s="124"/>
      <c r="S108" s="430"/>
      <c r="T108" s="430"/>
      <c r="U108" s="146"/>
      <c r="AC108" s="99">
        <v>96128</v>
      </c>
      <c r="AD108" s="99">
        <f t="shared" si="15"/>
        <v>0</v>
      </c>
    </row>
    <row r="109" spans="1:30" s="143" customFormat="1" ht="18" customHeight="1" x14ac:dyDescent="0.2">
      <c r="A109" s="48"/>
      <c r="B109" s="48"/>
      <c r="C109" s="48"/>
      <c r="D109" s="48"/>
      <c r="E109" s="48"/>
      <c r="F109" s="48"/>
      <c r="G109" s="48"/>
      <c r="H109" s="48"/>
      <c r="I109" s="48"/>
      <c r="J109" s="144"/>
      <c r="K109" s="144"/>
      <c r="L109" s="48"/>
      <c r="M109" s="135"/>
      <c r="N109" s="154"/>
      <c r="Q109" s="124"/>
      <c r="R109" s="124"/>
      <c r="S109" s="430"/>
      <c r="T109" s="430"/>
      <c r="U109" s="146"/>
      <c r="AC109" s="99">
        <v>96457</v>
      </c>
      <c r="AD109" s="99">
        <f t="shared" si="15"/>
        <v>0</v>
      </c>
    </row>
    <row r="110" spans="1:30" s="143" customFormat="1" ht="18" customHeight="1" x14ac:dyDescent="0.2">
      <c r="A110" s="48"/>
      <c r="B110" s="48"/>
      <c r="C110" s="48"/>
      <c r="D110" s="48"/>
      <c r="E110" s="48"/>
      <c r="F110" s="48"/>
      <c r="G110" s="48"/>
      <c r="H110" s="48"/>
      <c r="I110" s="48"/>
      <c r="J110" s="144"/>
      <c r="K110" s="144"/>
      <c r="L110" s="48"/>
      <c r="M110" s="135"/>
      <c r="N110" s="154"/>
      <c r="Q110" s="124"/>
      <c r="R110" s="124"/>
      <c r="S110" s="430"/>
      <c r="T110" s="430"/>
      <c r="U110" s="146"/>
      <c r="AC110" s="99">
        <v>98077</v>
      </c>
      <c r="AD110" s="99">
        <f t="shared" si="15"/>
        <v>0</v>
      </c>
    </row>
    <row r="111" spans="1:30" s="143" customFormat="1" ht="18" customHeight="1" x14ac:dyDescent="0.2">
      <c r="A111" s="48"/>
      <c r="B111" s="48"/>
      <c r="C111" s="48"/>
      <c r="D111" s="48"/>
      <c r="E111" s="48"/>
      <c r="F111" s="48"/>
      <c r="G111" s="48"/>
      <c r="H111" s="48"/>
      <c r="I111" s="48"/>
      <c r="J111" s="144"/>
      <c r="K111" s="144"/>
      <c r="L111" s="48"/>
      <c r="M111" s="135"/>
      <c r="N111" s="154"/>
      <c r="Q111" s="124"/>
      <c r="R111" s="124"/>
      <c r="S111" s="430"/>
      <c r="T111" s="430"/>
      <c r="U111" s="146"/>
      <c r="AC111" s="99">
        <v>98828</v>
      </c>
      <c r="AD111" s="99">
        <f t="shared" si="15"/>
        <v>0</v>
      </c>
    </row>
    <row r="112" spans="1:30" s="143" customFormat="1" ht="18" customHeight="1" x14ac:dyDescent="0.2">
      <c r="A112" s="48"/>
      <c r="B112" s="48"/>
      <c r="C112" s="48"/>
      <c r="D112" s="48"/>
      <c r="E112" s="48"/>
      <c r="F112" s="48"/>
      <c r="G112" s="48"/>
      <c r="H112" s="48"/>
      <c r="I112" s="48"/>
      <c r="J112" s="144"/>
      <c r="K112" s="144"/>
      <c r="L112" s="48"/>
      <c r="M112" s="135"/>
      <c r="N112" s="154"/>
      <c r="Q112" s="124"/>
      <c r="R112" s="124"/>
      <c r="S112" s="430"/>
      <c r="T112" s="430"/>
      <c r="U112" s="146"/>
      <c r="AC112" s="99">
        <v>98862</v>
      </c>
      <c r="AD112" s="99">
        <f t="shared" si="15"/>
        <v>0</v>
      </c>
    </row>
    <row r="113" spans="1:30" s="143" customFormat="1" ht="18" customHeight="1" x14ac:dyDescent="0.2">
      <c r="A113" s="48"/>
      <c r="B113" s="48"/>
      <c r="C113" s="48"/>
      <c r="D113" s="48"/>
      <c r="E113" s="48"/>
      <c r="F113" s="48"/>
      <c r="G113" s="48"/>
      <c r="H113" s="48"/>
      <c r="I113" s="48"/>
      <c r="J113" s="144"/>
      <c r="K113" s="144"/>
      <c r="L113" s="48"/>
      <c r="M113" s="135"/>
      <c r="N113" s="154"/>
      <c r="Q113" s="124"/>
      <c r="R113" s="124"/>
      <c r="S113" s="430"/>
      <c r="T113" s="430"/>
      <c r="U113" s="146"/>
      <c r="AC113" s="99">
        <v>98953</v>
      </c>
      <c r="AD113" s="99">
        <f t="shared" si="15"/>
        <v>0</v>
      </c>
    </row>
    <row r="114" spans="1:30" s="143" customFormat="1" ht="18" customHeight="1" x14ac:dyDescent="0.2">
      <c r="A114" s="48"/>
      <c r="B114" s="48"/>
      <c r="C114" s="48"/>
      <c r="D114" s="48"/>
      <c r="E114" s="48"/>
      <c r="F114" s="48"/>
      <c r="G114" s="48"/>
      <c r="H114" s="48"/>
      <c r="I114" s="48"/>
      <c r="J114" s="144"/>
      <c r="K114" s="144"/>
      <c r="L114" s="48"/>
      <c r="M114" s="135"/>
      <c r="N114" s="154"/>
      <c r="Q114" s="124"/>
      <c r="R114" s="124"/>
      <c r="S114" s="430"/>
      <c r="T114" s="430"/>
      <c r="U114" s="146"/>
      <c r="AC114" s="99">
        <v>100027</v>
      </c>
      <c r="AD114" s="99">
        <f t="shared" si="15"/>
        <v>0</v>
      </c>
    </row>
    <row r="115" spans="1:30" s="143" customFormat="1" ht="18" customHeight="1" x14ac:dyDescent="0.2">
      <c r="A115" s="48"/>
      <c r="B115" s="48"/>
      <c r="C115" s="48"/>
      <c r="D115" s="48"/>
      <c r="E115" s="48"/>
      <c r="F115" s="48"/>
      <c r="G115" s="48"/>
      <c r="H115" s="48"/>
      <c r="I115" s="48"/>
      <c r="J115" s="144"/>
      <c r="K115" s="144"/>
      <c r="L115" s="48"/>
      <c r="M115" s="135"/>
      <c r="N115" s="154"/>
      <c r="Q115" s="124"/>
      <c r="R115" s="124"/>
      <c r="S115" s="430"/>
      <c r="T115" s="430"/>
      <c r="U115" s="146"/>
      <c r="AC115" s="99">
        <v>100414</v>
      </c>
      <c r="AD115" s="99">
        <f t="shared" ca="1" si="15"/>
        <v>0</v>
      </c>
    </row>
    <row r="116" spans="1:30" s="143" customFormat="1" ht="18" customHeight="1" x14ac:dyDescent="0.2">
      <c r="A116" s="48"/>
      <c r="B116" s="48"/>
      <c r="C116" s="48"/>
      <c r="D116" s="48"/>
      <c r="E116" s="48"/>
      <c r="F116" s="48"/>
      <c r="G116" s="48"/>
      <c r="H116" s="48"/>
      <c r="I116" s="48"/>
      <c r="J116" s="144"/>
      <c r="K116" s="144"/>
      <c r="L116" s="48"/>
      <c r="M116" s="135"/>
      <c r="N116" s="154"/>
      <c r="Q116" s="124"/>
      <c r="R116" s="124"/>
      <c r="S116" s="430"/>
      <c r="T116" s="430"/>
      <c r="U116" s="146"/>
      <c r="AC116" s="99">
        <v>100425</v>
      </c>
      <c r="AD116" s="99">
        <f t="shared" si="15"/>
        <v>0</v>
      </c>
    </row>
    <row r="117" spans="1:30" s="143" customFormat="1" ht="18" customHeight="1" x14ac:dyDescent="0.2">
      <c r="A117" s="48"/>
      <c r="B117" s="48"/>
      <c r="C117" s="48"/>
      <c r="D117" s="48"/>
      <c r="E117" s="48"/>
      <c r="F117" s="48"/>
      <c r="G117" s="48"/>
      <c r="H117" s="48"/>
      <c r="I117" s="48"/>
      <c r="J117" s="144"/>
      <c r="K117" s="144"/>
      <c r="L117" s="48"/>
      <c r="M117" s="135"/>
      <c r="N117" s="154"/>
      <c r="Q117" s="124"/>
      <c r="R117" s="124"/>
      <c r="S117" s="430"/>
      <c r="T117" s="430"/>
      <c r="U117" s="146"/>
      <c r="AC117" s="99">
        <v>100447</v>
      </c>
      <c r="AD117" s="99">
        <f t="shared" si="15"/>
        <v>0</v>
      </c>
    </row>
    <row r="118" spans="1:30" s="143" customFormat="1" ht="18" customHeight="1" x14ac:dyDescent="0.2">
      <c r="A118" s="48"/>
      <c r="B118" s="48"/>
      <c r="C118" s="48"/>
      <c r="D118" s="48"/>
      <c r="E118" s="48"/>
      <c r="F118" s="48"/>
      <c r="G118" s="48"/>
      <c r="H118" s="48"/>
      <c r="I118" s="48"/>
      <c r="J118" s="144"/>
      <c r="K118" s="144"/>
      <c r="L118" s="48"/>
      <c r="M118" s="135"/>
      <c r="N118" s="154"/>
      <c r="Q118" s="124"/>
      <c r="R118" s="124"/>
      <c r="S118" s="430"/>
      <c r="T118" s="430"/>
      <c r="U118" s="146"/>
      <c r="AC118" s="99">
        <v>101144</v>
      </c>
      <c r="AD118" s="99">
        <f t="shared" si="15"/>
        <v>0</v>
      </c>
    </row>
    <row r="119" spans="1:30" s="143" customFormat="1" ht="18" customHeight="1" x14ac:dyDescent="0.2">
      <c r="A119" s="48"/>
      <c r="B119" s="48"/>
      <c r="C119" s="48"/>
      <c r="D119" s="48"/>
      <c r="E119" s="48"/>
      <c r="F119" s="48"/>
      <c r="G119" s="48"/>
      <c r="H119" s="48"/>
      <c r="I119" s="48"/>
      <c r="J119" s="144"/>
      <c r="K119" s="144"/>
      <c r="L119" s="48"/>
      <c r="M119" s="135"/>
      <c r="N119" s="154"/>
      <c r="Q119" s="124"/>
      <c r="R119" s="124"/>
      <c r="S119" s="430"/>
      <c r="T119" s="430"/>
      <c r="U119" s="146"/>
      <c r="AC119" s="99">
        <v>101688</v>
      </c>
      <c r="AD119" s="99">
        <f t="shared" si="15"/>
        <v>0</v>
      </c>
    </row>
    <row r="120" spans="1:30" s="143" customFormat="1" ht="18" customHeight="1" x14ac:dyDescent="0.2">
      <c r="A120" s="48"/>
      <c r="B120" s="48"/>
      <c r="C120" s="48"/>
      <c r="D120" s="48"/>
      <c r="E120" s="48"/>
      <c r="F120" s="48"/>
      <c r="G120" s="48"/>
      <c r="H120" s="48"/>
      <c r="I120" s="48"/>
      <c r="J120" s="144"/>
      <c r="K120" s="144"/>
      <c r="L120" s="48"/>
      <c r="M120" s="135"/>
      <c r="N120" s="154"/>
      <c r="Q120" s="124"/>
      <c r="R120" s="124"/>
      <c r="S120" s="430"/>
      <c r="T120" s="430"/>
      <c r="U120" s="146"/>
      <c r="AC120" s="99">
        <v>101779</v>
      </c>
      <c r="AD120" s="99">
        <f t="shared" si="15"/>
        <v>0</v>
      </c>
    </row>
    <row r="121" spans="1:30" s="143" customFormat="1" ht="18" customHeight="1" x14ac:dyDescent="0.2">
      <c r="A121" s="48"/>
      <c r="B121" s="48"/>
      <c r="C121" s="48"/>
      <c r="D121" s="48"/>
      <c r="E121" s="48"/>
      <c r="F121" s="48"/>
      <c r="G121" s="48"/>
      <c r="H121" s="48"/>
      <c r="I121" s="48"/>
      <c r="J121" s="144"/>
      <c r="K121" s="144"/>
      <c r="L121" s="48"/>
      <c r="M121" s="135"/>
      <c r="N121" s="154"/>
      <c r="Q121" s="124"/>
      <c r="R121" s="124"/>
      <c r="S121" s="430"/>
      <c r="T121" s="430"/>
      <c r="U121" s="146"/>
      <c r="AC121" s="99">
        <v>106423</v>
      </c>
      <c r="AD121" s="99">
        <f t="shared" si="15"/>
        <v>0</v>
      </c>
    </row>
    <row r="122" spans="1:30" s="143" customFormat="1" ht="18" customHeight="1" x14ac:dyDescent="0.2">
      <c r="A122" s="48"/>
      <c r="B122" s="48"/>
      <c r="C122" s="48"/>
      <c r="D122" s="48"/>
      <c r="E122" s="48"/>
      <c r="F122" s="48"/>
      <c r="G122" s="48"/>
      <c r="H122" s="48"/>
      <c r="I122" s="48"/>
      <c r="J122" s="144"/>
      <c r="K122" s="144"/>
      <c r="L122" s="48"/>
      <c r="M122" s="135"/>
      <c r="N122" s="154"/>
      <c r="Q122" s="124"/>
      <c r="R122" s="124"/>
      <c r="S122" s="430"/>
      <c r="T122" s="430"/>
      <c r="U122" s="146"/>
      <c r="AC122" s="99">
        <v>106445</v>
      </c>
      <c r="AD122" s="99">
        <f t="shared" si="15"/>
        <v>0</v>
      </c>
    </row>
    <row r="123" spans="1:30" s="143" customFormat="1" ht="18" customHeight="1" x14ac:dyDescent="0.2">
      <c r="A123" s="48"/>
      <c r="B123" s="48"/>
      <c r="C123" s="48"/>
      <c r="D123" s="48"/>
      <c r="E123" s="48"/>
      <c r="F123" s="48"/>
      <c r="G123" s="48"/>
      <c r="H123" s="48"/>
      <c r="I123" s="48"/>
      <c r="J123" s="144"/>
      <c r="K123" s="144"/>
      <c r="L123" s="48"/>
      <c r="M123" s="135"/>
      <c r="N123" s="154"/>
      <c r="Q123" s="124"/>
      <c r="R123" s="124"/>
      <c r="S123" s="430"/>
      <c r="T123" s="430"/>
      <c r="U123" s="146"/>
      <c r="AC123" s="99">
        <v>106467</v>
      </c>
      <c r="AD123" s="99">
        <f t="shared" si="15"/>
        <v>0</v>
      </c>
    </row>
    <row r="124" spans="1:30" s="143" customFormat="1" ht="18" customHeight="1" x14ac:dyDescent="0.2">
      <c r="A124" s="48"/>
      <c r="B124" s="48"/>
      <c r="C124" s="48"/>
      <c r="D124" s="48"/>
      <c r="E124" s="48"/>
      <c r="F124" s="48"/>
      <c r="G124" s="48"/>
      <c r="H124" s="48"/>
      <c r="I124" s="48"/>
      <c r="J124" s="144"/>
      <c r="K124" s="144"/>
      <c r="L124" s="48"/>
      <c r="M124" s="135"/>
      <c r="N124" s="154"/>
      <c r="Q124" s="124"/>
      <c r="R124" s="124"/>
      <c r="S124" s="430"/>
      <c r="T124" s="430"/>
      <c r="U124" s="146"/>
      <c r="AC124" s="99">
        <v>106503</v>
      </c>
      <c r="AD124" s="99">
        <f t="shared" si="15"/>
        <v>0</v>
      </c>
    </row>
    <row r="125" spans="1:30" s="143" customFormat="1" ht="18" customHeight="1" x14ac:dyDescent="0.2">
      <c r="A125" s="48"/>
      <c r="B125" s="48"/>
      <c r="C125" s="48"/>
      <c r="D125" s="48"/>
      <c r="E125" s="48"/>
      <c r="F125" s="48"/>
      <c r="G125" s="48"/>
      <c r="H125" s="48"/>
      <c r="I125" s="48"/>
      <c r="J125" s="144"/>
      <c r="K125" s="144"/>
      <c r="L125" s="48"/>
      <c r="M125" s="135"/>
      <c r="N125" s="154"/>
      <c r="Q125" s="124"/>
      <c r="R125" s="124"/>
      <c r="S125" s="430"/>
      <c r="T125" s="430"/>
      <c r="U125" s="146"/>
      <c r="AC125" s="99">
        <v>106514</v>
      </c>
      <c r="AD125" s="99">
        <f t="shared" ref="AD125:AD156" si="16">SUMIF($C$29:$C$60,AC125,$L$29:$L$60)</f>
        <v>0</v>
      </c>
    </row>
    <row r="126" spans="1:30" s="143" customFormat="1" ht="18" customHeight="1" x14ac:dyDescent="0.2">
      <c r="A126" s="48"/>
      <c r="B126" s="48"/>
      <c r="C126" s="48"/>
      <c r="D126" s="48"/>
      <c r="E126" s="48"/>
      <c r="F126" s="48"/>
      <c r="G126" s="48"/>
      <c r="H126" s="48"/>
      <c r="I126" s="48"/>
      <c r="J126" s="144"/>
      <c r="K126" s="144"/>
      <c r="L126" s="48"/>
      <c r="M126" s="135"/>
      <c r="N126" s="154"/>
      <c r="Q126" s="124"/>
      <c r="R126" s="124"/>
      <c r="S126" s="430"/>
      <c r="T126" s="430"/>
      <c r="U126" s="146"/>
      <c r="AC126" s="99">
        <v>106887</v>
      </c>
      <c r="AD126" s="99">
        <f t="shared" si="16"/>
        <v>0</v>
      </c>
    </row>
    <row r="127" spans="1:30" s="143" customFormat="1" ht="18" customHeight="1" x14ac:dyDescent="0.2">
      <c r="A127" s="48"/>
      <c r="B127" s="48"/>
      <c r="C127" s="48"/>
      <c r="D127" s="48"/>
      <c r="E127" s="48"/>
      <c r="F127" s="48"/>
      <c r="G127" s="48"/>
      <c r="H127" s="48"/>
      <c r="I127" s="48"/>
      <c r="J127" s="144"/>
      <c r="K127" s="144"/>
      <c r="L127" s="48"/>
      <c r="M127" s="135"/>
      <c r="N127" s="154"/>
      <c r="Q127" s="124"/>
      <c r="R127" s="124"/>
      <c r="S127" s="430"/>
      <c r="T127" s="430"/>
      <c r="U127" s="146"/>
      <c r="AC127" s="99">
        <v>106898</v>
      </c>
      <c r="AD127" s="99">
        <f t="shared" si="16"/>
        <v>0</v>
      </c>
    </row>
    <row r="128" spans="1:30" s="143" customFormat="1" ht="18" customHeight="1" x14ac:dyDescent="0.2">
      <c r="A128" s="48"/>
      <c r="B128" s="48"/>
      <c r="C128" s="48"/>
      <c r="D128" s="48"/>
      <c r="E128" s="48"/>
      <c r="F128" s="48"/>
      <c r="G128" s="48"/>
      <c r="H128" s="48"/>
      <c r="I128" s="48"/>
      <c r="J128" s="144"/>
      <c r="K128" s="144"/>
      <c r="L128" s="48"/>
      <c r="M128" s="135"/>
      <c r="N128" s="154"/>
      <c r="Q128" s="124"/>
      <c r="R128" s="124"/>
      <c r="S128" s="430"/>
      <c r="T128" s="430"/>
      <c r="U128" s="146"/>
      <c r="AC128" s="99">
        <v>106934</v>
      </c>
      <c r="AD128" s="99">
        <f t="shared" si="16"/>
        <v>0</v>
      </c>
    </row>
    <row r="129" spans="1:30" s="143" customFormat="1" ht="18" customHeight="1" x14ac:dyDescent="0.2">
      <c r="A129" s="48"/>
      <c r="B129" s="48"/>
      <c r="C129" s="48"/>
      <c r="D129" s="48"/>
      <c r="E129" s="48"/>
      <c r="F129" s="48"/>
      <c r="G129" s="48"/>
      <c r="H129" s="48"/>
      <c r="I129" s="48"/>
      <c r="J129" s="144"/>
      <c r="K129" s="144"/>
      <c r="L129" s="48"/>
      <c r="M129" s="135"/>
      <c r="N129" s="154"/>
      <c r="Q129" s="124"/>
      <c r="R129" s="124"/>
      <c r="S129" s="430"/>
      <c r="T129" s="430"/>
      <c r="U129" s="146"/>
      <c r="AC129" s="99">
        <v>106990</v>
      </c>
      <c r="AD129" s="99">
        <f t="shared" si="16"/>
        <v>0</v>
      </c>
    </row>
    <row r="130" spans="1:30" s="143" customFormat="1" ht="18" customHeight="1" x14ac:dyDescent="0.2">
      <c r="A130" s="48"/>
      <c r="B130" s="48"/>
      <c r="C130" s="48"/>
      <c r="D130" s="48"/>
      <c r="E130" s="48"/>
      <c r="F130" s="48"/>
      <c r="G130" s="48"/>
      <c r="H130" s="48"/>
      <c r="I130" s="48"/>
      <c r="J130" s="144"/>
      <c r="K130" s="144"/>
      <c r="L130" s="48"/>
      <c r="M130" s="135"/>
      <c r="N130" s="154"/>
      <c r="Q130" s="124"/>
      <c r="R130" s="124"/>
      <c r="S130" s="430"/>
      <c r="T130" s="430"/>
      <c r="U130" s="146"/>
      <c r="AC130" s="99">
        <v>107028</v>
      </c>
      <c r="AD130" s="99">
        <f t="shared" si="16"/>
        <v>0</v>
      </c>
    </row>
    <row r="131" spans="1:30" s="143" customFormat="1" ht="18" customHeight="1" x14ac:dyDescent="0.2">
      <c r="A131" s="48"/>
      <c r="B131" s="48"/>
      <c r="C131" s="48"/>
      <c r="D131" s="48"/>
      <c r="E131" s="48"/>
      <c r="F131" s="48"/>
      <c r="G131" s="48"/>
      <c r="H131" s="48"/>
      <c r="I131" s="48"/>
      <c r="J131" s="144"/>
      <c r="K131" s="144"/>
      <c r="L131" s="48"/>
      <c r="M131" s="135"/>
      <c r="N131" s="154"/>
      <c r="Q131" s="124"/>
      <c r="R131" s="124"/>
      <c r="S131" s="430"/>
      <c r="T131" s="430"/>
      <c r="U131" s="146"/>
      <c r="AC131" s="99">
        <v>107051</v>
      </c>
      <c r="AD131" s="99">
        <f t="shared" si="16"/>
        <v>0</v>
      </c>
    </row>
    <row r="132" spans="1:30" s="143" customFormat="1" ht="18" customHeight="1" x14ac:dyDescent="0.2">
      <c r="A132" s="48"/>
      <c r="B132" s="48"/>
      <c r="C132" s="48"/>
      <c r="D132" s="48"/>
      <c r="E132" s="48"/>
      <c r="F132" s="48"/>
      <c r="G132" s="48"/>
      <c r="H132" s="48"/>
      <c r="I132" s="48"/>
      <c r="J132" s="144"/>
      <c r="K132" s="144"/>
      <c r="L132" s="48"/>
      <c r="M132" s="135"/>
      <c r="N132" s="154"/>
      <c r="Q132" s="124"/>
      <c r="R132" s="124"/>
      <c r="S132" s="430"/>
      <c r="T132" s="430"/>
      <c r="U132" s="146"/>
      <c r="AC132" s="99">
        <v>107062</v>
      </c>
      <c r="AD132" s="99">
        <f t="shared" si="16"/>
        <v>0</v>
      </c>
    </row>
    <row r="133" spans="1:30" s="143" customFormat="1" ht="18" customHeight="1" x14ac:dyDescent="0.2">
      <c r="A133" s="48"/>
      <c r="B133" s="48"/>
      <c r="C133" s="48"/>
      <c r="D133" s="48"/>
      <c r="E133" s="48"/>
      <c r="F133" s="48"/>
      <c r="G133" s="48"/>
      <c r="H133" s="48"/>
      <c r="I133" s="48"/>
      <c r="J133" s="144"/>
      <c r="K133" s="144"/>
      <c r="L133" s="48"/>
      <c r="M133" s="135"/>
      <c r="N133" s="154"/>
      <c r="Q133" s="124"/>
      <c r="R133" s="124"/>
      <c r="S133" s="430"/>
      <c r="T133" s="430"/>
      <c r="U133" s="146"/>
      <c r="AC133" s="99">
        <v>107131</v>
      </c>
      <c r="AD133" s="99">
        <f t="shared" si="16"/>
        <v>0</v>
      </c>
    </row>
    <row r="134" spans="1:30" s="143" customFormat="1" ht="18" customHeight="1" x14ac:dyDescent="0.2">
      <c r="A134" s="48"/>
      <c r="B134" s="48"/>
      <c r="C134" s="48"/>
      <c r="D134" s="48"/>
      <c r="E134" s="48"/>
      <c r="F134" s="48"/>
      <c r="G134" s="48"/>
      <c r="H134" s="48"/>
      <c r="I134" s="48"/>
      <c r="J134" s="144"/>
      <c r="K134" s="144"/>
      <c r="L134" s="48"/>
      <c r="M134" s="135"/>
      <c r="N134" s="154"/>
      <c r="Q134" s="124"/>
      <c r="R134" s="124"/>
      <c r="S134" s="430"/>
      <c r="T134" s="430"/>
      <c r="U134" s="146"/>
      <c r="AC134" s="99">
        <v>107211</v>
      </c>
      <c r="AD134" s="99">
        <f t="shared" si="16"/>
        <v>0</v>
      </c>
    </row>
    <row r="135" spans="1:30" s="143" customFormat="1" ht="18" customHeight="1" x14ac:dyDescent="0.2">
      <c r="A135" s="48"/>
      <c r="B135" s="48"/>
      <c r="C135" s="48"/>
      <c r="D135" s="48"/>
      <c r="E135" s="48"/>
      <c r="F135" s="48"/>
      <c r="G135" s="48"/>
      <c r="H135" s="48"/>
      <c r="I135" s="48"/>
      <c r="J135" s="144"/>
      <c r="K135" s="144"/>
      <c r="L135" s="48"/>
      <c r="M135" s="135"/>
      <c r="N135" s="154"/>
      <c r="Q135" s="124"/>
      <c r="R135" s="124"/>
      <c r="S135" s="430"/>
      <c r="T135" s="430"/>
      <c r="U135" s="146"/>
      <c r="AC135" s="99">
        <v>107302</v>
      </c>
      <c r="AD135" s="99">
        <f t="shared" si="16"/>
        <v>0</v>
      </c>
    </row>
    <row r="136" spans="1:30" s="143" customFormat="1" ht="18" customHeight="1" x14ac:dyDescent="0.2">
      <c r="A136" s="48"/>
      <c r="B136" s="48"/>
      <c r="C136" s="48"/>
      <c r="D136" s="48"/>
      <c r="E136" s="48"/>
      <c r="F136" s="48"/>
      <c r="G136" s="48"/>
      <c r="H136" s="48"/>
      <c r="I136" s="48"/>
      <c r="J136" s="144"/>
      <c r="K136" s="144"/>
      <c r="L136" s="48"/>
      <c r="M136" s="135"/>
      <c r="N136" s="154"/>
      <c r="Q136" s="124"/>
      <c r="R136" s="124"/>
      <c r="S136" s="430"/>
      <c r="T136" s="430"/>
      <c r="U136" s="146"/>
      <c r="AC136" s="99">
        <v>108054</v>
      </c>
      <c r="AD136" s="99">
        <f t="shared" si="16"/>
        <v>0</v>
      </c>
    </row>
    <row r="137" spans="1:30" s="143" customFormat="1" ht="18" customHeight="1" x14ac:dyDescent="0.2">
      <c r="A137" s="48"/>
      <c r="B137" s="48"/>
      <c r="C137" s="48"/>
      <c r="D137" s="48"/>
      <c r="E137" s="48"/>
      <c r="F137" s="48"/>
      <c r="G137" s="48"/>
      <c r="H137" s="48"/>
      <c r="I137" s="48"/>
      <c r="J137" s="144"/>
      <c r="K137" s="144"/>
      <c r="L137" s="48"/>
      <c r="M137" s="135"/>
      <c r="N137" s="154"/>
      <c r="Q137" s="124"/>
      <c r="R137" s="124"/>
      <c r="S137" s="430"/>
      <c r="T137" s="430"/>
      <c r="U137" s="146"/>
      <c r="AC137" s="99">
        <v>108101</v>
      </c>
      <c r="AD137" s="99">
        <f t="shared" si="16"/>
        <v>0</v>
      </c>
    </row>
    <row r="138" spans="1:30" s="143" customFormat="1" ht="18" customHeight="1" x14ac:dyDescent="0.2">
      <c r="A138" s="48"/>
      <c r="B138" s="48"/>
      <c r="C138" s="48"/>
      <c r="D138" s="48"/>
      <c r="E138" s="48"/>
      <c r="F138" s="48"/>
      <c r="G138" s="48"/>
      <c r="H138" s="48"/>
      <c r="I138" s="48"/>
      <c r="J138" s="144"/>
      <c r="K138" s="144"/>
      <c r="L138" s="48"/>
      <c r="M138" s="135"/>
      <c r="N138" s="154"/>
      <c r="Q138" s="124"/>
      <c r="R138" s="124"/>
      <c r="S138" s="430"/>
      <c r="T138" s="430"/>
      <c r="U138" s="146"/>
      <c r="AC138" s="99">
        <v>108316</v>
      </c>
      <c r="AD138" s="99">
        <f t="shared" si="16"/>
        <v>0</v>
      </c>
    </row>
    <row r="139" spans="1:30" s="143" customFormat="1" ht="18" customHeight="1" x14ac:dyDescent="0.2">
      <c r="A139" s="48"/>
      <c r="B139" s="48"/>
      <c r="C139" s="48"/>
      <c r="D139" s="48"/>
      <c r="E139" s="48"/>
      <c r="F139" s="48"/>
      <c r="G139" s="48"/>
      <c r="H139" s="48"/>
      <c r="I139" s="48"/>
      <c r="J139" s="144"/>
      <c r="K139" s="144"/>
      <c r="L139" s="48"/>
      <c r="M139" s="135"/>
      <c r="N139" s="154"/>
      <c r="Q139" s="124"/>
      <c r="R139" s="124"/>
      <c r="S139" s="430"/>
      <c r="T139" s="430"/>
      <c r="U139" s="146"/>
      <c r="AC139" s="99">
        <v>108383</v>
      </c>
      <c r="AD139" s="99">
        <f t="shared" si="16"/>
        <v>0</v>
      </c>
    </row>
    <row r="140" spans="1:30" s="143" customFormat="1" ht="18" customHeight="1" x14ac:dyDescent="0.2">
      <c r="A140" s="48"/>
      <c r="B140" s="48"/>
      <c r="C140" s="48"/>
      <c r="D140" s="48"/>
      <c r="E140" s="48"/>
      <c r="F140" s="48"/>
      <c r="G140" s="48"/>
      <c r="H140" s="48"/>
      <c r="I140" s="48"/>
      <c r="J140" s="144"/>
      <c r="K140" s="144"/>
      <c r="L140" s="48"/>
      <c r="M140" s="135"/>
      <c r="N140" s="154"/>
      <c r="Q140" s="124"/>
      <c r="R140" s="124"/>
      <c r="S140" s="430"/>
      <c r="T140" s="430"/>
      <c r="U140" s="146"/>
      <c r="AC140" s="99">
        <v>108394</v>
      </c>
      <c r="AD140" s="99">
        <f t="shared" si="16"/>
        <v>0</v>
      </c>
    </row>
    <row r="141" spans="1:30" s="143" customFormat="1" ht="18" customHeight="1" x14ac:dyDescent="0.2">
      <c r="A141" s="48"/>
      <c r="B141" s="48"/>
      <c r="C141" s="48"/>
      <c r="D141" s="48"/>
      <c r="E141" s="48"/>
      <c r="F141" s="48"/>
      <c r="G141" s="48"/>
      <c r="H141" s="48"/>
      <c r="I141" s="48"/>
      <c r="J141" s="144"/>
      <c r="K141" s="144"/>
      <c r="L141" s="48"/>
      <c r="M141" s="135"/>
      <c r="N141" s="154"/>
      <c r="Q141" s="124"/>
      <c r="R141" s="124"/>
      <c r="S141" s="430"/>
      <c r="T141" s="430"/>
      <c r="U141" s="146"/>
      <c r="AC141" s="99">
        <v>108883</v>
      </c>
      <c r="AD141" s="99">
        <f t="shared" ca="1" si="16"/>
        <v>0</v>
      </c>
    </row>
    <row r="142" spans="1:30" s="143" customFormat="1" ht="18" customHeight="1" x14ac:dyDescent="0.2">
      <c r="A142" s="48"/>
      <c r="B142" s="48"/>
      <c r="C142" s="48"/>
      <c r="D142" s="48"/>
      <c r="E142" s="48"/>
      <c r="F142" s="48"/>
      <c r="G142" s="48"/>
      <c r="H142" s="48"/>
      <c r="I142" s="48"/>
      <c r="J142" s="144"/>
      <c r="K142" s="144"/>
      <c r="L142" s="48"/>
      <c r="M142" s="135"/>
      <c r="N142" s="154"/>
      <c r="Q142" s="124"/>
      <c r="R142" s="124"/>
      <c r="S142" s="430"/>
      <c r="T142" s="430"/>
      <c r="U142" s="146"/>
      <c r="AC142" s="99">
        <v>108907</v>
      </c>
      <c r="AD142" s="99">
        <f t="shared" si="16"/>
        <v>0</v>
      </c>
    </row>
    <row r="143" spans="1:30" s="143" customFormat="1" ht="18" customHeight="1" x14ac:dyDescent="0.2">
      <c r="A143" s="48"/>
      <c r="B143" s="48"/>
      <c r="C143" s="48"/>
      <c r="D143" s="48"/>
      <c r="E143" s="48"/>
      <c r="F143" s="48"/>
      <c r="G143" s="48"/>
      <c r="H143" s="48"/>
      <c r="I143" s="48"/>
      <c r="J143" s="144"/>
      <c r="K143" s="144"/>
      <c r="L143" s="48"/>
      <c r="M143" s="135"/>
      <c r="N143" s="154"/>
      <c r="Q143" s="124"/>
      <c r="R143" s="124"/>
      <c r="S143" s="430"/>
      <c r="T143" s="430"/>
      <c r="U143" s="146"/>
      <c r="AC143" s="99">
        <v>108952</v>
      </c>
      <c r="AD143" s="99">
        <f t="shared" si="16"/>
        <v>0</v>
      </c>
    </row>
    <row r="144" spans="1:30" s="143" customFormat="1" ht="18" customHeight="1" x14ac:dyDescent="0.2">
      <c r="A144" s="48"/>
      <c r="B144" s="48"/>
      <c r="C144" s="48"/>
      <c r="D144" s="48"/>
      <c r="E144" s="48"/>
      <c r="F144" s="48"/>
      <c r="G144" s="48"/>
      <c r="H144" s="48"/>
      <c r="I144" s="48"/>
      <c r="J144" s="144"/>
      <c r="K144" s="144"/>
      <c r="L144" s="48"/>
      <c r="M144" s="135"/>
      <c r="N144" s="154"/>
      <c r="Q144" s="124"/>
      <c r="R144" s="124"/>
      <c r="S144" s="430"/>
      <c r="T144" s="430"/>
      <c r="U144" s="146"/>
      <c r="AC144" s="99">
        <v>110543</v>
      </c>
      <c r="AD144" s="99">
        <f t="shared" ca="1" si="16"/>
        <v>0</v>
      </c>
    </row>
    <row r="145" spans="1:30" s="143" customFormat="1" ht="18" customHeight="1" x14ac:dyDescent="0.2">
      <c r="A145" s="48"/>
      <c r="B145" s="48"/>
      <c r="C145" s="48"/>
      <c r="D145" s="48"/>
      <c r="E145" s="48"/>
      <c r="F145" s="48"/>
      <c r="G145" s="48"/>
      <c r="H145" s="48"/>
      <c r="I145" s="48"/>
      <c r="J145" s="144"/>
      <c r="K145" s="144"/>
      <c r="L145" s="48"/>
      <c r="M145" s="135"/>
      <c r="N145" s="154"/>
      <c r="Q145" s="124"/>
      <c r="R145" s="124"/>
      <c r="S145" s="430"/>
      <c r="T145" s="430"/>
      <c r="U145" s="146"/>
      <c r="AC145" s="99">
        <v>111422</v>
      </c>
      <c r="AD145" s="99">
        <f t="shared" si="16"/>
        <v>0</v>
      </c>
    </row>
    <row r="146" spans="1:30" s="143" customFormat="1" ht="18" customHeight="1" x14ac:dyDescent="0.2">
      <c r="A146" s="48"/>
      <c r="B146" s="48"/>
      <c r="C146" s="48"/>
      <c r="D146" s="48"/>
      <c r="E146" s="48"/>
      <c r="F146" s="48"/>
      <c r="G146" s="48"/>
      <c r="H146" s="48"/>
      <c r="I146" s="48"/>
      <c r="J146" s="144"/>
      <c r="K146" s="144"/>
      <c r="L146" s="48"/>
      <c r="M146" s="135"/>
      <c r="N146" s="154"/>
      <c r="Q146" s="124"/>
      <c r="R146" s="124"/>
      <c r="S146" s="430"/>
      <c r="T146" s="430"/>
      <c r="U146" s="146"/>
      <c r="AC146" s="99">
        <v>111444</v>
      </c>
      <c r="AD146" s="99">
        <f t="shared" si="16"/>
        <v>0</v>
      </c>
    </row>
    <row r="147" spans="1:30" s="143" customFormat="1" ht="18" customHeight="1" x14ac:dyDescent="0.2">
      <c r="A147" s="48"/>
      <c r="B147" s="48"/>
      <c r="C147" s="48"/>
      <c r="D147" s="48"/>
      <c r="E147" s="48"/>
      <c r="F147" s="48"/>
      <c r="G147" s="48"/>
      <c r="H147" s="48"/>
      <c r="I147" s="48"/>
      <c r="J147" s="144"/>
      <c r="K147" s="144"/>
      <c r="L147" s="48"/>
      <c r="M147" s="135"/>
      <c r="N147" s="154"/>
      <c r="Q147" s="124"/>
      <c r="R147" s="124"/>
      <c r="S147" s="430"/>
      <c r="T147" s="430"/>
      <c r="U147" s="146"/>
      <c r="AC147" s="99">
        <v>114261</v>
      </c>
      <c r="AD147" s="99">
        <f t="shared" si="16"/>
        <v>0</v>
      </c>
    </row>
    <row r="148" spans="1:30" s="143" customFormat="1" ht="18" customHeight="1" x14ac:dyDescent="0.2">
      <c r="A148" s="48"/>
      <c r="B148" s="48"/>
      <c r="C148" s="48"/>
      <c r="D148" s="48"/>
      <c r="E148" s="48"/>
      <c r="F148" s="48"/>
      <c r="G148" s="48"/>
      <c r="H148" s="48"/>
      <c r="I148" s="48"/>
      <c r="J148" s="144"/>
      <c r="K148" s="144"/>
      <c r="L148" s="48"/>
      <c r="M148" s="135"/>
      <c r="N148" s="154"/>
      <c r="Q148" s="124"/>
      <c r="R148" s="124"/>
      <c r="S148" s="430"/>
      <c r="T148" s="430"/>
      <c r="U148" s="146"/>
      <c r="AC148" s="99">
        <v>117817</v>
      </c>
      <c r="AD148" s="99">
        <f t="shared" si="16"/>
        <v>0</v>
      </c>
    </row>
    <row r="149" spans="1:30" s="143" customFormat="1" ht="18" customHeight="1" x14ac:dyDescent="0.2">
      <c r="A149" s="48"/>
      <c r="B149" s="48"/>
      <c r="C149" s="48"/>
      <c r="D149" s="48"/>
      <c r="E149" s="48"/>
      <c r="F149" s="48"/>
      <c r="G149" s="48"/>
      <c r="H149" s="48"/>
      <c r="I149" s="48"/>
      <c r="J149" s="144"/>
      <c r="K149" s="144"/>
      <c r="L149" s="48"/>
      <c r="M149" s="135"/>
      <c r="N149" s="154"/>
      <c r="Q149" s="124"/>
      <c r="R149" s="124"/>
      <c r="S149" s="430"/>
      <c r="T149" s="430"/>
      <c r="U149" s="146"/>
      <c r="AC149" s="99">
        <v>118741</v>
      </c>
      <c r="AD149" s="99">
        <f t="shared" si="16"/>
        <v>0</v>
      </c>
    </row>
    <row r="150" spans="1:30" s="143" customFormat="1" ht="18" customHeight="1" x14ac:dyDescent="0.2">
      <c r="A150" s="48"/>
      <c r="B150" s="48"/>
      <c r="C150" s="48"/>
      <c r="D150" s="48"/>
      <c r="E150" s="48"/>
      <c r="F150" s="48"/>
      <c r="G150" s="48"/>
      <c r="H150" s="48"/>
      <c r="I150" s="48"/>
      <c r="J150" s="144"/>
      <c r="K150" s="144"/>
      <c r="L150" s="48"/>
      <c r="M150" s="135"/>
      <c r="N150" s="154"/>
      <c r="Q150" s="124"/>
      <c r="R150" s="124"/>
      <c r="S150" s="430"/>
      <c r="T150" s="430"/>
      <c r="U150" s="146"/>
      <c r="AC150" s="99">
        <v>119904</v>
      </c>
      <c r="AD150" s="99">
        <f t="shared" si="16"/>
        <v>0</v>
      </c>
    </row>
    <row r="151" spans="1:30" s="143" customFormat="1" ht="18" customHeight="1" x14ac:dyDescent="0.2">
      <c r="A151" s="48"/>
      <c r="B151" s="48"/>
      <c r="C151" s="48"/>
      <c r="D151" s="48"/>
      <c r="E151" s="48"/>
      <c r="F151" s="48"/>
      <c r="G151" s="48"/>
      <c r="H151" s="48"/>
      <c r="I151" s="48"/>
      <c r="J151" s="144"/>
      <c r="K151" s="144"/>
      <c r="L151" s="48"/>
      <c r="M151" s="135"/>
      <c r="N151" s="154"/>
      <c r="Q151" s="124"/>
      <c r="R151" s="124"/>
      <c r="S151" s="430"/>
      <c r="T151" s="430"/>
      <c r="U151" s="146"/>
      <c r="AC151" s="99">
        <v>119937</v>
      </c>
      <c r="AD151" s="99">
        <f t="shared" si="16"/>
        <v>0</v>
      </c>
    </row>
    <row r="152" spans="1:30" s="143" customFormat="1" ht="18" customHeight="1" x14ac:dyDescent="0.2">
      <c r="A152" s="48"/>
      <c r="B152" s="48"/>
      <c r="C152" s="48"/>
      <c r="D152" s="48"/>
      <c r="E152" s="48"/>
      <c r="F152" s="48"/>
      <c r="G152" s="48"/>
      <c r="H152" s="48"/>
      <c r="I152" s="48"/>
      <c r="J152" s="144"/>
      <c r="K152" s="144"/>
      <c r="L152" s="48"/>
      <c r="M152" s="135"/>
      <c r="N152" s="154"/>
      <c r="Q152" s="124"/>
      <c r="R152" s="124"/>
      <c r="S152" s="430"/>
      <c r="T152" s="430"/>
      <c r="U152" s="146"/>
      <c r="AC152" s="99">
        <v>120809</v>
      </c>
      <c r="AD152" s="99">
        <f t="shared" si="16"/>
        <v>0</v>
      </c>
    </row>
    <row r="153" spans="1:30" s="143" customFormat="1" ht="18" customHeight="1" x14ac:dyDescent="0.2">
      <c r="A153" s="48"/>
      <c r="B153" s="48"/>
      <c r="C153" s="48"/>
      <c r="D153" s="48"/>
      <c r="E153" s="48"/>
      <c r="F153" s="48"/>
      <c r="G153" s="48"/>
      <c r="H153" s="48"/>
      <c r="I153" s="48"/>
      <c r="J153" s="144"/>
      <c r="K153" s="144"/>
      <c r="L153" s="48"/>
      <c r="M153" s="135"/>
      <c r="N153" s="154"/>
      <c r="Q153" s="124"/>
      <c r="R153" s="124"/>
      <c r="S153" s="430"/>
      <c r="T153" s="430"/>
      <c r="U153" s="146"/>
      <c r="AC153" s="99">
        <v>120821</v>
      </c>
      <c r="AD153" s="99">
        <f t="shared" si="16"/>
        <v>0</v>
      </c>
    </row>
    <row r="154" spans="1:30" s="143" customFormat="1" ht="18" customHeight="1" x14ac:dyDescent="0.2">
      <c r="A154" s="48"/>
      <c r="B154" s="48"/>
      <c r="C154" s="48"/>
      <c r="D154" s="48"/>
      <c r="E154" s="48"/>
      <c r="F154" s="48"/>
      <c r="G154" s="48"/>
      <c r="H154" s="48"/>
      <c r="I154" s="48"/>
      <c r="J154" s="144"/>
      <c r="K154" s="144"/>
      <c r="L154" s="48"/>
      <c r="M154" s="135"/>
      <c r="N154" s="154"/>
      <c r="Q154" s="124"/>
      <c r="R154" s="124"/>
      <c r="S154" s="430"/>
      <c r="T154" s="430"/>
      <c r="U154" s="146"/>
      <c r="AC154" s="99">
        <v>121142</v>
      </c>
      <c r="AD154" s="99">
        <f t="shared" si="16"/>
        <v>0</v>
      </c>
    </row>
    <row r="155" spans="1:30" s="143" customFormat="1" ht="18" customHeight="1" x14ac:dyDescent="0.2">
      <c r="A155" s="48"/>
      <c r="B155" s="48"/>
      <c r="C155" s="48"/>
      <c r="D155" s="48"/>
      <c r="E155" s="48"/>
      <c r="F155" s="48"/>
      <c r="G155" s="48"/>
      <c r="H155" s="48"/>
      <c r="I155" s="48"/>
      <c r="J155" s="144"/>
      <c r="K155" s="144"/>
      <c r="L155" s="48"/>
      <c r="M155" s="135"/>
      <c r="N155" s="154"/>
      <c r="Q155" s="124"/>
      <c r="R155" s="124"/>
      <c r="S155" s="430"/>
      <c r="T155" s="430"/>
      <c r="U155" s="146"/>
      <c r="AC155" s="99">
        <v>121448</v>
      </c>
      <c r="AD155" s="99">
        <f t="shared" si="16"/>
        <v>0</v>
      </c>
    </row>
    <row r="156" spans="1:30" s="143" customFormat="1" ht="18" customHeight="1" x14ac:dyDescent="0.2">
      <c r="A156" s="48"/>
      <c r="B156" s="48"/>
      <c r="C156" s="48"/>
      <c r="D156" s="48"/>
      <c r="E156" s="48"/>
      <c r="F156" s="48"/>
      <c r="G156" s="48"/>
      <c r="H156" s="48"/>
      <c r="I156" s="48"/>
      <c r="J156" s="144"/>
      <c r="K156" s="144"/>
      <c r="L156" s="48"/>
      <c r="M156" s="135"/>
      <c r="N156" s="154"/>
      <c r="Q156" s="124"/>
      <c r="R156" s="124"/>
      <c r="S156" s="430"/>
      <c r="T156" s="430"/>
      <c r="U156" s="146"/>
      <c r="AC156" s="99">
        <v>121697</v>
      </c>
      <c r="AD156" s="99">
        <f t="shared" si="16"/>
        <v>0</v>
      </c>
    </row>
    <row r="157" spans="1:30" s="143" customFormat="1" ht="18" customHeight="1" x14ac:dyDescent="0.2">
      <c r="A157" s="48"/>
      <c r="B157" s="48"/>
      <c r="C157" s="48"/>
      <c r="D157" s="48"/>
      <c r="E157" s="48"/>
      <c r="F157" s="48"/>
      <c r="G157" s="48"/>
      <c r="H157" s="48"/>
      <c r="I157" s="48"/>
      <c r="J157" s="144"/>
      <c r="K157" s="144"/>
      <c r="L157" s="48"/>
      <c r="M157" s="135"/>
      <c r="N157" s="154"/>
      <c r="Q157" s="124"/>
      <c r="R157" s="124"/>
      <c r="S157" s="430"/>
      <c r="T157" s="430"/>
      <c r="U157" s="146"/>
      <c r="AC157" s="99">
        <v>122667</v>
      </c>
      <c r="AD157" s="99">
        <f t="shared" ref="AD157:AD188" si="17">SUMIF($C$29:$C$60,AC157,$L$29:$L$60)</f>
        <v>0</v>
      </c>
    </row>
    <row r="158" spans="1:30" s="143" customFormat="1" ht="18" customHeight="1" x14ac:dyDescent="0.2">
      <c r="A158" s="48"/>
      <c r="B158" s="48"/>
      <c r="C158" s="48"/>
      <c r="D158" s="48"/>
      <c r="E158" s="48"/>
      <c r="F158" s="48"/>
      <c r="G158" s="48"/>
      <c r="H158" s="48"/>
      <c r="I158" s="48"/>
      <c r="J158" s="144"/>
      <c r="K158" s="144"/>
      <c r="L158" s="48"/>
      <c r="M158" s="135"/>
      <c r="N158" s="154"/>
      <c r="Q158" s="124"/>
      <c r="R158" s="124"/>
      <c r="S158" s="430"/>
      <c r="T158" s="430"/>
      <c r="U158" s="146"/>
      <c r="AC158" s="99">
        <v>123319</v>
      </c>
      <c r="AD158" s="99">
        <f t="shared" si="17"/>
        <v>0</v>
      </c>
    </row>
    <row r="159" spans="1:30" s="143" customFormat="1" ht="18" customHeight="1" x14ac:dyDescent="0.2">
      <c r="A159" s="48"/>
      <c r="B159" s="48"/>
      <c r="C159" s="48"/>
      <c r="D159" s="48"/>
      <c r="E159" s="48"/>
      <c r="F159" s="48"/>
      <c r="G159" s="48"/>
      <c r="H159" s="48"/>
      <c r="I159" s="48"/>
      <c r="J159" s="144"/>
      <c r="K159" s="144"/>
      <c r="L159" s="48"/>
      <c r="M159" s="135"/>
      <c r="N159" s="154"/>
      <c r="Q159" s="124"/>
      <c r="R159" s="124"/>
      <c r="S159" s="430"/>
      <c r="T159" s="430"/>
      <c r="U159" s="146"/>
      <c r="AC159" s="99">
        <v>123386</v>
      </c>
      <c r="AD159" s="99">
        <f t="shared" si="17"/>
        <v>0</v>
      </c>
    </row>
    <row r="160" spans="1:30" s="143" customFormat="1" ht="18" customHeight="1" x14ac:dyDescent="0.2">
      <c r="A160" s="48"/>
      <c r="B160" s="48"/>
      <c r="C160" s="48"/>
      <c r="D160" s="48"/>
      <c r="E160" s="48"/>
      <c r="F160" s="48"/>
      <c r="G160" s="48"/>
      <c r="H160" s="48"/>
      <c r="I160" s="48"/>
      <c r="J160" s="144"/>
      <c r="K160" s="144"/>
      <c r="L160" s="48"/>
      <c r="M160" s="135"/>
      <c r="N160" s="154"/>
      <c r="Q160" s="124"/>
      <c r="R160" s="124"/>
      <c r="S160" s="430"/>
      <c r="T160" s="430"/>
      <c r="U160" s="146"/>
      <c r="AC160" s="99">
        <v>123911</v>
      </c>
      <c r="AD160" s="99">
        <f t="shared" si="17"/>
        <v>0</v>
      </c>
    </row>
    <row r="161" spans="1:30" s="143" customFormat="1" ht="18" customHeight="1" x14ac:dyDescent="0.2">
      <c r="A161" s="48"/>
      <c r="B161" s="48"/>
      <c r="C161" s="48"/>
      <c r="D161" s="48"/>
      <c r="E161" s="48"/>
      <c r="F161" s="48"/>
      <c r="G161" s="48"/>
      <c r="H161" s="48"/>
      <c r="I161" s="48"/>
      <c r="J161" s="144"/>
      <c r="K161" s="144"/>
      <c r="L161" s="48"/>
      <c r="M161" s="135"/>
      <c r="N161" s="154"/>
      <c r="Q161" s="124"/>
      <c r="R161" s="124"/>
      <c r="S161" s="430"/>
      <c r="T161" s="430"/>
      <c r="U161" s="146"/>
      <c r="AC161" s="99">
        <v>126998</v>
      </c>
      <c r="AD161" s="99">
        <f t="shared" si="17"/>
        <v>0</v>
      </c>
    </row>
    <row r="162" spans="1:30" s="143" customFormat="1" ht="18" customHeight="1" x14ac:dyDescent="0.2">
      <c r="A162" s="48"/>
      <c r="B162" s="48"/>
      <c r="C162" s="48"/>
      <c r="D162" s="48"/>
      <c r="E162" s="48"/>
      <c r="F162" s="48"/>
      <c r="G162" s="48"/>
      <c r="H162" s="48"/>
      <c r="I162" s="48"/>
      <c r="J162" s="144"/>
      <c r="K162" s="144"/>
      <c r="L162" s="48"/>
      <c r="M162" s="135"/>
      <c r="N162" s="154"/>
      <c r="Q162" s="124"/>
      <c r="R162" s="124"/>
      <c r="S162" s="430"/>
      <c r="T162" s="430"/>
      <c r="U162" s="146"/>
      <c r="AC162" s="99">
        <v>127184</v>
      </c>
      <c r="AD162" s="99">
        <f t="shared" si="17"/>
        <v>0</v>
      </c>
    </row>
    <row r="163" spans="1:30" s="143" customFormat="1" ht="18" customHeight="1" x14ac:dyDescent="0.2">
      <c r="A163" s="48"/>
      <c r="B163" s="48"/>
      <c r="C163" s="48"/>
      <c r="D163" s="48"/>
      <c r="E163" s="48"/>
      <c r="F163" s="48"/>
      <c r="G163" s="48"/>
      <c r="H163" s="48"/>
      <c r="I163" s="48"/>
      <c r="J163" s="144"/>
      <c r="K163" s="144"/>
      <c r="L163" s="48"/>
      <c r="M163" s="135"/>
      <c r="N163" s="154"/>
      <c r="Q163" s="124"/>
      <c r="R163" s="124"/>
      <c r="S163" s="430"/>
      <c r="T163" s="430"/>
      <c r="U163" s="146"/>
      <c r="AC163" s="99">
        <v>131113</v>
      </c>
      <c r="AD163" s="99">
        <f t="shared" si="17"/>
        <v>0</v>
      </c>
    </row>
    <row r="164" spans="1:30" s="143" customFormat="1" ht="18" customHeight="1" x14ac:dyDescent="0.2">
      <c r="A164" s="48"/>
      <c r="B164" s="48"/>
      <c r="C164" s="48"/>
      <c r="D164" s="48"/>
      <c r="E164" s="48"/>
      <c r="F164" s="48"/>
      <c r="G164" s="48"/>
      <c r="H164" s="48"/>
      <c r="I164" s="48"/>
      <c r="J164" s="144"/>
      <c r="K164" s="144"/>
      <c r="L164" s="48"/>
      <c r="M164" s="135"/>
      <c r="N164" s="154"/>
      <c r="Q164" s="124"/>
      <c r="R164" s="124"/>
      <c r="S164" s="430"/>
      <c r="T164" s="430"/>
      <c r="U164" s="146"/>
      <c r="AC164" s="99">
        <v>132649</v>
      </c>
      <c r="AD164" s="99">
        <f t="shared" si="17"/>
        <v>0</v>
      </c>
    </row>
    <row r="165" spans="1:30" s="143" customFormat="1" ht="18" customHeight="1" x14ac:dyDescent="0.2">
      <c r="A165" s="48"/>
      <c r="B165" s="48"/>
      <c r="C165" s="48"/>
      <c r="D165" s="48"/>
      <c r="E165" s="48"/>
      <c r="F165" s="48"/>
      <c r="G165" s="48"/>
      <c r="H165" s="48"/>
      <c r="I165" s="48"/>
      <c r="J165" s="144"/>
      <c r="K165" s="144"/>
      <c r="L165" s="48"/>
      <c r="M165" s="135"/>
      <c r="N165" s="154"/>
      <c r="Q165" s="124"/>
      <c r="R165" s="124"/>
      <c r="S165" s="430"/>
      <c r="T165" s="430"/>
      <c r="U165" s="146"/>
      <c r="AC165" s="99">
        <v>133062</v>
      </c>
      <c r="AD165" s="99">
        <f t="shared" si="17"/>
        <v>0</v>
      </c>
    </row>
    <row r="166" spans="1:30" s="143" customFormat="1" ht="18" customHeight="1" x14ac:dyDescent="0.2">
      <c r="A166" s="48"/>
      <c r="B166" s="48"/>
      <c r="C166" s="48"/>
      <c r="D166" s="48"/>
      <c r="E166" s="48"/>
      <c r="F166" s="48"/>
      <c r="G166" s="48"/>
      <c r="H166" s="48"/>
      <c r="I166" s="48"/>
      <c r="J166" s="144"/>
      <c r="K166" s="144"/>
      <c r="L166" s="48"/>
      <c r="M166" s="135"/>
      <c r="N166" s="154"/>
      <c r="Q166" s="124"/>
      <c r="R166" s="124"/>
      <c r="S166" s="430"/>
      <c r="T166" s="430"/>
      <c r="U166" s="146"/>
      <c r="AC166" s="99">
        <v>133904</v>
      </c>
      <c r="AD166" s="99">
        <f t="shared" si="17"/>
        <v>0</v>
      </c>
    </row>
    <row r="167" spans="1:30" s="143" customFormat="1" ht="18" customHeight="1" x14ac:dyDescent="0.2">
      <c r="A167" s="48"/>
      <c r="B167" s="48"/>
      <c r="C167" s="48"/>
      <c r="D167" s="48"/>
      <c r="E167" s="48"/>
      <c r="F167" s="48"/>
      <c r="G167" s="48"/>
      <c r="H167" s="48"/>
      <c r="I167" s="48"/>
      <c r="J167" s="144"/>
      <c r="K167" s="144"/>
      <c r="L167" s="48"/>
      <c r="M167" s="135"/>
      <c r="N167" s="154"/>
      <c r="Q167" s="124"/>
      <c r="R167" s="124"/>
      <c r="S167" s="430"/>
      <c r="T167" s="430"/>
      <c r="U167" s="146"/>
      <c r="AC167" s="99">
        <v>140885</v>
      </c>
      <c r="AD167" s="99">
        <f t="shared" si="17"/>
        <v>0</v>
      </c>
    </row>
    <row r="168" spans="1:30" s="143" customFormat="1" ht="18" customHeight="1" x14ac:dyDescent="0.2">
      <c r="A168" s="48"/>
      <c r="B168" s="48"/>
      <c r="C168" s="48"/>
      <c r="D168" s="48"/>
      <c r="E168" s="48"/>
      <c r="F168" s="48"/>
      <c r="G168" s="48"/>
      <c r="H168" s="48"/>
      <c r="I168" s="48"/>
      <c r="J168" s="144"/>
      <c r="K168" s="144"/>
      <c r="L168" s="48"/>
      <c r="M168" s="135"/>
      <c r="N168" s="154"/>
      <c r="Q168" s="124"/>
      <c r="R168" s="124"/>
      <c r="S168" s="430"/>
      <c r="T168" s="430"/>
      <c r="U168" s="146"/>
      <c r="AC168" s="99">
        <v>151564</v>
      </c>
      <c r="AD168" s="99">
        <f t="shared" si="17"/>
        <v>0</v>
      </c>
    </row>
    <row r="169" spans="1:30" s="143" customFormat="1" ht="18" customHeight="1" x14ac:dyDescent="0.2">
      <c r="A169" s="48"/>
      <c r="B169" s="48"/>
      <c r="C169" s="48"/>
      <c r="D169" s="48"/>
      <c r="E169" s="48"/>
      <c r="F169" s="48"/>
      <c r="G169" s="48"/>
      <c r="H169" s="48"/>
      <c r="I169" s="48"/>
      <c r="J169" s="144"/>
      <c r="K169" s="144"/>
      <c r="L169" s="48"/>
      <c r="M169" s="135"/>
      <c r="N169" s="154"/>
      <c r="Q169" s="124"/>
      <c r="R169" s="124"/>
      <c r="S169" s="430"/>
      <c r="T169" s="430"/>
      <c r="U169" s="146"/>
      <c r="AC169" s="99">
        <v>156627</v>
      </c>
      <c r="AD169" s="99">
        <f t="shared" si="17"/>
        <v>0</v>
      </c>
    </row>
    <row r="170" spans="1:30" s="143" customFormat="1" ht="18" customHeight="1" x14ac:dyDescent="0.2">
      <c r="A170" s="48"/>
      <c r="B170" s="48"/>
      <c r="C170" s="48"/>
      <c r="D170" s="48"/>
      <c r="E170" s="48"/>
      <c r="F170" s="48"/>
      <c r="G170" s="48"/>
      <c r="H170" s="48"/>
      <c r="I170" s="48"/>
      <c r="J170" s="144"/>
      <c r="K170" s="144"/>
      <c r="L170" s="48"/>
      <c r="M170" s="135"/>
      <c r="N170" s="154"/>
      <c r="Q170" s="124"/>
      <c r="R170" s="124"/>
      <c r="S170" s="430"/>
      <c r="T170" s="430"/>
      <c r="U170" s="146"/>
      <c r="AC170" s="99">
        <v>302012</v>
      </c>
      <c r="AD170" s="99">
        <f t="shared" si="17"/>
        <v>0</v>
      </c>
    </row>
    <row r="171" spans="1:30" s="143" customFormat="1" ht="18" customHeight="1" x14ac:dyDescent="0.2">
      <c r="A171" s="48"/>
      <c r="B171" s="48"/>
      <c r="C171" s="48"/>
      <c r="D171" s="48"/>
      <c r="E171" s="48"/>
      <c r="F171" s="48"/>
      <c r="G171" s="48"/>
      <c r="H171" s="48"/>
      <c r="I171" s="48"/>
      <c r="J171" s="144"/>
      <c r="K171" s="144"/>
      <c r="L171" s="48"/>
      <c r="M171" s="135"/>
      <c r="N171" s="154"/>
      <c r="Q171" s="124"/>
      <c r="R171" s="124"/>
      <c r="S171" s="430"/>
      <c r="T171" s="430"/>
      <c r="U171" s="146"/>
      <c r="AC171" s="99">
        <v>334883</v>
      </c>
      <c r="AD171" s="99">
        <f t="shared" si="17"/>
        <v>0</v>
      </c>
    </row>
    <row r="172" spans="1:30" s="143" customFormat="1" ht="18" customHeight="1" x14ac:dyDescent="0.2">
      <c r="A172" s="48"/>
      <c r="B172" s="48"/>
      <c r="C172" s="48"/>
      <c r="D172" s="48"/>
      <c r="E172" s="48"/>
      <c r="F172" s="48"/>
      <c r="G172" s="48"/>
      <c r="H172" s="48"/>
      <c r="I172" s="48"/>
      <c r="J172" s="144"/>
      <c r="K172" s="144"/>
      <c r="L172" s="48"/>
      <c r="M172" s="135"/>
      <c r="N172" s="154"/>
      <c r="Q172" s="124"/>
      <c r="R172" s="124"/>
      <c r="S172" s="430"/>
      <c r="T172" s="430"/>
      <c r="U172" s="146"/>
      <c r="AC172" s="99">
        <v>463581</v>
      </c>
      <c r="AD172" s="99">
        <f t="shared" si="17"/>
        <v>0</v>
      </c>
    </row>
    <row r="173" spans="1:30" s="143" customFormat="1" ht="18" customHeight="1" x14ac:dyDescent="0.2">
      <c r="A173" s="48"/>
      <c r="B173" s="48"/>
      <c r="C173" s="48"/>
      <c r="D173" s="48"/>
      <c r="E173" s="48"/>
      <c r="F173" s="48"/>
      <c r="G173" s="48"/>
      <c r="H173" s="48"/>
      <c r="I173" s="48"/>
      <c r="J173" s="144"/>
      <c r="K173" s="144"/>
      <c r="L173" s="48"/>
      <c r="M173" s="135"/>
      <c r="N173" s="154"/>
      <c r="Q173" s="124"/>
      <c r="R173" s="124"/>
      <c r="S173" s="430"/>
      <c r="T173" s="430"/>
      <c r="U173" s="146"/>
      <c r="AC173" s="99">
        <v>510156</v>
      </c>
      <c r="AD173" s="99">
        <f t="shared" si="17"/>
        <v>0</v>
      </c>
    </row>
    <row r="174" spans="1:30" s="143" customFormat="1" ht="18" customHeight="1" x14ac:dyDescent="0.2">
      <c r="A174" s="48"/>
      <c r="B174" s="48"/>
      <c r="C174" s="48"/>
      <c r="D174" s="48"/>
      <c r="E174" s="48"/>
      <c r="F174" s="48"/>
      <c r="G174" s="48"/>
      <c r="H174" s="48"/>
      <c r="I174" s="48"/>
      <c r="J174" s="144"/>
      <c r="K174" s="144"/>
      <c r="L174" s="48"/>
      <c r="M174" s="135"/>
      <c r="N174" s="154"/>
      <c r="Q174" s="124"/>
      <c r="R174" s="124"/>
      <c r="S174" s="430"/>
      <c r="T174" s="430"/>
      <c r="U174" s="146"/>
      <c r="AC174" s="99">
        <v>532274</v>
      </c>
      <c r="AD174" s="99">
        <f t="shared" si="17"/>
        <v>0</v>
      </c>
    </row>
    <row r="175" spans="1:30" s="143" customFormat="1" ht="18" customHeight="1" x14ac:dyDescent="0.2">
      <c r="A175" s="48"/>
      <c r="B175" s="48"/>
      <c r="C175" s="48"/>
      <c r="D175" s="48"/>
      <c r="E175" s="48"/>
      <c r="F175" s="48"/>
      <c r="G175" s="48"/>
      <c r="H175" s="48"/>
      <c r="I175" s="48"/>
      <c r="J175" s="144"/>
      <c r="K175" s="144"/>
      <c r="L175" s="48"/>
      <c r="M175" s="135"/>
      <c r="N175" s="154"/>
      <c r="Q175" s="124"/>
      <c r="R175" s="124"/>
      <c r="S175" s="430"/>
      <c r="T175" s="430"/>
      <c r="U175" s="146"/>
      <c r="AC175" s="99">
        <v>534521</v>
      </c>
      <c r="AD175" s="99">
        <f t="shared" si="17"/>
        <v>0</v>
      </c>
    </row>
    <row r="176" spans="1:30" s="143" customFormat="1" ht="18" customHeight="1" x14ac:dyDescent="0.2">
      <c r="A176" s="48"/>
      <c r="B176" s="48"/>
      <c r="C176" s="48"/>
      <c r="D176" s="48"/>
      <c r="E176" s="48"/>
      <c r="F176" s="48"/>
      <c r="G176" s="48"/>
      <c r="H176" s="48"/>
      <c r="I176" s="48"/>
      <c r="J176" s="144"/>
      <c r="K176" s="144"/>
      <c r="L176" s="48"/>
      <c r="M176" s="135"/>
      <c r="N176" s="154"/>
      <c r="Q176" s="124"/>
      <c r="R176" s="124"/>
      <c r="S176" s="430"/>
      <c r="T176" s="430"/>
      <c r="U176" s="146"/>
      <c r="AC176" s="99">
        <v>540841</v>
      </c>
      <c r="AD176" s="99">
        <f t="shared" si="17"/>
        <v>0</v>
      </c>
    </row>
    <row r="177" spans="1:30" s="143" customFormat="1" ht="18" customHeight="1" x14ac:dyDescent="0.2">
      <c r="A177" s="48"/>
      <c r="B177" s="48"/>
      <c r="C177" s="48"/>
      <c r="D177" s="48"/>
      <c r="E177" s="48"/>
      <c r="F177" s="48"/>
      <c r="G177" s="48"/>
      <c r="H177" s="48"/>
      <c r="I177" s="48"/>
      <c r="J177" s="144"/>
      <c r="K177" s="144"/>
      <c r="L177" s="48"/>
      <c r="M177" s="135"/>
      <c r="N177" s="154"/>
      <c r="Q177" s="124"/>
      <c r="R177" s="124"/>
      <c r="S177" s="430"/>
      <c r="T177" s="430"/>
      <c r="U177" s="146"/>
      <c r="AC177" s="99">
        <v>542756</v>
      </c>
      <c r="AD177" s="99">
        <f t="shared" si="17"/>
        <v>0</v>
      </c>
    </row>
    <row r="178" spans="1:30" s="143" customFormat="1" ht="18" customHeight="1" x14ac:dyDescent="0.2">
      <c r="A178" s="48"/>
      <c r="B178" s="48"/>
      <c r="C178" s="48"/>
      <c r="D178" s="48"/>
      <c r="E178" s="48"/>
      <c r="F178" s="48"/>
      <c r="G178" s="48"/>
      <c r="H178" s="48"/>
      <c r="I178" s="48"/>
      <c r="J178" s="144"/>
      <c r="K178" s="144"/>
      <c r="L178" s="48"/>
      <c r="M178" s="135"/>
      <c r="N178" s="154"/>
      <c r="Q178" s="124"/>
      <c r="R178" s="124"/>
      <c r="S178" s="430"/>
      <c r="T178" s="430"/>
      <c r="U178" s="146"/>
      <c r="AC178" s="99">
        <v>542881</v>
      </c>
      <c r="AD178" s="99">
        <f t="shared" si="17"/>
        <v>0</v>
      </c>
    </row>
    <row r="179" spans="1:30" s="143" customFormat="1" ht="18" customHeight="1" x14ac:dyDescent="0.2">
      <c r="A179" s="48"/>
      <c r="B179" s="48"/>
      <c r="C179" s="48"/>
      <c r="D179" s="48"/>
      <c r="E179" s="48"/>
      <c r="F179" s="48"/>
      <c r="G179" s="48"/>
      <c r="H179" s="48"/>
      <c r="I179" s="48"/>
      <c r="J179" s="144"/>
      <c r="K179" s="144"/>
      <c r="L179" s="48"/>
      <c r="M179" s="135"/>
      <c r="N179" s="154"/>
      <c r="Q179" s="124"/>
      <c r="R179" s="124"/>
      <c r="S179" s="430"/>
      <c r="T179" s="430"/>
      <c r="U179" s="146"/>
      <c r="AC179" s="99">
        <v>584849</v>
      </c>
      <c r="AD179" s="99">
        <f t="shared" si="17"/>
        <v>0</v>
      </c>
    </row>
    <row r="180" spans="1:30" s="143" customFormat="1" ht="18" customHeight="1" x14ac:dyDescent="0.2">
      <c r="A180" s="48"/>
      <c r="B180" s="48"/>
      <c r="C180" s="48"/>
      <c r="D180" s="48"/>
      <c r="E180" s="48"/>
      <c r="F180" s="48"/>
      <c r="G180" s="48"/>
      <c r="H180" s="48"/>
      <c r="I180" s="48"/>
      <c r="J180" s="144"/>
      <c r="K180" s="144"/>
      <c r="L180" s="48"/>
      <c r="M180" s="135"/>
      <c r="N180" s="154"/>
      <c r="Q180" s="124"/>
      <c r="R180" s="124"/>
      <c r="S180" s="430"/>
      <c r="T180" s="430"/>
      <c r="U180" s="146"/>
      <c r="AC180" s="99">
        <v>593602</v>
      </c>
      <c r="AD180" s="99">
        <f t="shared" si="17"/>
        <v>0</v>
      </c>
    </row>
    <row r="181" spans="1:30" s="143" customFormat="1" ht="18" customHeight="1" x14ac:dyDescent="0.2">
      <c r="A181" s="48"/>
      <c r="B181" s="48"/>
      <c r="C181" s="48"/>
      <c r="D181" s="48"/>
      <c r="E181" s="48"/>
      <c r="F181" s="48"/>
      <c r="G181" s="48"/>
      <c r="H181" s="48"/>
      <c r="I181" s="48"/>
      <c r="J181" s="144"/>
      <c r="K181" s="144"/>
      <c r="L181" s="48"/>
      <c r="M181" s="135"/>
      <c r="N181" s="154"/>
      <c r="Q181" s="124"/>
      <c r="R181" s="124"/>
      <c r="S181" s="430"/>
      <c r="T181" s="430"/>
      <c r="U181" s="146"/>
      <c r="AC181" s="99">
        <v>624839</v>
      </c>
      <c r="AD181" s="99">
        <f t="shared" si="17"/>
        <v>0</v>
      </c>
    </row>
    <row r="182" spans="1:30" s="143" customFormat="1" ht="18" customHeight="1" x14ac:dyDescent="0.2">
      <c r="A182" s="48"/>
      <c r="B182" s="48"/>
      <c r="C182" s="48"/>
      <c r="D182" s="48"/>
      <c r="E182" s="48"/>
      <c r="F182" s="48"/>
      <c r="G182" s="48"/>
      <c r="H182" s="48"/>
      <c r="I182" s="48"/>
      <c r="J182" s="144"/>
      <c r="K182" s="144"/>
      <c r="L182" s="48"/>
      <c r="M182" s="135"/>
      <c r="N182" s="154"/>
      <c r="Q182" s="124"/>
      <c r="R182" s="124"/>
      <c r="S182" s="430"/>
      <c r="T182" s="430"/>
      <c r="U182" s="146"/>
      <c r="AC182" s="99">
        <v>680319</v>
      </c>
      <c r="AD182" s="99">
        <f t="shared" si="17"/>
        <v>0</v>
      </c>
    </row>
    <row r="183" spans="1:30" s="143" customFormat="1" ht="18" customHeight="1" x14ac:dyDescent="0.2">
      <c r="A183" s="48"/>
      <c r="B183" s="48"/>
      <c r="C183" s="48"/>
      <c r="D183" s="48"/>
      <c r="E183" s="48"/>
      <c r="F183" s="48"/>
      <c r="G183" s="48"/>
      <c r="H183" s="48"/>
      <c r="I183" s="48"/>
      <c r="J183" s="144"/>
      <c r="K183" s="144"/>
      <c r="L183" s="48"/>
      <c r="M183" s="135"/>
      <c r="N183" s="154"/>
      <c r="Q183" s="124"/>
      <c r="R183" s="124"/>
      <c r="S183" s="430"/>
      <c r="T183" s="430"/>
      <c r="U183" s="146"/>
      <c r="AC183" s="99">
        <v>684935</v>
      </c>
      <c r="AD183" s="99">
        <f t="shared" si="17"/>
        <v>0</v>
      </c>
    </row>
    <row r="184" spans="1:30" s="143" customFormat="1" ht="18" customHeight="1" x14ac:dyDescent="0.2">
      <c r="A184" s="48"/>
      <c r="B184" s="48"/>
      <c r="C184" s="48"/>
      <c r="D184" s="48"/>
      <c r="E184" s="48"/>
      <c r="F184" s="48"/>
      <c r="G184" s="48"/>
      <c r="H184" s="48"/>
      <c r="I184" s="48"/>
      <c r="J184" s="144"/>
      <c r="K184" s="144"/>
      <c r="L184" s="48"/>
      <c r="M184" s="135"/>
      <c r="N184" s="154"/>
      <c r="Q184" s="124"/>
      <c r="R184" s="124"/>
      <c r="S184" s="430"/>
      <c r="T184" s="430"/>
      <c r="U184" s="146"/>
      <c r="AC184" s="99">
        <v>822060</v>
      </c>
      <c r="AD184" s="99">
        <f t="shared" si="17"/>
        <v>0</v>
      </c>
    </row>
    <row r="185" spans="1:30" s="143" customFormat="1" ht="18" customHeight="1" x14ac:dyDescent="0.2">
      <c r="A185" s="48"/>
      <c r="B185" s="48"/>
      <c r="C185" s="48"/>
      <c r="D185" s="48"/>
      <c r="E185" s="48"/>
      <c r="F185" s="48"/>
      <c r="G185" s="48"/>
      <c r="H185" s="48"/>
      <c r="I185" s="48"/>
      <c r="J185" s="144"/>
      <c r="K185" s="144"/>
      <c r="L185" s="48"/>
      <c r="M185" s="135"/>
      <c r="N185" s="154"/>
      <c r="Q185" s="124"/>
      <c r="R185" s="124"/>
      <c r="S185" s="430"/>
      <c r="T185" s="430"/>
      <c r="U185" s="146"/>
      <c r="AC185" s="99">
        <v>1120714</v>
      </c>
      <c r="AD185" s="99">
        <f t="shared" si="17"/>
        <v>0</v>
      </c>
    </row>
    <row r="186" spans="1:30" s="143" customFormat="1" ht="18" customHeight="1" x14ac:dyDescent="0.2">
      <c r="A186" s="48"/>
      <c r="B186" s="48"/>
      <c r="C186" s="48"/>
      <c r="D186" s="48"/>
      <c r="E186" s="48"/>
      <c r="F186" s="48"/>
      <c r="G186" s="48"/>
      <c r="H186" s="48"/>
      <c r="I186" s="48"/>
      <c r="J186" s="144"/>
      <c r="K186" s="144"/>
      <c r="L186" s="48"/>
      <c r="M186" s="135"/>
      <c r="N186" s="154"/>
      <c r="Q186" s="124"/>
      <c r="R186" s="124"/>
      <c r="S186" s="430"/>
      <c r="T186" s="430"/>
      <c r="U186" s="146"/>
      <c r="AC186" s="99">
        <v>1319773</v>
      </c>
      <c r="AD186" s="99">
        <f t="shared" si="17"/>
        <v>0</v>
      </c>
    </row>
    <row r="187" spans="1:30" s="143" customFormat="1" ht="18" customHeight="1" x14ac:dyDescent="0.2">
      <c r="A187" s="48"/>
      <c r="B187" s="48"/>
      <c r="C187" s="48"/>
      <c r="D187" s="48"/>
      <c r="E187" s="48"/>
      <c r="F187" s="48"/>
      <c r="G187" s="48"/>
      <c r="H187" s="48"/>
      <c r="I187" s="48"/>
      <c r="J187" s="144"/>
      <c r="K187" s="144"/>
      <c r="L187" s="48"/>
      <c r="M187" s="135"/>
      <c r="N187" s="154"/>
      <c r="Q187" s="124"/>
      <c r="R187" s="124"/>
      <c r="S187" s="430"/>
      <c r="T187" s="430"/>
      <c r="U187" s="146"/>
      <c r="AC187" s="99">
        <v>1330207</v>
      </c>
      <c r="AD187" s="99">
        <f t="shared" ca="1" si="17"/>
        <v>0</v>
      </c>
    </row>
    <row r="188" spans="1:30" s="143" customFormat="1" ht="18" customHeight="1" x14ac:dyDescent="0.2">
      <c r="A188" s="48"/>
      <c r="B188" s="48"/>
      <c r="C188" s="48"/>
      <c r="D188" s="48"/>
      <c r="E188" s="48"/>
      <c r="F188" s="48"/>
      <c r="G188" s="48"/>
      <c r="H188" s="48"/>
      <c r="I188" s="48"/>
      <c r="J188" s="144"/>
      <c r="K188" s="144"/>
      <c r="L188" s="48"/>
      <c r="M188" s="135"/>
      <c r="N188" s="154"/>
      <c r="Q188" s="124"/>
      <c r="R188" s="124"/>
      <c r="S188" s="430"/>
      <c r="T188" s="430"/>
      <c r="U188" s="146"/>
      <c r="AC188" s="99">
        <v>1332214</v>
      </c>
      <c r="AD188" s="99">
        <f t="shared" si="17"/>
        <v>0</v>
      </c>
    </row>
    <row r="189" spans="1:30" s="143" customFormat="1" ht="18" customHeight="1" x14ac:dyDescent="0.2">
      <c r="A189" s="48"/>
      <c r="B189" s="48"/>
      <c r="C189" s="48"/>
      <c r="D189" s="48"/>
      <c r="E189" s="48"/>
      <c r="F189" s="48"/>
      <c r="G189" s="48"/>
      <c r="H189" s="48"/>
      <c r="I189" s="48"/>
      <c r="J189" s="144"/>
      <c r="K189" s="144"/>
      <c r="L189" s="48"/>
      <c r="M189" s="135"/>
      <c r="N189" s="154"/>
      <c r="Q189" s="124"/>
      <c r="R189" s="124"/>
      <c r="S189" s="430"/>
      <c r="T189" s="430"/>
      <c r="U189" s="146"/>
      <c r="AC189" s="99">
        <v>1336363</v>
      </c>
      <c r="AD189" s="99">
        <f t="shared" ref="AD189:AD211" si="18">SUMIF($C$29:$C$60,AC189,$L$29:$L$60)</f>
        <v>0</v>
      </c>
    </row>
    <row r="190" spans="1:30" s="143" customFormat="1" ht="18" customHeight="1" x14ac:dyDescent="0.2">
      <c r="A190" s="48"/>
      <c r="B190" s="48"/>
      <c r="C190" s="48"/>
      <c r="D190" s="48"/>
      <c r="E190" s="48"/>
      <c r="F190" s="48"/>
      <c r="G190" s="48"/>
      <c r="H190" s="48"/>
      <c r="I190" s="48"/>
      <c r="J190" s="144"/>
      <c r="K190" s="144"/>
      <c r="L190" s="48"/>
      <c r="M190" s="135"/>
      <c r="N190" s="154"/>
      <c r="Q190" s="124"/>
      <c r="R190" s="124"/>
      <c r="S190" s="430"/>
      <c r="T190" s="430"/>
      <c r="U190" s="146"/>
      <c r="AC190" s="99">
        <v>1582098</v>
      </c>
      <c r="AD190" s="99">
        <f t="shared" si="18"/>
        <v>0</v>
      </c>
    </row>
    <row r="191" spans="1:30" s="143" customFormat="1" ht="18" customHeight="1" x14ac:dyDescent="0.2">
      <c r="A191" s="48"/>
      <c r="B191" s="48"/>
      <c r="C191" s="48"/>
      <c r="D191" s="48"/>
      <c r="E191" s="48"/>
      <c r="F191" s="48"/>
      <c r="G191" s="48"/>
      <c r="H191" s="48"/>
      <c r="I191" s="48"/>
      <c r="J191" s="144"/>
      <c r="K191" s="144"/>
      <c r="L191" s="48"/>
      <c r="M191" s="135"/>
      <c r="N191" s="154"/>
      <c r="Q191" s="124"/>
      <c r="R191" s="124"/>
      <c r="S191" s="430"/>
      <c r="T191" s="430"/>
      <c r="U191" s="146"/>
      <c r="AC191" s="99">
        <v>1634044</v>
      </c>
      <c r="AD191" s="99">
        <f t="shared" si="18"/>
        <v>0</v>
      </c>
    </row>
    <row r="192" spans="1:30" s="143" customFormat="1" ht="18" customHeight="1" x14ac:dyDescent="0.2">
      <c r="A192" s="48"/>
      <c r="B192" s="48"/>
      <c r="C192" s="48"/>
      <c r="D192" s="48"/>
      <c r="E192" s="48"/>
      <c r="F192" s="48"/>
      <c r="G192" s="48"/>
      <c r="H192" s="48"/>
      <c r="I192" s="48"/>
      <c r="J192" s="144"/>
      <c r="K192" s="144"/>
      <c r="L192" s="48"/>
      <c r="M192" s="135"/>
      <c r="N192" s="154"/>
      <c r="Q192" s="124"/>
      <c r="R192" s="124"/>
      <c r="S192" s="430"/>
      <c r="T192" s="430"/>
      <c r="U192" s="146"/>
      <c r="AC192" s="99">
        <v>1746016</v>
      </c>
      <c r="AD192" s="99">
        <f t="shared" si="18"/>
        <v>0</v>
      </c>
    </row>
    <row r="193" spans="1:30" s="143" customFormat="1" ht="18" customHeight="1" x14ac:dyDescent="0.2">
      <c r="A193" s="48"/>
      <c r="B193" s="48"/>
      <c r="C193" s="48"/>
      <c r="D193" s="48"/>
      <c r="E193" s="48"/>
      <c r="F193" s="48"/>
      <c r="G193" s="48"/>
      <c r="H193" s="48"/>
      <c r="I193" s="48"/>
      <c r="J193" s="144"/>
      <c r="K193" s="144"/>
      <c r="L193" s="48"/>
      <c r="M193" s="135"/>
      <c r="N193" s="154"/>
      <c r="Q193" s="124"/>
      <c r="R193" s="124"/>
      <c r="S193" s="430"/>
      <c r="T193" s="430"/>
      <c r="U193" s="146"/>
      <c r="AC193" s="99">
        <v>3547044</v>
      </c>
      <c r="AD193" s="99">
        <f t="shared" si="18"/>
        <v>0</v>
      </c>
    </row>
    <row r="194" spans="1:30" s="143" customFormat="1" ht="18" customHeight="1" x14ac:dyDescent="0.2">
      <c r="A194" s="48"/>
      <c r="B194" s="48"/>
      <c r="C194" s="48"/>
      <c r="D194" s="48"/>
      <c r="E194" s="48"/>
      <c r="F194" s="48"/>
      <c r="G194" s="48"/>
      <c r="H194" s="48"/>
      <c r="I194" s="48"/>
      <c r="J194" s="144"/>
      <c r="K194" s="144"/>
      <c r="L194" s="48"/>
      <c r="M194" s="135"/>
      <c r="N194" s="154"/>
      <c r="Q194" s="124"/>
      <c r="R194" s="124"/>
      <c r="S194" s="430"/>
      <c r="T194" s="430"/>
      <c r="U194" s="146"/>
      <c r="AC194" s="99">
        <v>7439921</v>
      </c>
      <c r="AD194" s="99">
        <f t="shared" si="18"/>
        <v>0</v>
      </c>
    </row>
    <row r="195" spans="1:30" s="143" customFormat="1" ht="18" customHeight="1" x14ac:dyDescent="0.2">
      <c r="A195" s="48"/>
      <c r="B195" s="48"/>
      <c r="C195" s="48"/>
      <c r="D195" s="48"/>
      <c r="E195" s="48"/>
      <c r="F195" s="48"/>
      <c r="G195" s="48"/>
      <c r="H195" s="48"/>
      <c r="I195" s="48"/>
      <c r="J195" s="144"/>
      <c r="K195" s="144"/>
      <c r="L195" s="48"/>
      <c r="M195" s="135"/>
      <c r="N195" s="154"/>
      <c r="Q195" s="124"/>
      <c r="R195" s="124"/>
      <c r="S195" s="430"/>
      <c r="T195" s="430"/>
      <c r="U195" s="146"/>
      <c r="AC195" s="99">
        <v>7439965</v>
      </c>
      <c r="AD195" s="99">
        <f t="shared" ca="1" si="18"/>
        <v>0</v>
      </c>
    </row>
    <row r="196" spans="1:30" s="143" customFormat="1" ht="18" customHeight="1" x14ac:dyDescent="0.2">
      <c r="A196" s="48"/>
      <c r="B196" s="48"/>
      <c r="C196" s="48"/>
      <c r="D196" s="48"/>
      <c r="E196" s="48"/>
      <c r="F196" s="48"/>
      <c r="G196" s="48"/>
      <c r="H196" s="48"/>
      <c r="I196" s="48"/>
      <c r="J196" s="144"/>
      <c r="K196" s="144"/>
      <c r="L196" s="48"/>
      <c r="M196" s="135"/>
      <c r="N196" s="154"/>
      <c r="Q196" s="124"/>
      <c r="R196" s="124"/>
      <c r="S196" s="430"/>
      <c r="T196" s="430"/>
      <c r="U196" s="146"/>
      <c r="AC196" s="99">
        <v>7439976</v>
      </c>
      <c r="AD196" s="99">
        <f t="shared" si="18"/>
        <v>0</v>
      </c>
    </row>
    <row r="197" spans="1:30" s="143" customFormat="1" ht="18" customHeight="1" x14ac:dyDescent="0.2">
      <c r="A197" s="48"/>
      <c r="B197" s="48"/>
      <c r="C197" s="48"/>
      <c r="D197" s="48"/>
      <c r="E197" s="48"/>
      <c r="F197" s="48"/>
      <c r="G197" s="48"/>
      <c r="H197" s="48"/>
      <c r="I197" s="48"/>
      <c r="J197" s="144"/>
      <c r="K197" s="144"/>
      <c r="L197" s="48"/>
      <c r="M197" s="135"/>
      <c r="N197" s="154"/>
      <c r="Q197" s="124"/>
      <c r="R197" s="124"/>
      <c r="S197" s="430"/>
      <c r="T197" s="430"/>
      <c r="U197" s="146"/>
      <c r="AC197" s="99">
        <v>7440020</v>
      </c>
      <c r="AD197" s="99">
        <f t="shared" ca="1" si="18"/>
        <v>0</v>
      </c>
    </row>
    <row r="198" spans="1:30" s="143" customFormat="1" ht="18" customHeight="1" x14ac:dyDescent="0.2">
      <c r="A198" s="48"/>
      <c r="B198" s="48"/>
      <c r="C198" s="48"/>
      <c r="D198" s="48"/>
      <c r="E198" s="48"/>
      <c r="F198" s="48"/>
      <c r="G198" s="48"/>
      <c r="H198" s="48"/>
      <c r="I198" s="48"/>
      <c r="J198" s="144"/>
      <c r="K198" s="144"/>
      <c r="L198" s="48"/>
      <c r="M198" s="135"/>
      <c r="N198" s="154"/>
      <c r="Q198" s="124"/>
      <c r="R198" s="124"/>
      <c r="S198" s="430"/>
      <c r="T198" s="430"/>
      <c r="U198" s="146"/>
      <c r="AC198" s="99">
        <v>7440360</v>
      </c>
      <c r="AD198" s="99">
        <f t="shared" si="18"/>
        <v>0</v>
      </c>
    </row>
    <row r="199" spans="1:30" s="143" customFormat="1" ht="18" customHeight="1" x14ac:dyDescent="0.2">
      <c r="A199" s="48"/>
      <c r="B199" s="48"/>
      <c r="C199" s="48"/>
      <c r="D199" s="48"/>
      <c r="E199" s="48"/>
      <c r="F199" s="48"/>
      <c r="G199" s="48"/>
      <c r="H199" s="48"/>
      <c r="I199" s="48"/>
      <c r="J199" s="144"/>
      <c r="K199" s="144"/>
      <c r="L199" s="48"/>
      <c r="M199" s="135"/>
      <c r="N199" s="154"/>
      <c r="Q199" s="124"/>
      <c r="R199" s="124"/>
      <c r="S199" s="430"/>
      <c r="T199" s="430"/>
      <c r="U199" s="146"/>
      <c r="AC199" s="99">
        <v>7440382</v>
      </c>
      <c r="AD199" s="99">
        <f t="shared" si="18"/>
        <v>0</v>
      </c>
    </row>
    <row r="200" spans="1:30" s="143" customFormat="1" ht="18" customHeight="1" x14ac:dyDescent="0.2">
      <c r="A200" s="48"/>
      <c r="B200" s="48"/>
      <c r="C200" s="48"/>
      <c r="D200" s="48"/>
      <c r="E200" s="48"/>
      <c r="F200" s="48"/>
      <c r="G200" s="48"/>
      <c r="H200" s="48"/>
      <c r="I200" s="48"/>
      <c r="J200" s="144"/>
      <c r="K200" s="144"/>
      <c r="L200" s="48"/>
      <c r="M200" s="135"/>
      <c r="N200" s="154"/>
      <c r="Q200" s="124"/>
      <c r="R200" s="124"/>
      <c r="S200" s="430"/>
      <c r="T200" s="430"/>
      <c r="U200" s="146"/>
      <c r="AC200" s="99">
        <v>7440417</v>
      </c>
      <c r="AD200" s="99">
        <f t="shared" si="18"/>
        <v>0</v>
      </c>
    </row>
    <row r="201" spans="1:30" s="143" customFormat="1" ht="18" customHeight="1" x14ac:dyDescent="0.2">
      <c r="A201" s="48"/>
      <c r="B201" s="48"/>
      <c r="C201" s="48"/>
      <c r="D201" s="48"/>
      <c r="E201" s="48"/>
      <c r="F201" s="48"/>
      <c r="G201" s="48"/>
      <c r="H201" s="48"/>
      <c r="I201" s="48"/>
      <c r="J201" s="144"/>
      <c r="K201" s="144"/>
      <c r="L201" s="48"/>
      <c r="M201" s="135"/>
      <c r="N201" s="154"/>
      <c r="Q201" s="124"/>
      <c r="R201" s="124"/>
      <c r="S201" s="430"/>
      <c r="T201" s="430"/>
      <c r="U201" s="146"/>
      <c r="AC201" s="99">
        <v>7440439</v>
      </c>
      <c r="AD201" s="99">
        <f t="shared" si="18"/>
        <v>0</v>
      </c>
    </row>
    <row r="202" spans="1:30" s="143" customFormat="1" ht="18" customHeight="1" x14ac:dyDescent="0.2">
      <c r="A202" s="48"/>
      <c r="B202" s="48"/>
      <c r="C202" s="48"/>
      <c r="D202" s="48"/>
      <c r="E202" s="48"/>
      <c r="F202" s="48"/>
      <c r="G202" s="48"/>
      <c r="H202" s="48"/>
      <c r="I202" s="48"/>
      <c r="J202" s="144"/>
      <c r="K202" s="144"/>
      <c r="L202" s="48"/>
      <c r="M202" s="135"/>
      <c r="N202" s="154"/>
      <c r="Q202" s="124"/>
      <c r="R202" s="124"/>
      <c r="S202" s="430"/>
      <c r="T202" s="430"/>
      <c r="U202" s="146"/>
      <c r="AC202" s="99">
        <v>7440473</v>
      </c>
      <c r="AD202" s="99">
        <f t="shared" si="18"/>
        <v>0</v>
      </c>
    </row>
    <row r="203" spans="1:30" s="143" customFormat="1" ht="18" customHeight="1" x14ac:dyDescent="0.2">
      <c r="A203" s="48"/>
      <c r="B203" s="48"/>
      <c r="C203" s="48"/>
      <c r="D203" s="48"/>
      <c r="E203" s="48"/>
      <c r="F203" s="48"/>
      <c r="G203" s="48"/>
      <c r="H203" s="48"/>
      <c r="I203" s="48"/>
      <c r="J203" s="144"/>
      <c r="K203" s="144"/>
      <c r="L203" s="48"/>
      <c r="M203" s="135"/>
      <c r="N203" s="154"/>
      <c r="Q203" s="124"/>
      <c r="R203" s="124"/>
      <c r="S203" s="430"/>
      <c r="T203" s="430"/>
      <c r="U203" s="146"/>
      <c r="AC203" s="99">
        <v>7440484</v>
      </c>
      <c r="AD203" s="99">
        <f t="shared" si="18"/>
        <v>0</v>
      </c>
    </row>
    <row r="204" spans="1:30" s="143" customFormat="1" ht="18" customHeight="1" x14ac:dyDescent="0.2">
      <c r="A204" s="48"/>
      <c r="B204" s="48"/>
      <c r="C204" s="48"/>
      <c r="D204" s="48"/>
      <c r="E204" s="48"/>
      <c r="F204" s="48"/>
      <c r="G204" s="48"/>
      <c r="H204" s="48"/>
      <c r="I204" s="48"/>
      <c r="J204" s="144"/>
      <c r="K204" s="144"/>
      <c r="L204" s="48"/>
      <c r="M204" s="135"/>
      <c r="N204" s="154"/>
      <c r="Q204" s="124"/>
      <c r="R204" s="124"/>
      <c r="S204" s="430"/>
      <c r="T204" s="430"/>
      <c r="U204" s="146"/>
      <c r="AC204" s="99">
        <v>7550450</v>
      </c>
      <c r="AD204" s="99">
        <f t="shared" si="18"/>
        <v>0</v>
      </c>
    </row>
    <row r="205" spans="1:30" s="143" customFormat="1" ht="18" customHeight="1" x14ac:dyDescent="0.2">
      <c r="A205" s="48"/>
      <c r="B205" s="48"/>
      <c r="C205" s="48"/>
      <c r="D205" s="48"/>
      <c r="E205" s="48"/>
      <c r="F205" s="48"/>
      <c r="G205" s="48"/>
      <c r="H205" s="48"/>
      <c r="I205" s="48"/>
      <c r="J205" s="144"/>
      <c r="K205" s="144"/>
      <c r="L205" s="48"/>
      <c r="M205" s="135"/>
      <c r="N205" s="154"/>
      <c r="Q205" s="124"/>
      <c r="R205" s="124"/>
      <c r="S205" s="430"/>
      <c r="T205" s="430"/>
      <c r="U205" s="146"/>
      <c r="AC205" s="99">
        <v>7647010</v>
      </c>
      <c r="AD205" s="99">
        <f t="shared" si="18"/>
        <v>0</v>
      </c>
    </row>
    <row r="206" spans="1:30" s="143" customFormat="1" ht="18" customHeight="1" x14ac:dyDescent="0.2">
      <c r="A206" s="48"/>
      <c r="B206" s="48"/>
      <c r="C206" s="48"/>
      <c r="D206" s="48"/>
      <c r="E206" s="48"/>
      <c r="F206" s="48"/>
      <c r="G206" s="48"/>
      <c r="H206" s="48"/>
      <c r="I206" s="48"/>
      <c r="J206" s="144"/>
      <c r="K206" s="144"/>
      <c r="L206" s="48"/>
      <c r="M206" s="135"/>
      <c r="N206" s="154"/>
      <c r="Q206" s="124"/>
      <c r="R206" s="124"/>
      <c r="S206" s="430"/>
      <c r="T206" s="430"/>
      <c r="U206" s="146"/>
      <c r="AC206" s="99">
        <v>7664393</v>
      </c>
      <c r="AD206" s="99">
        <f t="shared" si="18"/>
        <v>0</v>
      </c>
    </row>
    <row r="207" spans="1:30" s="143" customFormat="1" ht="18" customHeight="1" x14ac:dyDescent="0.2">
      <c r="A207" s="48"/>
      <c r="B207" s="48"/>
      <c r="C207" s="48"/>
      <c r="D207" s="48"/>
      <c r="E207" s="48"/>
      <c r="F207" s="48"/>
      <c r="G207" s="48"/>
      <c r="H207" s="48"/>
      <c r="I207" s="48"/>
      <c r="J207" s="144"/>
      <c r="K207" s="144"/>
      <c r="L207" s="48"/>
      <c r="M207" s="135"/>
      <c r="N207" s="154"/>
      <c r="Q207" s="124"/>
      <c r="R207" s="124"/>
      <c r="S207" s="430"/>
      <c r="T207" s="430"/>
      <c r="U207" s="146"/>
      <c r="AC207" s="99">
        <v>7723140</v>
      </c>
      <c r="AD207" s="99">
        <f t="shared" ca="1" si="18"/>
        <v>0</v>
      </c>
    </row>
    <row r="208" spans="1:30" s="143" customFormat="1" ht="18" customHeight="1" x14ac:dyDescent="0.2">
      <c r="A208" s="48"/>
      <c r="B208" s="48"/>
      <c r="C208" s="48"/>
      <c r="D208" s="48"/>
      <c r="E208" s="48"/>
      <c r="F208" s="48"/>
      <c r="G208" s="48"/>
      <c r="H208" s="48"/>
      <c r="I208" s="48"/>
      <c r="J208" s="144"/>
      <c r="K208" s="144"/>
      <c r="L208" s="48"/>
      <c r="M208" s="135"/>
      <c r="N208" s="154"/>
      <c r="Q208" s="124"/>
      <c r="R208" s="124"/>
      <c r="S208" s="430"/>
      <c r="T208" s="430"/>
      <c r="U208" s="146"/>
      <c r="AC208" s="99">
        <v>7782492</v>
      </c>
      <c r="AD208" s="99">
        <f t="shared" si="18"/>
        <v>0</v>
      </c>
    </row>
    <row r="209" spans="1:30" s="143" customFormat="1" ht="18" customHeight="1" x14ac:dyDescent="0.2">
      <c r="A209" s="48"/>
      <c r="B209" s="48"/>
      <c r="C209" s="48"/>
      <c r="D209" s="48"/>
      <c r="E209" s="48"/>
      <c r="F209" s="48"/>
      <c r="G209" s="48"/>
      <c r="H209" s="48"/>
      <c r="I209" s="48"/>
      <c r="J209" s="144"/>
      <c r="K209" s="144"/>
      <c r="L209" s="48"/>
      <c r="M209" s="135"/>
      <c r="N209" s="154"/>
      <c r="Q209" s="124"/>
      <c r="R209" s="124"/>
      <c r="S209" s="430"/>
      <c r="T209" s="430"/>
      <c r="U209" s="146"/>
      <c r="AC209" s="99">
        <v>7782505</v>
      </c>
      <c r="AD209" s="99">
        <f t="shared" si="18"/>
        <v>0</v>
      </c>
    </row>
    <row r="210" spans="1:30" s="143" customFormat="1" ht="18" customHeight="1" x14ac:dyDescent="0.2">
      <c r="A210" s="48"/>
      <c r="B210" s="48"/>
      <c r="C210" s="48"/>
      <c r="D210" s="48"/>
      <c r="E210" s="48"/>
      <c r="F210" s="48"/>
      <c r="G210" s="48"/>
      <c r="H210" s="48"/>
      <c r="I210" s="48"/>
      <c r="J210" s="144"/>
      <c r="K210" s="144"/>
      <c r="L210" s="48"/>
      <c r="M210" s="135"/>
      <c r="N210" s="154"/>
      <c r="Q210" s="124"/>
      <c r="R210" s="124"/>
      <c r="S210" s="430"/>
      <c r="T210" s="430"/>
      <c r="U210" s="146"/>
      <c r="AC210" s="99">
        <v>7803512</v>
      </c>
      <c r="AD210" s="99">
        <f t="shared" si="18"/>
        <v>0</v>
      </c>
    </row>
    <row r="211" spans="1:30" s="143" customFormat="1" ht="18" customHeight="1" x14ac:dyDescent="0.2">
      <c r="A211" s="48"/>
      <c r="B211" s="48"/>
      <c r="C211" s="48"/>
      <c r="D211" s="48"/>
      <c r="E211" s="48"/>
      <c r="F211" s="48"/>
      <c r="G211" s="48"/>
      <c r="H211" s="48"/>
      <c r="I211" s="48"/>
      <c r="J211" s="144"/>
      <c r="K211" s="144"/>
      <c r="L211" s="48"/>
      <c r="M211" s="135"/>
      <c r="N211" s="154"/>
      <c r="Q211" s="124"/>
      <c r="R211" s="124"/>
      <c r="S211" s="430"/>
      <c r="T211" s="430"/>
      <c r="U211" s="146"/>
      <c r="AC211" s="99">
        <v>8001352</v>
      </c>
      <c r="AD211" s="99">
        <f t="shared" si="18"/>
        <v>0</v>
      </c>
    </row>
    <row r="212" spans="1:30" s="143" customFormat="1" ht="18" customHeight="1" x14ac:dyDescent="0.25">
      <c r="A212" s="48"/>
      <c r="B212" s="48"/>
      <c r="C212" s="48"/>
      <c r="D212" s="48"/>
      <c r="E212" s="48"/>
      <c r="F212" s="48"/>
      <c r="G212" s="48"/>
      <c r="H212" s="48"/>
      <c r="I212" s="48"/>
      <c r="J212" s="144"/>
      <c r="K212" s="144"/>
      <c r="L212" s="48"/>
      <c r="M212" s="135"/>
      <c r="N212" s="154"/>
      <c r="Q212" s="124"/>
      <c r="R212" s="124"/>
      <c r="S212" s="430"/>
      <c r="T212" s="430"/>
      <c r="U212" s="146"/>
    </row>
    <row r="213" spans="1:30" s="143" customFormat="1" ht="18" customHeight="1" x14ac:dyDescent="0.25">
      <c r="A213" s="48"/>
      <c r="B213" s="48"/>
      <c r="C213" s="48"/>
      <c r="D213" s="48"/>
      <c r="E213" s="48"/>
      <c r="F213" s="48"/>
      <c r="G213" s="48"/>
      <c r="H213" s="48"/>
      <c r="I213" s="48"/>
      <c r="J213" s="144"/>
      <c r="K213" s="144"/>
      <c r="L213" s="48"/>
      <c r="M213" s="135"/>
      <c r="N213" s="154"/>
      <c r="Q213" s="124"/>
      <c r="R213" s="124"/>
      <c r="S213" s="430"/>
      <c r="T213" s="430"/>
      <c r="U213" s="146"/>
    </row>
    <row r="214" spans="1:30" s="143" customFormat="1" ht="18" customHeight="1" x14ac:dyDescent="0.25">
      <c r="A214" s="48"/>
      <c r="B214" s="48"/>
      <c r="C214" s="48"/>
      <c r="D214" s="48"/>
      <c r="E214" s="48"/>
      <c r="F214" s="48"/>
      <c r="G214" s="48"/>
      <c r="H214" s="48"/>
      <c r="I214" s="48"/>
      <c r="J214" s="144"/>
      <c r="K214" s="144"/>
      <c r="L214" s="48"/>
      <c r="M214" s="135"/>
      <c r="N214" s="154"/>
      <c r="Q214" s="124"/>
      <c r="R214" s="124"/>
      <c r="S214" s="430"/>
      <c r="T214" s="430"/>
      <c r="U214" s="146"/>
    </row>
    <row r="215" spans="1:30" s="143" customFormat="1" ht="18" customHeight="1" x14ac:dyDescent="0.25">
      <c r="A215" s="48"/>
      <c r="B215" s="48"/>
      <c r="C215" s="48"/>
      <c r="D215" s="48"/>
      <c r="E215" s="48"/>
      <c r="F215" s="48"/>
      <c r="G215" s="48"/>
      <c r="H215" s="48"/>
      <c r="I215" s="48"/>
      <c r="J215" s="144"/>
      <c r="K215" s="144"/>
      <c r="L215" s="48"/>
      <c r="M215" s="135"/>
      <c r="N215" s="154"/>
      <c r="Q215" s="124"/>
      <c r="R215" s="124"/>
      <c r="S215" s="430"/>
      <c r="T215" s="430"/>
      <c r="U215" s="146"/>
    </row>
    <row r="216" spans="1:30" s="143" customFormat="1" ht="18" customHeight="1" x14ac:dyDescent="0.25">
      <c r="A216" s="48"/>
      <c r="B216" s="48"/>
      <c r="C216" s="48"/>
      <c r="D216" s="48"/>
      <c r="E216" s="48"/>
      <c r="F216" s="48"/>
      <c r="G216" s="48"/>
      <c r="H216" s="48"/>
      <c r="I216" s="48"/>
      <c r="J216" s="144"/>
      <c r="K216" s="144"/>
      <c r="L216" s="48"/>
      <c r="M216" s="135"/>
      <c r="N216" s="154"/>
      <c r="Q216" s="124"/>
      <c r="R216" s="124"/>
      <c r="S216" s="430"/>
      <c r="T216" s="430"/>
      <c r="U216" s="146"/>
    </row>
    <row r="217" spans="1:30" s="143" customFormat="1" ht="18" customHeight="1" x14ac:dyDescent="0.25">
      <c r="A217" s="48"/>
      <c r="B217" s="48"/>
      <c r="C217" s="48"/>
      <c r="D217" s="48"/>
      <c r="E217" s="48"/>
      <c r="F217" s="48"/>
      <c r="G217" s="48"/>
      <c r="H217" s="48"/>
      <c r="I217" s="48"/>
      <c r="J217" s="144"/>
      <c r="K217" s="144"/>
      <c r="L217" s="48"/>
      <c r="M217" s="135"/>
      <c r="N217" s="154"/>
      <c r="Q217" s="124"/>
      <c r="R217" s="124"/>
      <c r="S217" s="430"/>
      <c r="T217" s="430"/>
      <c r="U217" s="146"/>
    </row>
    <row r="218" spans="1:30" s="143" customFormat="1" ht="18" customHeight="1" x14ac:dyDescent="0.25">
      <c r="A218" s="48"/>
      <c r="B218" s="48"/>
      <c r="C218" s="48"/>
      <c r="D218" s="48"/>
      <c r="E218" s="48"/>
      <c r="F218" s="48"/>
      <c r="G218" s="48"/>
      <c r="H218" s="48"/>
      <c r="I218" s="48"/>
      <c r="J218" s="144"/>
      <c r="K218" s="144"/>
      <c r="L218" s="48"/>
      <c r="M218" s="135"/>
      <c r="N218" s="154"/>
      <c r="Q218" s="124"/>
      <c r="R218" s="124"/>
      <c r="S218" s="430"/>
      <c r="T218" s="430"/>
      <c r="U218" s="146"/>
    </row>
    <row r="219" spans="1:30" s="143" customFormat="1" ht="18" customHeight="1" x14ac:dyDescent="0.25">
      <c r="A219" s="48"/>
      <c r="B219" s="48"/>
      <c r="C219" s="48"/>
      <c r="D219" s="48"/>
      <c r="E219" s="48"/>
      <c r="F219" s="48"/>
      <c r="G219" s="48"/>
      <c r="H219" s="48"/>
      <c r="I219" s="48"/>
      <c r="J219" s="144"/>
      <c r="K219" s="144"/>
      <c r="L219" s="48"/>
      <c r="M219" s="135"/>
      <c r="N219" s="154"/>
      <c r="Q219" s="124"/>
      <c r="R219" s="124"/>
      <c r="S219" s="430"/>
      <c r="T219" s="430"/>
      <c r="U219" s="146"/>
    </row>
    <row r="220" spans="1:30" s="143" customFormat="1" ht="18" customHeight="1" x14ac:dyDescent="0.25">
      <c r="A220" s="48"/>
      <c r="B220" s="48"/>
      <c r="C220" s="48"/>
      <c r="D220" s="48"/>
      <c r="E220" s="48"/>
      <c r="F220" s="48"/>
      <c r="G220" s="48"/>
      <c r="H220" s="48"/>
      <c r="I220" s="48"/>
      <c r="J220" s="144"/>
      <c r="K220" s="144"/>
      <c r="L220" s="48"/>
      <c r="M220" s="135"/>
      <c r="N220" s="154"/>
      <c r="Q220" s="124"/>
      <c r="R220" s="124"/>
      <c r="S220" s="430"/>
      <c r="T220" s="430"/>
      <c r="U220" s="146"/>
    </row>
    <row r="221" spans="1:30" s="143" customFormat="1" ht="18" customHeight="1" x14ac:dyDescent="0.25">
      <c r="A221" s="48"/>
      <c r="B221" s="48"/>
      <c r="C221" s="48"/>
      <c r="D221" s="48"/>
      <c r="E221" s="48"/>
      <c r="F221" s="48"/>
      <c r="G221" s="48"/>
      <c r="H221" s="48"/>
      <c r="I221" s="48"/>
      <c r="J221" s="144"/>
      <c r="K221" s="144"/>
      <c r="L221" s="48"/>
      <c r="M221" s="135"/>
      <c r="N221" s="154"/>
      <c r="Q221" s="124"/>
      <c r="R221" s="124"/>
      <c r="S221" s="430"/>
      <c r="T221" s="430"/>
      <c r="U221" s="146"/>
    </row>
    <row r="222" spans="1:30" s="143" customFormat="1" ht="18" customHeight="1" x14ac:dyDescent="0.25">
      <c r="A222" s="48"/>
      <c r="B222" s="48"/>
      <c r="C222" s="48"/>
      <c r="D222" s="48"/>
      <c r="E222" s="48"/>
      <c r="F222" s="48"/>
      <c r="G222" s="48"/>
      <c r="H222" s="48"/>
      <c r="I222" s="48"/>
      <c r="J222" s="144"/>
      <c r="K222" s="144"/>
      <c r="L222" s="48"/>
      <c r="M222" s="135"/>
      <c r="N222" s="154"/>
      <c r="Q222" s="124"/>
      <c r="R222" s="124"/>
      <c r="S222" s="430"/>
      <c r="T222" s="430"/>
      <c r="U222" s="146"/>
    </row>
    <row r="223" spans="1:30" s="143" customFormat="1" ht="18" customHeight="1" x14ac:dyDescent="0.25">
      <c r="A223" s="48"/>
      <c r="B223" s="48"/>
      <c r="C223" s="48"/>
      <c r="D223" s="48"/>
      <c r="E223" s="48"/>
      <c r="F223" s="48"/>
      <c r="G223" s="48"/>
      <c r="H223" s="48"/>
      <c r="I223" s="48"/>
      <c r="J223" s="144"/>
      <c r="K223" s="144"/>
      <c r="L223" s="48"/>
      <c r="M223" s="135"/>
      <c r="N223" s="154"/>
      <c r="Q223" s="124"/>
      <c r="R223" s="124"/>
      <c r="S223" s="430"/>
      <c r="T223" s="430"/>
      <c r="U223" s="146"/>
    </row>
    <row r="224" spans="1:30" s="143" customFormat="1" ht="18" customHeight="1" x14ac:dyDescent="0.25">
      <c r="A224" s="48"/>
      <c r="B224" s="48"/>
      <c r="C224" s="48"/>
      <c r="D224" s="48"/>
      <c r="E224" s="48"/>
      <c r="F224" s="48"/>
      <c r="G224" s="48"/>
      <c r="H224" s="48"/>
      <c r="I224" s="48"/>
      <c r="J224" s="144"/>
      <c r="K224" s="144"/>
      <c r="L224" s="48"/>
      <c r="M224" s="135"/>
      <c r="N224" s="154"/>
      <c r="Q224" s="124"/>
      <c r="R224" s="124"/>
      <c r="S224" s="430"/>
      <c r="T224" s="430"/>
      <c r="U224" s="146"/>
    </row>
    <row r="225" spans="1:21" s="143" customFormat="1" ht="18" customHeight="1" x14ac:dyDescent="0.25">
      <c r="A225" s="48"/>
      <c r="B225" s="48"/>
      <c r="C225" s="48"/>
      <c r="D225" s="48"/>
      <c r="E225" s="48"/>
      <c r="F225" s="48"/>
      <c r="G225" s="48"/>
      <c r="H225" s="48"/>
      <c r="I225" s="48"/>
      <c r="J225" s="144"/>
      <c r="K225" s="144"/>
      <c r="L225" s="48"/>
      <c r="M225" s="135"/>
      <c r="N225" s="154"/>
      <c r="Q225" s="124"/>
      <c r="R225" s="124"/>
      <c r="S225" s="430"/>
      <c r="T225" s="430"/>
      <c r="U225" s="146"/>
    </row>
    <row r="226" spans="1:21" s="143" customFormat="1" ht="18" customHeight="1" x14ac:dyDescent="0.25">
      <c r="A226" s="48"/>
      <c r="B226" s="48"/>
      <c r="C226" s="48"/>
      <c r="D226" s="48"/>
      <c r="E226" s="48"/>
      <c r="F226" s="48"/>
      <c r="G226" s="48"/>
      <c r="H226" s="48"/>
      <c r="I226" s="48"/>
      <c r="J226" s="144"/>
      <c r="K226" s="144"/>
      <c r="L226" s="48"/>
      <c r="M226" s="135"/>
      <c r="N226" s="154"/>
      <c r="Q226" s="124"/>
      <c r="R226" s="124"/>
      <c r="S226" s="430"/>
      <c r="T226" s="430"/>
      <c r="U226" s="146"/>
    </row>
    <row r="227" spans="1:21" s="143" customFormat="1" ht="18" customHeight="1" x14ac:dyDescent="0.25">
      <c r="A227" s="48"/>
      <c r="B227" s="48"/>
      <c r="C227" s="48"/>
      <c r="D227" s="48"/>
      <c r="E227" s="48"/>
      <c r="F227" s="48"/>
      <c r="G227" s="48"/>
      <c r="H227" s="48"/>
      <c r="I227" s="48"/>
      <c r="J227" s="144"/>
      <c r="K227" s="144"/>
      <c r="L227" s="48"/>
      <c r="M227" s="135"/>
      <c r="N227" s="154"/>
      <c r="Q227" s="124"/>
      <c r="R227" s="124"/>
      <c r="S227" s="430"/>
      <c r="T227" s="430"/>
      <c r="U227" s="146"/>
    </row>
    <row r="228" spans="1:21" s="143" customFormat="1" ht="18" customHeight="1" x14ac:dyDescent="0.25">
      <c r="A228" s="48"/>
      <c r="B228" s="48"/>
      <c r="C228" s="48"/>
      <c r="D228" s="48"/>
      <c r="E228" s="48"/>
      <c r="F228" s="48"/>
      <c r="G228" s="48"/>
      <c r="H228" s="48"/>
      <c r="I228" s="48"/>
      <c r="J228" s="144"/>
      <c r="K228" s="144"/>
      <c r="L228" s="48"/>
      <c r="M228" s="135"/>
      <c r="N228" s="154"/>
      <c r="Q228" s="124"/>
      <c r="R228" s="124"/>
      <c r="S228" s="430"/>
      <c r="T228" s="430"/>
      <c r="U228" s="146"/>
    </row>
    <row r="229" spans="1:21" s="143" customFormat="1" ht="18" customHeight="1" x14ac:dyDescent="0.25">
      <c r="A229" s="48"/>
      <c r="B229" s="48"/>
      <c r="C229" s="48"/>
      <c r="D229" s="48"/>
      <c r="E229" s="48"/>
      <c r="F229" s="48"/>
      <c r="G229" s="48"/>
      <c r="H229" s="48"/>
      <c r="I229" s="48"/>
      <c r="J229" s="144"/>
      <c r="K229" s="144"/>
      <c r="L229" s="48"/>
      <c r="M229" s="135"/>
      <c r="N229" s="154"/>
      <c r="Q229" s="124"/>
      <c r="R229" s="124"/>
      <c r="S229" s="430"/>
      <c r="T229" s="430"/>
      <c r="U229" s="146"/>
    </row>
    <row r="230" spans="1:21" s="143" customFormat="1" ht="18" customHeight="1" x14ac:dyDescent="0.25">
      <c r="A230" s="48"/>
      <c r="B230" s="48"/>
      <c r="C230" s="48"/>
      <c r="D230" s="48"/>
      <c r="E230" s="48"/>
      <c r="F230" s="48"/>
      <c r="G230" s="48"/>
      <c r="H230" s="48"/>
      <c r="I230" s="48"/>
      <c r="J230" s="144"/>
      <c r="K230" s="144"/>
      <c r="L230" s="48"/>
      <c r="M230" s="135"/>
      <c r="N230" s="154"/>
      <c r="Q230" s="124"/>
      <c r="R230" s="124"/>
      <c r="S230" s="430"/>
      <c r="T230" s="430"/>
      <c r="U230" s="146"/>
    </row>
    <row r="231" spans="1:21" s="143" customFormat="1" ht="18" customHeight="1" x14ac:dyDescent="0.25">
      <c r="A231" s="48"/>
      <c r="B231" s="48"/>
      <c r="C231" s="48"/>
      <c r="D231" s="48"/>
      <c r="E231" s="48"/>
      <c r="F231" s="48"/>
      <c r="G231" s="48"/>
      <c r="H231" s="48"/>
      <c r="I231" s="48"/>
      <c r="J231" s="144"/>
      <c r="K231" s="144"/>
      <c r="L231" s="48"/>
      <c r="M231" s="135"/>
      <c r="N231" s="154"/>
      <c r="Q231" s="124"/>
      <c r="R231" s="124"/>
      <c r="S231" s="430"/>
      <c r="T231" s="430"/>
      <c r="U231" s="146"/>
    </row>
    <row r="232" spans="1:21" s="143" customFormat="1" ht="18" customHeight="1" x14ac:dyDescent="0.25">
      <c r="A232" s="48"/>
      <c r="B232" s="48"/>
      <c r="C232" s="48"/>
      <c r="D232" s="48"/>
      <c r="E232" s="48"/>
      <c r="F232" s="48"/>
      <c r="G232" s="48"/>
      <c r="H232" s="48"/>
      <c r="I232" s="48"/>
      <c r="J232" s="144"/>
      <c r="K232" s="144"/>
      <c r="L232" s="48"/>
      <c r="M232" s="135"/>
      <c r="N232" s="154"/>
      <c r="Q232" s="124"/>
      <c r="R232" s="124"/>
      <c r="S232" s="430"/>
      <c r="T232" s="430"/>
      <c r="U232" s="146"/>
    </row>
    <row r="233" spans="1:21" s="143" customFormat="1" ht="18" customHeight="1" x14ac:dyDescent="0.25">
      <c r="A233" s="48"/>
      <c r="B233" s="48"/>
      <c r="C233" s="48"/>
      <c r="D233" s="48"/>
      <c r="E233" s="48"/>
      <c r="F233" s="48"/>
      <c r="G233" s="48"/>
      <c r="H233" s="48"/>
      <c r="I233" s="48"/>
      <c r="J233" s="144"/>
      <c r="K233" s="144"/>
      <c r="L233" s="48"/>
      <c r="M233" s="135"/>
      <c r="N233" s="154"/>
      <c r="Q233" s="124"/>
      <c r="R233" s="124"/>
      <c r="S233" s="430"/>
      <c r="T233" s="430"/>
      <c r="U233" s="146"/>
    </row>
    <row r="234" spans="1:21" s="143" customFormat="1" ht="18" customHeight="1" x14ac:dyDescent="0.25">
      <c r="A234" s="48"/>
      <c r="B234" s="48"/>
      <c r="C234" s="48"/>
      <c r="D234" s="48"/>
      <c r="E234" s="48"/>
      <c r="F234" s="48"/>
      <c r="G234" s="48"/>
      <c r="H234" s="48"/>
      <c r="I234" s="48"/>
      <c r="J234" s="144"/>
      <c r="K234" s="144"/>
      <c r="L234" s="48"/>
      <c r="M234" s="135"/>
      <c r="N234" s="154"/>
      <c r="Q234" s="124"/>
      <c r="R234" s="124"/>
      <c r="S234" s="430"/>
      <c r="T234" s="430"/>
      <c r="U234" s="146"/>
    </row>
    <row r="235" spans="1:21" s="143" customFormat="1" ht="18" customHeight="1" x14ac:dyDescent="0.25">
      <c r="A235" s="48"/>
      <c r="B235" s="48"/>
      <c r="C235" s="48"/>
      <c r="D235" s="48"/>
      <c r="E235" s="48"/>
      <c r="F235" s="48"/>
      <c r="G235" s="48"/>
      <c r="H235" s="48"/>
      <c r="I235" s="48"/>
      <c r="J235" s="144"/>
      <c r="K235" s="144"/>
      <c r="L235" s="48"/>
      <c r="M235" s="135"/>
      <c r="N235" s="154"/>
      <c r="Q235" s="124"/>
      <c r="R235" s="124"/>
      <c r="S235" s="430"/>
      <c r="T235" s="430"/>
      <c r="U235" s="146"/>
    </row>
    <row r="236" spans="1:21" s="143" customFormat="1" ht="18" customHeight="1" x14ac:dyDescent="0.25">
      <c r="A236" s="48"/>
      <c r="B236" s="48"/>
      <c r="C236" s="48"/>
      <c r="D236" s="48"/>
      <c r="E236" s="48"/>
      <c r="F236" s="48"/>
      <c r="G236" s="48"/>
      <c r="H236" s="48"/>
      <c r="I236" s="48"/>
      <c r="J236" s="144"/>
      <c r="K236" s="144"/>
      <c r="L236" s="48"/>
      <c r="M236" s="135"/>
      <c r="N236" s="154"/>
      <c r="Q236" s="124"/>
      <c r="R236" s="124"/>
      <c r="S236" s="430"/>
      <c r="T236" s="430"/>
      <c r="U236" s="146"/>
    </row>
    <row r="237" spans="1:21" s="143" customFormat="1" ht="18" customHeight="1" x14ac:dyDescent="0.25">
      <c r="A237" s="48"/>
      <c r="B237" s="48"/>
      <c r="C237" s="48"/>
      <c r="D237" s="48"/>
      <c r="E237" s="48"/>
      <c r="F237" s="48"/>
      <c r="G237" s="48"/>
      <c r="H237" s="48"/>
      <c r="I237" s="48"/>
      <c r="J237" s="144"/>
      <c r="K237" s="144"/>
      <c r="L237" s="48"/>
      <c r="M237" s="135"/>
      <c r="N237" s="154"/>
      <c r="Q237" s="124"/>
      <c r="R237" s="124"/>
      <c r="S237" s="430"/>
      <c r="T237" s="430"/>
      <c r="U237" s="146"/>
    </row>
    <row r="238" spans="1:21" s="143" customFormat="1" ht="18" customHeight="1" x14ac:dyDescent="0.25">
      <c r="A238" s="48"/>
      <c r="B238" s="48"/>
      <c r="C238" s="48"/>
      <c r="D238" s="48"/>
      <c r="E238" s="48"/>
      <c r="F238" s="48"/>
      <c r="G238" s="48"/>
      <c r="H238" s="48"/>
      <c r="I238" s="48"/>
      <c r="J238" s="144"/>
      <c r="K238" s="144"/>
      <c r="L238" s="48"/>
      <c r="M238" s="135"/>
      <c r="N238" s="154"/>
      <c r="Q238" s="124"/>
      <c r="R238" s="124"/>
      <c r="S238" s="430"/>
      <c r="T238" s="430"/>
      <c r="U238" s="146"/>
    </row>
    <row r="239" spans="1:21" s="143" customFormat="1" ht="18" customHeight="1" x14ac:dyDescent="0.25">
      <c r="A239" s="48"/>
      <c r="B239" s="48"/>
      <c r="C239" s="48"/>
      <c r="D239" s="48"/>
      <c r="E239" s="48"/>
      <c r="F239" s="48"/>
      <c r="G239" s="48"/>
      <c r="H239" s="48"/>
      <c r="I239" s="48"/>
      <c r="J239" s="144"/>
      <c r="K239" s="144"/>
      <c r="L239" s="48"/>
      <c r="M239" s="135"/>
      <c r="N239" s="154"/>
      <c r="Q239" s="124"/>
      <c r="R239" s="124"/>
      <c r="S239" s="430"/>
      <c r="T239" s="430"/>
      <c r="U239" s="146"/>
    </row>
    <row r="240" spans="1:21" s="143" customFormat="1" ht="18" customHeight="1" x14ac:dyDescent="0.25">
      <c r="A240" s="48"/>
      <c r="B240" s="48"/>
      <c r="C240" s="48"/>
      <c r="D240" s="48"/>
      <c r="E240" s="48"/>
      <c r="F240" s="48"/>
      <c r="G240" s="48"/>
      <c r="H240" s="48"/>
      <c r="I240" s="48"/>
      <c r="J240" s="144"/>
      <c r="K240" s="144"/>
      <c r="L240" s="48"/>
      <c r="M240" s="135"/>
      <c r="N240" s="154"/>
      <c r="Q240" s="124"/>
      <c r="R240" s="124"/>
      <c r="S240" s="430"/>
      <c r="T240" s="430"/>
      <c r="U240" s="146"/>
    </row>
    <row r="241" spans="1:21" s="143" customFormat="1" ht="18" customHeight="1" x14ac:dyDescent="0.25">
      <c r="A241" s="48"/>
      <c r="B241" s="48"/>
      <c r="C241" s="48"/>
      <c r="D241" s="48"/>
      <c r="E241" s="48"/>
      <c r="F241" s="48"/>
      <c r="G241" s="48"/>
      <c r="H241" s="48"/>
      <c r="I241" s="48"/>
      <c r="J241" s="144"/>
      <c r="K241" s="144"/>
      <c r="L241" s="48"/>
      <c r="M241" s="135"/>
      <c r="N241" s="154"/>
      <c r="Q241" s="124"/>
      <c r="R241" s="124"/>
      <c r="S241" s="430"/>
      <c r="T241" s="430"/>
      <c r="U241" s="146"/>
    </row>
    <row r="242" spans="1:21" s="143" customFormat="1" ht="18" customHeight="1" x14ac:dyDescent="0.25">
      <c r="A242" s="48"/>
      <c r="B242" s="48"/>
      <c r="C242" s="48"/>
      <c r="D242" s="48"/>
      <c r="E242" s="48"/>
      <c r="F242" s="48"/>
      <c r="G242" s="48"/>
      <c r="H242" s="48"/>
      <c r="I242" s="48"/>
      <c r="J242" s="144"/>
      <c r="K242" s="144"/>
      <c r="L242" s="48"/>
      <c r="M242" s="135"/>
      <c r="N242" s="154"/>
      <c r="Q242" s="124"/>
      <c r="R242" s="124"/>
      <c r="S242" s="430"/>
      <c r="T242" s="430"/>
      <c r="U242" s="146"/>
    </row>
    <row r="243" spans="1:21" s="143" customFormat="1" ht="18" customHeight="1" x14ac:dyDescent="0.25">
      <c r="A243" s="48"/>
      <c r="B243" s="48"/>
      <c r="C243" s="48"/>
      <c r="D243" s="48"/>
      <c r="E243" s="48"/>
      <c r="F243" s="48"/>
      <c r="G243" s="48"/>
      <c r="H243" s="48"/>
      <c r="I243" s="48"/>
      <c r="J243" s="144"/>
      <c r="K243" s="144"/>
      <c r="L243" s="48"/>
      <c r="M243" s="135"/>
      <c r="N243" s="154"/>
      <c r="Q243" s="124"/>
      <c r="R243" s="124"/>
      <c r="S243" s="430"/>
      <c r="T243" s="430"/>
      <c r="U243" s="146"/>
    </row>
    <row r="244" spans="1:21" s="143" customFormat="1" ht="18" customHeight="1" x14ac:dyDescent="0.25">
      <c r="A244" s="48"/>
      <c r="B244" s="48"/>
      <c r="C244" s="48"/>
      <c r="D244" s="48"/>
      <c r="E244" s="48"/>
      <c r="F244" s="48"/>
      <c r="G244" s="48"/>
      <c r="H244" s="48"/>
      <c r="I244" s="48"/>
      <c r="J244" s="144"/>
      <c r="K244" s="144"/>
      <c r="L244" s="48"/>
      <c r="M244" s="135"/>
      <c r="N244" s="154"/>
      <c r="Q244" s="124"/>
      <c r="R244" s="124"/>
      <c r="S244" s="430"/>
      <c r="T244" s="430"/>
      <c r="U244" s="146"/>
    </row>
    <row r="245" spans="1:21" s="143" customFormat="1" ht="18" customHeight="1" x14ac:dyDescent="0.25">
      <c r="A245" s="48"/>
      <c r="B245" s="48"/>
      <c r="C245" s="48"/>
      <c r="D245" s="48"/>
      <c r="E245" s="48"/>
      <c r="F245" s="48"/>
      <c r="G245" s="48"/>
      <c r="H245" s="48"/>
      <c r="I245" s="48"/>
      <c r="J245" s="144"/>
      <c r="K245" s="144"/>
      <c r="L245" s="48"/>
      <c r="M245" s="135"/>
      <c r="N245" s="154"/>
      <c r="Q245" s="124"/>
      <c r="R245" s="124"/>
      <c r="S245" s="430"/>
      <c r="T245" s="430"/>
      <c r="U245" s="146"/>
    </row>
    <row r="246" spans="1:21" s="143" customFormat="1" ht="18" customHeight="1" x14ac:dyDescent="0.25">
      <c r="A246" s="48"/>
      <c r="B246" s="48"/>
      <c r="C246" s="48"/>
      <c r="D246" s="48"/>
      <c r="E246" s="48"/>
      <c r="F246" s="48"/>
      <c r="G246" s="48"/>
      <c r="H246" s="48"/>
      <c r="I246" s="48"/>
      <c r="J246" s="144"/>
      <c r="K246" s="144"/>
      <c r="L246" s="48"/>
      <c r="M246" s="135"/>
      <c r="N246" s="154"/>
      <c r="Q246" s="124"/>
      <c r="R246" s="124"/>
      <c r="S246" s="430"/>
      <c r="T246" s="430"/>
      <c r="U246" s="146"/>
    </row>
    <row r="247" spans="1:21" s="143" customFormat="1" ht="18" customHeight="1" x14ac:dyDescent="0.25">
      <c r="A247" s="48"/>
      <c r="B247" s="48"/>
      <c r="C247" s="48"/>
      <c r="D247" s="48"/>
      <c r="E247" s="48"/>
      <c r="F247" s="48"/>
      <c r="G247" s="48"/>
      <c r="H247" s="48"/>
      <c r="I247" s="48"/>
      <c r="J247" s="144"/>
      <c r="K247" s="144"/>
      <c r="L247" s="48"/>
      <c r="M247" s="135"/>
      <c r="N247" s="154"/>
      <c r="Q247" s="124"/>
      <c r="R247" s="124"/>
      <c r="S247" s="430"/>
      <c r="T247" s="430"/>
      <c r="U247" s="146"/>
    </row>
    <row r="248" spans="1:21" s="143" customFormat="1" ht="18" customHeight="1" x14ac:dyDescent="0.25">
      <c r="A248" s="48"/>
      <c r="B248" s="48"/>
      <c r="C248" s="48"/>
      <c r="D248" s="48"/>
      <c r="E248" s="48"/>
      <c r="F248" s="48"/>
      <c r="G248" s="48"/>
      <c r="H248" s="48"/>
      <c r="I248" s="48"/>
      <c r="J248" s="144"/>
      <c r="K248" s="144"/>
      <c r="L248" s="48"/>
      <c r="M248" s="135"/>
      <c r="N248" s="154"/>
      <c r="Q248" s="124"/>
      <c r="R248" s="124"/>
      <c r="S248" s="430"/>
      <c r="T248" s="430"/>
      <c r="U248" s="146"/>
    </row>
    <row r="249" spans="1:21" s="143" customFormat="1" ht="18" customHeight="1" x14ac:dyDescent="0.25">
      <c r="A249" s="48"/>
      <c r="B249" s="48"/>
      <c r="C249" s="48"/>
      <c r="D249" s="48"/>
      <c r="E249" s="48"/>
      <c r="F249" s="48"/>
      <c r="G249" s="48"/>
      <c r="H249" s="48"/>
      <c r="I249" s="48"/>
      <c r="J249" s="144"/>
      <c r="K249" s="144"/>
      <c r="L249" s="48"/>
      <c r="M249" s="135"/>
      <c r="N249" s="154"/>
      <c r="Q249" s="124"/>
      <c r="R249" s="124"/>
      <c r="S249" s="430"/>
      <c r="T249" s="430"/>
      <c r="U249" s="146"/>
    </row>
    <row r="250" spans="1:21" s="143" customFormat="1" ht="18" customHeight="1" x14ac:dyDescent="0.25">
      <c r="A250" s="48"/>
      <c r="B250" s="48"/>
      <c r="C250" s="48"/>
      <c r="D250" s="48"/>
      <c r="E250" s="48"/>
      <c r="F250" s="48"/>
      <c r="G250" s="48"/>
      <c r="H250" s="48"/>
      <c r="I250" s="48"/>
      <c r="J250" s="144"/>
      <c r="K250" s="144"/>
      <c r="L250" s="48"/>
      <c r="M250" s="135"/>
      <c r="N250" s="154"/>
      <c r="Q250" s="124"/>
      <c r="R250" s="124"/>
      <c r="S250" s="430"/>
      <c r="T250" s="430"/>
      <c r="U250" s="146"/>
    </row>
    <row r="251" spans="1:21" s="143" customFormat="1" ht="18" customHeight="1" x14ac:dyDescent="0.25">
      <c r="A251" s="48"/>
      <c r="B251" s="48"/>
      <c r="C251" s="48"/>
      <c r="D251" s="48"/>
      <c r="E251" s="48"/>
      <c r="F251" s="48"/>
      <c r="G251" s="48"/>
      <c r="H251" s="48"/>
      <c r="I251" s="48"/>
      <c r="J251" s="144"/>
      <c r="K251" s="144"/>
      <c r="L251" s="48"/>
      <c r="M251" s="135"/>
      <c r="N251" s="154"/>
      <c r="Q251" s="124"/>
      <c r="R251" s="124"/>
      <c r="S251" s="430"/>
      <c r="T251" s="430"/>
      <c r="U251" s="146"/>
    </row>
    <row r="252" spans="1:21" s="143" customFormat="1" ht="18" customHeight="1" x14ac:dyDescent="0.25">
      <c r="A252" s="48"/>
      <c r="B252" s="48"/>
      <c r="C252" s="48"/>
      <c r="D252" s="48"/>
      <c r="E252" s="48"/>
      <c r="F252" s="48"/>
      <c r="G252" s="48"/>
      <c r="H252" s="48"/>
      <c r="I252" s="48"/>
      <c r="J252" s="144"/>
      <c r="K252" s="144"/>
      <c r="L252" s="48"/>
      <c r="M252" s="135"/>
      <c r="N252" s="154"/>
      <c r="Q252" s="124"/>
      <c r="R252" s="124"/>
      <c r="S252" s="430"/>
      <c r="T252" s="430"/>
      <c r="U252" s="146"/>
    </row>
    <row r="253" spans="1:21" s="143" customFormat="1" ht="18" customHeight="1" x14ac:dyDescent="0.25">
      <c r="A253" s="48"/>
      <c r="B253" s="48"/>
      <c r="C253" s="48"/>
      <c r="D253" s="48"/>
      <c r="E253" s="48"/>
      <c r="F253" s="48"/>
      <c r="G253" s="48"/>
      <c r="H253" s="48"/>
      <c r="I253" s="48"/>
      <c r="J253" s="144"/>
      <c r="K253" s="144"/>
      <c r="L253" s="48"/>
      <c r="M253" s="135"/>
      <c r="N253" s="154"/>
      <c r="Q253" s="124"/>
      <c r="R253" s="124"/>
      <c r="S253" s="430"/>
      <c r="T253" s="430"/>
      <c r="U253" s="146"/>
    </row>
    <row r="254" spans="1:21" s="143" customFormat="1" ht="18" customHeight="1" x14ac:dyDescent="0.25">
      <c r="A254" s="48"/>
      <c r="B254" s="48"/>
      <c r="C254" s="48"/>
      <c r="D254" s="48"/>
      <c r="E254" s="48"/>
      <c r="F254" s="48"/>
      <c r="G254" s="48"/>
      <c r="H254" s="48"/>
      <c r="I254" s="48"/>
      <c r="J254" s="144"/>
      <c r="K254" s="144"/>
      <c r="L254" s="48"/>
      <c r="M254" s="135"/>
      <c r="N254" s="154"/>
      <c r="Q254" s="124"/>
      <c r="R254" s="124"/>
      <c r="S254" s="430"/>
      <c r="T254" s="430"/>
      <c r="U254" s="146"/>
    </row>
    <row r="255" spans="1:21" s="143" customFormat="1" ht="18" customHeight="1" x14ac:dyDescent="0.25">
      <c r="A255" s="48"/>
      <c r="B255" s="48"/>
      <c r="C255" s="48"/>
      <c r="D255" s="48"/>
      <c r="E255" s="48"/>
      <c r="F255" s="48"/>
      <c r="G255" s="48"/>
      <c r="H255" s="48"/>
      <c r="I255" s="48"/>
      <c r="J255" s="144"/>
      <c r="K255" s="144"/>
      <c r="L255" s="48"/>
      <c r="M255" s="135"/>
      <c r="N255" s="154"/>
      <c r="Q255" s="124"/>
      <c r="R255" s="124"/>
      <c r="S255" s="430"/>
      <c r="T255" s="430"/>
      <c r="U255" s="146"/>
    </row>
    <row r="256" spans="1:21" s="143" customFormat="1" ht="18" customHeight="1" x14ac:dyDescent="0.25">
      <c r="A256" s="48"/>
      <c r="B256" s="48"/>
      <c r="C256" s="48"/>
      <c r="D256" s="48"/>
      <c r="E256" s="48"/>
      <c r="F256" s="48"/>
      <c r="G256" s="48"/>
      <c r="H256" s="48"/>
      <c r="I256" s="48"/>
      <c r="J256" s="144"/>
      <c r="K256" s="144"/>
      <c r="L256" s="48"/>
      <c r="M256" s="135"/>
      <c r="N256" s="154"/>
      <c r="Q256" s="124"/>
      <c r="R256" s="124"/>
      <c r="S256" s="430"/>
      <c r="T256" s="430"/>
      <c r="U256" s="146"/>
    </row>
    <row r="257" spans="1:21" s="143" customFormat="1" ht="18" customHeight="1" x14ac:dyDescent="0.25">
      <c r="A257" s="48"/>
      <c r="B257" s="48"/>
      <c r="C257" s="48"/>
      <c r="D257" s="48"/>
      <c r="E257" s="48"/>
      <c r="F257" s="48"/>
      <c r="G257" s="48"/>
      <c r="H257" s="48"/>
      <c r="I257" s="48"/>
      <c r="J257" s="144"/>
      <c r="K257" s="144"/>
      <c r="L257" s="48"/>
      <c r="M257" s="135"/>
      <c r="N257" s="154"/>
      <c r="Q257" s="124"/>
      <c r="R257" s="124"/>
      <c r="S257" s="430"/>
      <c r="T257" s="430"/>
      <c r="U257" s="146"/>
    </row>
    <row r="258" spans="1:21" s="143" customFormat="1" ht="18" customHeight="1" x14ac:dyDescent="0.25">
      <c r="A258" s="48"/>
      <c r="B258" s="48"/>
      <c r="C258" s="48"/>
      <c r="D258" s="48"/>
      <c r="E258" s="48"/>
      <c r="F258" s="48"/>
      <c r="G258" s="48"/>
      <c r="H258" s="48"/>
      <c r="I258" s="48"/>
      <c r="J258" s="144"/>
      <c r="K258" s="144"/>
      <c r="L258" s="48"/>
      <c r="M258" s="135"/>
      <c r="N258" s="154"/>
      <c r="Q258" s="124"/>
      <c r="R258" s="124"/>
      <c r="S258" s="430"/>
      <c r="T258" s="430"/>
      <c r="U258" s="146"/>
    </row>
    <row r="259" spans="1:21" s="143" customFormat="1" ht="18" customHeight="1" x14ac:dyDescent="0.25">
      <c r="A259" s="48"/>
      <c r="B259" s="48"/>
      <c r="C259" s="48"/>
      <c r="D259" s="48"/>
      <c r="E259" s="48"/>
      <c r="F259" s="48"/>
      <c r="G259" s="48"/>
      <c r="H259" s="48"/>
      <c r="I259" s="48"/>
      <c r="J259" s="144"/>
      <c r="K259" s="144"/>
      <c r="L259" s="48"/>
      <c r="M259" s="135"/>
      <c r="N259" s="154"/>
      <c r="Q259" s="124"/>
      <c r="R259" s="124"/>
      <c r="S259" s="430"/>
      <c r="T259" s="430"/>
      <c r="U259" s="146"/>
    </row>
    <row r="260" spans="1:21" s="143" customFormat="1" ht="18" customHeight="1" x14ac:dyDescent="0.25">
      <c r="A260" s="48"/>
      <c r="B260" s="48"/>
      <c r="C260" s="48"/>
      <c r="D260" s="48"/>
      <c r="E260" s="48"/>
      <c r="F260" s="48"/>
      <c r="G260" s="48"/>
      <c r="H260" s="48"/>
      <c r="I260" s="48"/>
      <c r="J260" s="144"/>
      <c r="K260" s="144"/>
      <c r="L260" s="48"/>
      <c r="M260" s="135"/>
      <c r="N260" s="154"/>
      <c r="Q260" s="124"/>
      <c r="R260" s="124"/>
      <c r="S260" s="430"/>
      <c r="T260" s="430"/>
      <c r="U260" s="146"/>
    </row>
    <row r="261" spans="1:21" s="143" customFormat="1" ht="18" customHeight="1" x14ac:dyDescent="0.25">
      <c r="A261" s="48"/>
      <c r="B261" s="48"/>
      <c r="C261" s="48"/>
      <c r="D261" s="48"/>
      <c r="E261" s="48"/>
      <c r="F261" s="48"/>
      <c r="G261" s="48"/>
      <c r="H261" s="48"/>
      <c r="I261" s="48"/>
      <c r="J261" s="144"/>
      <c r="K261" s="144"/>
      <c r="L261" s="48"/>
      <c r="M261" s="135"/>
      <c r="N261" s="154"/>
      <c r="Q261" s="124"/>
      <c r="R261" s="124"/>
      <c r="S261" s="430"/>
      <c r="T261" s="430"/>
      <c r="U261" s="146"/>
    </row>
    <row r="262" spans="1:21" s="143" customFormat="1" ht="18" customHeight="1" x14ac:dyDescent="0.25">
      <c r="A262" s="48"/>
      <c r="B262" s="48"/>
      <c r="C262" s="48"/>
      <c r="D262" s="48"/>
      <c r="E262" s="48"/>
      <c r="F262" s="48"/>
      <c r="G262" s="48"/>
      <c r="H262" s="48"/>
      <c r="I262" s="48"/>
      <c r="J262" s="144"/>
      <c r="K262" s="144"/>
      <c r="L262" s="48"/>
      <c r="M262" s="135"/>
      <c r="N262" s="154"/>
      <c r="Q262" s="124"/>
      <c r="R262" s="124"/>
      <c r="S262" s="430"/>
      <c r="T262" s="430"/>
      <c r="U262" s="146"/>
    </row>
    <row r="263" spans="1:21" s="143" customFormat="1" ht="18" customHeight="1" x14ac:dyDescent="0.25">
      <c r="A263" s="48"/>
      <c r="B263" s="48"/>
      <c r="C263" s="48"/>
      <c r="D263" s="48"/>
      <c r="E263" s="48"/>
      <c r="F263" s="48"/>
      <c r="G263" s="48"/>
      <c r="H263" s="48"/>
      <c r="I263" s="48"/>
      <c r="J263" s="144"/>
      <c r="K263" s="144"/>
      <c r="L263" s="48"/>
      <c r="M263" s="135"/>
      <c r="N263" s="154"/>
      <c r="Q263" s="124"/>
      <c r="R263" s="124"/>
      <c r="S263" s="430"/>
      <c r="T263" s="430"/>
      <c r="U263" s="146"/>
    </row>
    <row r="264" spans="1:21" s="143" customFormat="1" ht="18" customHeight="1" x14ac:dyDescent="0.25">
      <c r="A264" s="48"/>
      <c r="B264" s="48"/>
      <c r="C264" s="48"/>
      <c r="D264" s="48"/>
      <c r="E264" s="48"/>
      <c r="F264" s="48"/>
      <c r="G264" s="48"/>
      <c r="H264" s="48"/>
      <c r="I264" s="48"/>
      <c r="J264" s="144"/>
      <c r="K264" s="144"/>
      <c r="L264" s="48"/>
      <c r="M264" s="135"/>
      <c r="N264" s="154"/>
      <c r="Q264" s="124"/>
      <c r="R264" s="124"/>
      <c r="S264" s="430"/>
      <c r="T264" s="430"/>
      <c r="U264" s="146"/>
    </row>
    <row r="265" spans="1:21" s="143" customFormat="1" ht="18" customHeight="1" x14ac:dyDescent="0.25">
      <c r="A265" s="48"/>
      <c r="B265" s="48"/>
      <c r="C265" s="48"/>
      <c r="D265" s="48"/>
      <c r="E265" s="48"/>
      <c r="F265" s="48"/>
      <c r="G265" s="48"/>
      <c r="H265" s="48"/>
      <c r="I265" s="48"/>
      <c r="J265" s="144"/>
      <c r="K265" s="144"/>
      <c r="L265" s="48"/>
      <c r="M265" s="135"/>
      <c r="N265" s="154"/>
      <c r="Q265" s="124"/>
      <c r="R265" s="124"/>
      <c r="S265" s="430"/>
      <c r="T265" s="430"/>
      <c r="U265" s="146"/>
    </row>
    <row r="266" spans="1:21" s="143" customFormat="1" ht="18" customHeight="1" x14ac:dyDescent="0.25">
      <c r="A266" s="48"/>
      <c r="B266" s="48"/>
      <c r="C266" s="48"/>
      <c r="D266" s="48"/>
      <c r="E266" s="48"/>
      <c r="F266" s="48"/>
      <c r="G266" s="48"/>
      <c r="H266" s="48"/>
      <c r="I266" s="48"/>
      <c r="J266" s="144"/>
      <c r="K266" s="144"/>
      <c r="L266" s="48"/>
      <c r="M266" s="135"/>
      <c r="N266" s="154"/>
      <c r="Q266" s="124"/>
      <c r="R266" s="124"/>
      <c r="S266" s="430"/>
      <c r="T266" s="430"/>
      <c r="U266" s="146"/>
    </row>
    <row r="267" spans="1:21" s="143" customFormat="1" ht="18" customHeight="1" x14ac:dyDescent="0.25">
      <c r="A267" s="48"/>
      <c r="B267" s="48"/>
      <c r="C267" s="48"/>
      <c r="D267" s="48"/>
      <c r="E267" s="48"/>
      <c r="F267" s="48"/>
      <c r="G267" s="48"/>
      <c r="H267" s="48"/>
      <c r="I267" s="48"/>
      <c r="J267" s="144"/>
      <c r="K267" s="144"/>
      <c r="L267" s="48"/>
      <c r="M267" s="135"/>
      <c r="N267" s="154"/>
      <c r="Q267" s="124"/>
      <c r="R267" s="124"/>
      <c r="S267" s="430"/>
      <c r="T267" s="430"/>
      <c r="U267" s="146"/>
    </row>
    <row r="268" spans="1:21" s="143" customFormat="1" ht="18" customHeight="1" x14ac:dyDescent="0.25">
      <c r="A268" s="48"/>
      <c r="B268" s="48"/>
      <c r="C268" s="48"/>
      <c r="D268" s="48"/>
      <c r="E268" s="48"/>
      <c r="F268" s="48"/>
      <c r="G268" s="48"/>
      <c r="H268" s="48"/>
      <c r="I268" s="48"/>
      <c r="J268" s="144"/>
      <c r="K268" s="144"/>
      <c r="L268" s="48"/>
      <c r="M268" s="135"/>
      <c r="N268" s="154"/>
      <c r="Q268" s="124"/>
      <c r="R268" s="124"/>
      <c r="S268" s="430"/>
      <c r="T268" s="430"/>
      <c r="U268" s="146"/>
    </row>
    <row r="269" spans="1:21" s="143" customFormat="1" ht="18" customHeight="1" x14ac:dyDescent="0.25">
      <c r="A269" s="48"/>
      <c r="B269" s="48"/>
      <c r="C269" s="48"/>
      <c r="D269" s="48"/>
      <c r="E269" s="48"/>
      <c r="F269" s="48"/>
      <c r="G269" s="48"/>
      <c r="H269" s="48"/>
      <c r="I269" s="48"/>
      <c r="J269" s="144"/>
      <c r="K269" s="144"/>
      <c r="L269" s="48"/>
      <c r="M269" s="135"/>
      <c r="N269" s="154"/>
      <c r="Q269" s="124"/>
      <c r="R269" s="124"/>
      <c r="S269" s="430"/>
      <c r="T269" s="430"/>
      <c r="U269" s="146"/>
    </row>
    <row r="270" spans="1:21" s="143" customFormat="1" ht="18" customHeight="1" x14ac:dyDescent="0.25">
      <c r="A270" s="48"/>
      <c r="B270" s="48"/>
      <c r="C270" s="48"/>
      <c r="D270" s="48"/>
      <c r="E270" s="48"/>
      <c r="F270" s="48"/>
      <c r="G270" s="48"/>
      <c r="H270" s="48"/>
      <c r="I270" s="48"/>
      <c r="J270" s="144"/>
      <c r="K270" s="144"/>
      <c r="L270" s="48"/>
      <c r="M270" s="135"/>
      <c r="N270" s="154"/>
      <c r="Q270" s="124"/>
      <c r="R270" s="124"/>
      <c r="S270" s="430"/>
      <c r="T270" s="430"/>
      <c r="U270" s="146"/>
    </row>
    <row r="271" spans="1:21" s="143" customFormat="1" ht="18" customHeight="1" x14ac:dyDescent="0.25">
      <c r="A271" s="48"/>
      <c r="B271" s="48"/>
      <c r="C271" s="48"/>
      <c r="D271" s="48"/>
      <c r="E271" s="48"/>
      <c r="F271" s="48"/>
      <c r="G271" s="48"/>
      <c r="H271" s="48"/>
      <c r="I271" s="48"/>
      <c r="J271" s="144"/>
      <c r="K271" s="144"/>
      <c r="L271" s="48"/>
      <c r="M271" s="135"/>
      <c r="N271" s="154"/>
      <c r="Q271" s="124"/>
      <c r="R271" s="124"/>
      <c r="S271" s="430"/>
      <c r="T271" s="430"/>
      <c r="U271" s="146"/>
    </row>
    <row r="272" spans="1:21" s="143" customFormat="1" ht="18" customHeight="1" x14ac:dyDescent="0.25">
      <c r="A272" s="48"/>
      <c r="B272" s="48"/>
      <c r="C272" s="48"/>
      <c r="D272" s="48"/>
      <c r="E272" s="48"/>
      <c r="F272" s="48"/>
      <c r="G272" s="48"/>
      <c r="H272" s="48"/>
      <c r="I272" s="48"/>
      <c r="J272" s="144"/>
      <c r="K272" s="144"/>
      <c r="L272" s="48"/>
      <c r="M272" s="135"/>
      <c r="N272" s="154"/>
      <c r="Q272" s="124"/>
      <c r="R272" s="124"/>
      <c r="S272" s="430"/>
      <c r="T272" s="430"/>
      <c r="U272" s="146"/>
    </row>
    <row r="273" spans="1:21" s="143" customFormat="1" ht="18" customHeight="1" x14ac:dyDescent="0.25">
      <c r="A273" s="48"/>
      <c r="B273" s="48"/>
      <c r="C273" s="48"/>
      <c r="D273" s="48"/>
      <c r="E273" s="48"/>
      <c r="F273" s="48"/>
      <c r="G273" s="48"/>
      <c r="H273" s="48"/>
      <c r="I273" s="48"/>
      <c r="J273" s="144"/>
      <c r="K273" s="144"/>
      <c r="L273" s="48"/>
      <c r="M273" s="135"/>
      <c r="N273" s="154"/>
      <c r="Q273" s="124"/>
      <c r="R273" s="124"/>
      <c r="S273" s="430"/>
      <c r="T273" s="430"/>
      <c r="U273" s="146"/>
    </row>
    <row r="274" spans="1:21" s="143" customFormat="1" ht="18" customHeight="1" x14ac:dyDescent="0.25">
      <c r="A274" s="48"/>
      <c r="B274" s="48"/>
      <c r="C274" s="48"/>
      <c r="D274" s="48"/>
      <c r="E274" s="48"/>
      <c r="F274" s="48"/>
      <c r="G274" s="48"/>
      <c r="H274" s="48"/>
      <c r="I274" s="48"/>
      <c r="J274" s="144"/>
      <c r="K274" s="144"/>
      <c r="L274" s="48"/>
      <c r="M274" s="135"/>
      <c r="N274" s="154"/>
      <c r="Q274" s="124"/>
      <c r="R274" s="124"/>
      <c r="S274" s="430"/>
      <c r="T274" s="430"/>
      <c r="U274" s="146"/>
    </row>
    <row r="275" spans="1:21" s="143" customFormat="1" ht="18" customHeight="1" x14ac:dyDescent="0.25">
      <c r="A275" s="48"/>
      <c r="B275" s="48"/>
      <c r="C275" s="48"/>
      <c r="D275" s="48"/>
      <c r="E275" s="48"/>
      <c r="F275" s="48"/>
      <c r="G275" s="48"/>
      <c r="H275" s="48"/>
      <c r="I275" s="48"/>
      <c r="J275" s="144"/>
      <c r="K275" s="144"/>
      <c r="L275" s="48"/>
      <c r="M275" s="135"/>
      <c r="N275" s="154"/>
      <c r="Q275" s="124"/>
      <c r="R275" s="124"/>
      <c r="S275" s="430"/>
      <c r="T275" s="430"/>
      <c r="U275" s="146"/>
    </row>
    <row r="276" spans="1:21" s="143" customFormat="1" ht="18" customHeight="1" x14ac:dyDescent="0.25">
      <c r="A276" s="48"/>
      <c r="B276" s="48"/>
      <c r="C276" s="48"/>
      <c r="D276" s="48"/>
      <c r="E276" s="48"/>
      <c r="F276" s="48"/>
      <c r="G276" s="48"/>
      <c r="H276" s="48"/>
      <c r="I276" s="48"/>
      <c r="J276" s="144"/>
      <c r="K276" s="144"/>
      <c r="L276" s="48"/>
      <c r="M276" s="135"/>
      <c r="N276" s="154"/>
      <c r="Q276" s="124"/>
      <c r="R276" s="124"/>
      <c r="S276" s="430"/>
      <c r="T276" s="430"/>
      <c r="U276" s="146"/>
    </row>
    <row r="277" spans="1:21" s="143" customFormat="1" ht="18" customHeight="1" x14ac:dyDescent="0.25">
      <c r="A277" s="48"/>
      <c r="B277" s="48"/>
      <c r="C277" s="48"/>
      <c r="D277" s="48"/>
      <c r="E277" s="48"/>
      <c r="F277" s="48"/>
      <c r="G277" s="48"/>
      <c r="H277" s="48"/>
      <c r="I277" s="48"/>
      <c r="J277" s="144"/>
      <c r="K277" s="144"/>
      <c r="L277" s="48"/>
      <c r="M277" s="135"/>
      <c r="N277" s="154"/>
      <c r="Q277" s="124"/>
      <c r="R277" s="124"/>
      <c r="S277" s="430"/>
      <c r="T277" s="430"/>
      <c r="U277" s="146"/>
    </row>
    <row r="278" spans="1:21" s="143" customFormat="1" ht="18" customHeight="1" x14ac:dyDescent="0.25">
      <c r="A278" s="48"/>
      <c r="B278" s="48"/>
      <c r="C278" s="48"/>
      <c r="D278" s="48"/>
      <c r="E278" s="48"/>
      <c r="F278" s="48"/>
      <c r="G278" s="48"/>
      <c r="H278" s="48"/>
      <c r="I278" s="48"/>
      <c r="J278" s="144"/>
      <c r="K278" s="144"/>
      <c r="L278" s="48"/>
      <c r="M278" s="135"/>
      <c r="N278" s="154"/>
      <c r="Q278" s="124"/>
      <c r="R278" s="124"/>
      <c r="S278" s="430"/>
      <c r="T278" s="430"/>
      <c r="U278" s="146"/>
    </row>
  </sheetData>
  <sheetProtection algorithmName="SHA-512" hashValue="q5sBkY5PL1DX/hfe8n/R4flYGW7c4VH7/7ZbDTfo8xL8Q3f/8b/AhQrOLkPUP1Lfjje3q4heBRuP5XnHgeJHbw==" saltValue="XlzMz4OBkYG48cW9UsdBfQ==" spinCount="100000" sheet="1" objects="1" scenarios="1"/>
  <mergeCells count="46">
    <mergeCell ref="AG45:AU45"/>
    <mergeCell ref="AH46:AJ46"/>
    <mergeCell ref="I29:I39"/>
    <mergeCell ref="J29:J39"/>
    <mergeCell ref="A29:A39"/>
    <mergeCell ref="AG26:AU26"/>
    <mergeCell ref="AX26:BL26"/>
    <mergeCell ref="AH27:AJ27"/>
    <mergeCell ref="AY27:BA27"/>
    <mergeCell ref="D29:D39"/>
    <mergeCell ref="E29:E39"/>
    <mergeCell ref="F29:F39"/>
    <mergeCell ref="G29:G39"/>
    <mergeCell ref="H29:H39"/>
    <mergeCell ref="A26:L26"/>
    <mergeCell ref="K29:K39"/>
    <mergeCell ref="A1:L1"/>
    <mergeCell ref="H27:H28"/>
    <mergeCell ref="I27:I28"/>
    <mergeCell ref="J27:J28"/>
    <mergeCell ref="A27:A28"/>
    <mergeCell ref="B27:B28"/>
    <mergeCell ref="C27:C28"/>
    <mergeCell ref="G27:G28"/>
    <mergeCell ref="D27:D28"/>
    <mergeCell ref="A11:A12"/>
    <mergeCell ref="B11:B12"/>
    <mergeCell ref="C11:C12"/>
    <mergeCell ref="G11:G12"/>
    <mergeCell ref="H11:H12"/>
    <mergeCell ref="I11:I12"/>
    <mergeCell ref="B7:L7"/>
    <mergeCell ref="B6:L6"/>
    <mergeCell ref="B5:L5"/>
    <mergeCell ref="B4:L4"/>
    <mergeCell ref="B3:L3"/>
    <mergeCell ref="A2:L2"/>
    <mergeCell ref="D11:D12"/>
    <mergeCell ref="J11:J12"/>
    <mergeCell ref="B9:L9"/>
    <mergeCell ref="B8:L8"/>
    <mergeCell ref="A25:L25"/>
    <mergeCell ref="A24:L24"/>
    <mergeCell ref="A23:L23"/>
    <mergeCell ref="A22:L22"/>
    <mergeCell ref="A21:L21"/>
  </mergeCells>
  <conditionalFormatting sqref="D40:K60">
    <cfRule type="expression" dxfId="61" priority="26">
      <formula>AND($A40="",NOT($B40=""),NOT($C40=""))</formula>
    </cfRule>
  </conditionalFormatting>
  <conditionalFormatting sqref="I40:J60 E40:F60">
    <cfRule type="expression" dxfId="60" priority="29">
      <formula>AND(NOT($A40=""),NOT($B40=""),NOT($C40=""),ISBLANK(E40))</formula>
    </cfRule>
  </conditionalFormatting>
  <conditionalFormatting sqref="I40:J60">
    <cfRule type="expression" dxfId="59" priority="27">
      <formula>E40="NO"</formula>
    </cfRule>
  </conditionalFormatting>
  <conditionalFormatting sqref="AK28:AU43">
    <cfRule type="cellIs" dxfId="58" priority="21" operator="equal">
      <formula>0</formula>
    </cfRule>
    <cfRule type="cellIs" dxfId="57" priority="22" operator="greaterThanOrEqual">
      <formula>1000</formula>
    </cfRule>
    <cfRule type="cellIs" dxfId="56" priority="23" operator="between">
      <formula>100</formula>
      <formula>1000</formula>
    </cfRule>
    <cfRule type="cellIs" dxfId="55" priority="24" operator="between">
      <formula>0.01</formula>
      <formula>100</formula>
    </cfRule>
    <cfRule type="cellIs" dxfId="54" priority="25" operator="lessThan">
      <formula>0.01</formula>
    </cfRule>
  </conditionalFormatting>
  <conditionalFormatting sqref="AK47:AU57">
    <cfRule type="cellIs" dxfId="53" priority="1" operator="equal">
      <formula>0</formula>
    </cfRule>
    <cfRule type="cellIs" dxfId="52" priority="2" operator="greaterThanOrEqual">
      <formula>1000</formula>
    </cfRule>
    <cfRule type="cellIs" dxfId="51" priority="3" operator="between">
      <formula>100</formula>
      <formula>1000</formula>
    </cfRule>
    <cfRule type="cellIs" dxfId="50" priority="4" operator="between">
      <formula>0.01</formula>
      <formula>100</formula>
    </cfRule>
    <cfRule type="cellIs" dxfId="49" priority="5" operator="lessThan">
      <formula>0.01</formula>
    </cfRule>
  </conditionalFormatting>
  <conditionalFormatting sqref="BB28:BL48">
    <cfRule type="cellIs" dxfId="48" priority="16" operator="equal">
      <formula>0</formula>
    </cfRule>
    <cfRule type="cellIs" dxfId="47" priority="17" operator="greaterThanOrEqual">
      <formula>1000</formula>
    </cfRule>
    <cfRule type="cellIs" dxfId="46" priority="18" operator="between">
      <formula>100</formula>
      <formula>1000</formula>
    </cfRule>
    <cfRule type="cellIs" dxfId="45" priority="19" operator="between">
      <formula>0.01</formula>
      <formula>100</formula>
    </cfRule>
    <cfRule type="cellIs" dxfId="44" priority="20" operator="lessThan">
      <formula>0.01</formula>
    </cfRule>
  </conditionalFormatting>
  <dataValidations disablePrompts="1" count="5">
    <dataValidation type="list" showInputMessage="1" showErrorMessage="1" errorTitle="Error." error="Must select a control device!" promptTitle="Control Device" prompt="If you agreed to control emissions, indicate the type of control device used." sqref="J13:J19" xr:uid="{00000000-0002-0000-1400-000000000000}">
      <formula1>$Z$29:$Z$31</formula1>
    </dataValidation>
    <dataValidation type="list" showInputMessage="1" showErrorMessage="1" errorTitle="Error." error="Must select either &quot;Yes&quot; or &quot;No&quot;!" promptTitle="Throughput Limit" prompt="Indicate whether you agreed to limit throughput of this material in Table 6-A." sqref="E13:F19" xr:uid="{00000000-0002-0000-1400-000001000000}">
      <formula1>$W$29:$W$30</formula1>
    </dataValidation>
    <dataValidation type="list" errorStyle="warning" showInputMessage="1" showErrorMessage="1" errorTitle="Error." error="Must select either &quot;Yes&quot; or &quot;No&quot;!" promptTitle="Throughput Limit" prompt="Indicate whether you agreed to limit throughput of this material in Table 6-A." sqref="E40:F60" xr:uid="{00000000-0002-0000-1400-000002000000}">
      <formula1>$W$29:$W$30</formula1>
    </dataValidation>
    <dataValidation type="list" errorStyle="warning" showInputMessage="1" showErrorMessage="1" errorTitle="Error." error="Must select a control device!" promptTitle="Control Device" prompt="If you agreed to control emissions, indicate the type of control device used." sqref="J40:J60" xr:uid="{00000000-0002-0000-1400-000003000000}">
      <formula1>$Z$29:$Z$31</formula1>
    </dataValidation>
    <dataValidation type="list" showDropDown="1" showInputMessage="1" showErrorMessage="1" errorTitle="Invalid CAS #" error="The CAS # you entered does not match the CAS # for any listed HAP.  Check the number you entered." sqref="C29:C60 D29 D40:D60" xr:uid="{00000000-0002-0000-1400-000004000000}">
      <formula1>$G$4:$G$60</formula1>
    </dataValidation>
  </dataValidations>
  <printOptions horizontalCentered="1"/>
  <pageMargins left="0.5" right="0.5" top="0.5" bottom="0.5" header="0.3" footer="0.3"/>
  <pageSetup scale="72" fitToHeight="0" orientation="landscape" r:id="rId1"/>
  <headerFooter>
    <oddFooter>&amp;LRev. 7/2016&amp;C&amp;A&amp;RPage &amp;P</oddFooter>
  </headerFooter>
  <drawing r:id="rId2"/>
  <extLst>
    <ext xmlns:x14="http://schemas.microsoft.com/office/spreadsheetml/2009/9/main" uri="{CCE6A557-97BC-4b89-ADB6-D9C93CAAB3DF}">
      <x14:dataValidations xmlns:xm="http://schemas.microsoft.com/office/excel/2006/main" disablePrompts="1" count="1">
        <x14:dataValidation type="list" showDropDown="1" showInputMessage="1" showErrorMessage="1" errorTitle="Invalid CAS #" error="The CAS # you entered does not match the CAS # for any listed HAP.  Check the number you entered." xr:uid="{00000000-0002-0000-1400-000005000000}">
          <x14:formula1>
            <xm:f>'HAP CAS &amp; Names'!$F$4:$F$186</xm:f>
          </x14:formula1>
          <xm:sqref>C13:C19 D14:D15 D17:D19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2060"/>
    <pageSetUpPr fitToPage="1"/>
  </sheetPr>
  <dimension ref="A1:O27"/>
  <sheetViews>
    <sheetView zoomScaleNormal="100" workbookViewId="0">
      <selection sqref="A1:I1"/>
    </sheetView>
  </sheetViews>
  <sheetFormatPr defaultRowHeight="15" x14ac:dyDescent="0.25"/>
  <cols>
    <col min="1" max="1" width="29.7109375" style="64" customWidth="1"/>
    <col min="2" max="6" width="22.7109375" style="64" customWidth="1"/>
    <col min="7" max="16384" width="9.140625" style="64"/>
  </cols>
  <sheetData>
    <row r="1" spans="1:15" s="69" customFormat="1" ht="26.25" customHeight="1" thickBot="1" x14ac:dyDescent="0.3">
      <c r="A1" s="1315" t="s">
        <v>2365</v>
      </c>
      <c r="B1" s="1315"/>
      <c r="C1" s="1315"/>
      <c r="D1" s="1315"/>
      <c r="E1" s="1315"/>
      <c r="F1" s="1315"/>
      <c r="G1" s="1315"/>
      <c r="H1" s="1315"/>
      <c r="I1" s="1315"/>
      <c r="J1" s="79"/>
      <c r="K1" s="79"/>
      <c r="L1" s="79"/>
    </row>
    <row r="2" spans="1:15" s="68" customFormat="1" ht="20.100000000000001" customHeight="1" x14ac:dyDescent="0.25">
      <c r="A2" s="1316" t="s">
        <v>2366</v>
      </c>
      <c r="B2" s="1316"/>
      <c r="C2" s="1316"/>
      <c r="D2" s="1316"/>
      <c r="E2" s="1316"/>
      <c r="F2" s="1316"/>
      <c r="G2" s="1316"/>
      <c r="H2" s="1316"/>
      <c r="I2" s="1316"/>
      <c r="J2" s="121"/>
      <c r="K2" s="121"/>
      <c r="L2" s="121"/>
    </row>
    <row r="3" spans="1:15" ht="20.100000000000001" customHeight="1" x14ac:dyDescent="0.25">
      <c r="A3" s="1341" t="s">
        <v>1651</v>
      </c>
      <c r="B3" s="1341"/>
      <c r="C3" s="1341"/>
      <c r="D3" s="1341"/>
      <c r="E3" s="1341"/>
      <c r="F3" s="1341"/>
      <c r="G3" s="1341"/>
      <c r="H3" s="1341"/>
      <c r="I3" s="1341"/>
      <c r="J3" s="122"/>
      <c r="K3" s="122"/>
      <c r="L3" s="122"/>
    </row>
    <row r="4" spans="1:15" ht="35.1" customHeight="1" x14ac:dyDescent="0.25">
      <c r="A4" s="1341" t="s">
        <v>1653</v>
      </c>
      <c r="B4" s="1341"/>
      <c r="C4" s="1341"/>
      <c r="D4" s="1341"/>
      <c r="E4" s="1341"/>
      <c r="F4" s="1341"/>
      <c r="G4" s="1341"/>
      <c r="H4" s="1341"/>
      <c r="I4" s="1341"/>
      <c r="J4" s="122"/>
      <c r="K4" s="122"/>
      <c r="L4" s="122"/>
    </row>
    <row r="5" spans="1:15" ht="20.100000000000001" customHeight="1" x14ac:dyDescent="0.25">
      <c r="A5" s="1341" t="s">
        <v>2506</v>
      </c>
      <c r="B5" s="1341"/>
      <c r="C5" s="1341"/>
      <c r="D5" s="1341"/>
      <c r="E5" s="1341"/>
      <c r="F5" s="1341"/>
      <c r="G5" s="1341"/>
      <c r="H5" s="1341"/>
      <c r="I5" s="1341"/>
      <c r="J5" s="122"/>
      <c r="K5" s="122"/>
      <c r="L5" s="122"/>
    </row>
    <row r="6" spans="1:15" ht="20.100000000000001" customHeight="1" thickBot="1" x14ac:dyDescent="0.3">
      <c r="A6" s="1341" t="s">
        <v>1652</v>
      </c>
      <c r="B6" s="1341"/>
      <c r="C6" s="1341"/>
      <c r="D6" s="1341"/>
      <c r="E6" s="1341"/>
      <c r="F6" s="1341"/>
      <c r="G6" s="1341"/>
      <c r="H6" s="1341"/>
      <c r="I6" s="1341"/>
      <c r="J6" s="122"/>
      <c r="K6" s="122"/>
      <c r="L6" s="122"/>
    </row>
    <row r="7" spans="1:15" s="77" customFormat="1" ht="19.5" thickBot="1" x14ac:dyDescent="0.3">
      <c r="A7" s="1208" t="s">
        <v>1564</v>
      </c>
      <c r="B7" s="1208"/>
      <c r="C7" s="1208"/>
      <c r="D7" s="1208"/>
      <c r="E7" s="1208"/>
      <c r="F7" s="1208"/>
      <c r="G7" s="1208"/>
      <c r="H7" s="1208"/>
      <c r="I7" s="1208"/>
      <c r="J7" s="90"/>
      <c r="K7" s="90"/>
      <c r="L7" s="90"/>
    </row>
    <row r="8" spans="1:15" ht="60" customHeight="1" x14ac:dyDescent="0.25">
      <c r="A8" s="1507"/>
      <c r="B8" s="1507"/>
      <c r="C8" s="1507"/>
      <c r="D8" s="1507"/>
      <c r="E8" s="1507"/>
      <c r="F8" s="1507"/>
    </row>
    <row r="9" spans="1:15" s="99" customFormat="1" ht="24.95" customHeight="1" x14ac:dyDescent="0.25">
      <c r="A9" s="1509" t="s">
        <v>1434</v>
      </c>
      <c r="B9" s="1509"/>
      <c r="C9" s="1509"/>
      <c r="D9" s="1509"/>
      <c r="E9" s="1509"/>
      <c r="F9" s="1509"/>
      <c r="G9" s="181"/>
      <c r="H9" s="181"/>
      <c r="I9" s="181"/>
      <c r="J9" s="181"/>
      <c r="K9" s="182"/>
      <c r="L9" s="64"/>
      <c r="M9" s="64"/>
      <c r="N9" s="64"/>
      <c r="O9" s="64"/>
    </row>
    <row r="10" spans="1:15" s="99" customFormat="1" ht="24.95" customHeight="1" thickBot="1" x14ac:dyDescent="0.3">
      <c r="A10" s="1508" t="s">
        <v>2353</v>
      </c>
      <c r="B10" s="1508"/>
      <c r="C10" s="1508"/>
      <c r="D10" s="1508"/>
      <c r="E10" s="1508"/>
      <c r="F10" s="1508"/>
      <c r="G10" s="183"/>
      <c r="H10" s="183"/>
      <c r="I10" s="183"/>
      <c r="J10" s="183"/>
      <c r="K10" s="182"/>
      <c r="L10" s="64"/>
      <c r="M10" s="64"/>
      <c r="N10" s="64"/>
      <c r="O10" s="64"/>
    </row>
    <row r="11" spans="1:15" ht="73.5" customHeight="1" x14ac:dyDescent="0.25">
      <c r="A11" s="1501" t="s">
        <v>1815</v>
      </c>
      <c r="B11" s="604" t="s">
        <v>256</v>
      </c>
      <c r="C11" s="604" t="s">
        <v>2076</v>
      </c>
      <c r="D11" s="1499" t="s">
        <v>257</v>
      </c>
      <c r="E11" s="604" t="s">
        <v>2077</v>
      </c>
      <c r="F11" s="1497" t="s">
        <v>257</v>
      </c>
    </row>
    <row r="12" spans="1:15" ht="20.100000000000001" customHeight="1" thickBot="1" x14ac:dyDescent="0.3">
      <c r="A12" s="1510"/>
      <c r="B12" s="27" t="s">
        <v>261</v>
      </c>
      <c r="C12" s="27" t="s">
        <v>261</v>
      </c>
      <c r="D12" s="1500"/>
      <c r="E12" s="27" t="s">
        <v>261</v>
      </c>
      <c r="F12" s="1506"/>
    </row>
    <row r="13" spans="1:15" ht="13.5" customHeight="1" thickBot="1" x14ac:dyDescent="0.3">
      <c r="A13" s="1503"/>
      <c r="B13" s="1504"/>
      <c r="C13" s="1504"/>
      <c r="D13" s="1504"/>
      <c r="E13" s="1504"/>
      <c r="F13" s="1505"/>
    </row>
    <row r="14" spans="1:15" ht="20.100000000000001" customHeight="1" x14ac:dyDescent="0.25">
      <c r="A14" s="22" t="s">
        <v>258</v>
      </c>
      <c r="B14" s="28">
        <f>'Table 7-A| Primary APTE'!E94</f>
        <v>0</v>
      </c>
      <c r="C14" s="24">
        <v>15</v>
      </c>
      <c r="D14" s="23" t="str">
        <f t="shared" ref="D14:D20" si="0">IF(OR(B14&gt;C14,B14=C14),"Yes","No")</f>
        <v>No</v>
      </c>
      <c r="E14" s="24">
        <v>100</v>
      </c>
      <c r="F14" s="616" t="str">
        <f>IF(OR(B14&gt;E14,B14=E14),"Yes","No")</f>
        <v>No</v>
      </c>
    </row>
    <row r="15" spans="1:15" ht="20.100000000000001" customHeight="1" x14ac:dyDescent="0.25">
      <c r="A15" s="21" t="s">
        <v>259</v>
      </c>
      <c r="B15" s="29">
        <f>'Table 7-A| Primary APTE'!E95</f>
        <v>0</v>
      </c>
      <c r="C15" s="20">
        <v>10</v>
      </c>
      <c r="D15" s="19" t="str">
        <f t="shared" si="0"/>
        <v>No</v>
      </c>
      <c r="E15" s="620"/>
      <c r="F15" s="621" t="s">
        <v>73</v>
      </c>
    </row>
    <row r="16" spans="1:15" ht="20.100000000000001" customHeight="1" x14ac:dyDescent="0.25">
      <c r="A16" s="21" t="s">
        <v>3</v>
      </c>
      <c r="B16" s="29">
        <f>'Table 7-A| Primary APTE'!E96</f>
        <v>0</v>
      </c>
      <c r="C16" s="20">
        <v>40</v>
      </c>
      <c r="D16" s="19" t="str">
        <f t="shared" si="0"/>
        <v>No</v>
      </c>
      <c r="E16" s="20">
        <v>100</v>
      </c>
      <c r="F16" s="617" t="str">
        <f>IF(OR(B16&gt;E16,B16=E16),"Yes","No")</f>
        <v>No</v>
      </c>
    </row>
    <row r="17" spans="1:11" ht="20.100000000000001" customHeight="1" x14ac:dyDescent="0.25">
      <c r="A17" s="21" t="s">
        <v>4</v>
      </c>
      <c r="B17" s="29">
        <f>'Table 7-A| Primary APTE'!E97</f>
        <v>0</v>
      </c>
      <c r="C17" s="20">
        <v>40</v>
      </c>
      <c r="D17" s="19" t="str">
        <f t="shared" si="0"/>
        <v>No</v>
      </c>
      <c r="E17" s="20">
        <v>100</v>
      </c>
      <c r="F17" s="617" t="str">
        <f>IF(OR(B17&gt;E17,B17=E17),"Yes","No")</f>
        <v>No</v>
      </c>
    </row>
    <row r="18" spans="1:11" ht="20.100000000000001" customHeight="1" x14ac:dyDescent="0.25">
      <c r="A18" s="21" t="s">
        <v>0</v>
      </c>
      <c r="B18" s="29">
        <f>'Table 7-A| Primary APTE'!E98</f>
        <v>0</v>
      </c>
      <c r="C18" s="20">
        <v>40</v>
      </c>
      <c r="D18" s="19" t="str">
        <f t="shared" si="0"/>
        <v>No</v>
      </c>
      <c r="E18" s="20">
        <v>100</v>
      </c>
      <c r="F18" s="617" t="str">
        <f>IF(OR(B18&gt;E18,B18=E18),"Yes","No")</f>
        <v>No</v>
      </c>
    </row>
    <row r="19" spans="1:11" ht="20.100000000000001" customHeight="1" x14ac:dyDescent="0.25">
      <c r="A19" s="21" t="s">
        <v>5</v>
      </c>
      <c r="B19" s="29">
        <f>'Table 7-A| Primary APTE'!E99</f>
        <v>0</v>
      </c>
      <c r="C19" s="20">
        <v>50</v>
      </c>
      <c r="D19" s="19" t="str">
        <f t="shared" si="0"/>
        <v>No</v>
      </c>
      <c r="E19" s="20">
        <v>100</v>
      </c>
      <c r="F19" s="617" t="str">
        <f>IF(OR(B19&gt;E19,B19=E19),"Yes","No")</f>
        <v>No</v>
      </c>
    </row>
    <row r="20" spans="1:11" ht="20.100000000000001" customHeight="1" x14ac:dyDescent="0.25">
      <c r="A20" s="21" t="s">
        <v>236</v>
      </c>
      <c r="B20" s="29">
        <f>'Table 7-A| Primary APTE'!E100</f>
        <v>0</v>
      </c>
      <c r="C20" s="20">
        <v>0.6</v>
      </c>
      <c r="D20" s="19" t="str">
        <f t="shared" si="0"/>
        <v>No</v>
      </c>
      <c r="E20" s="20">
        <v>5</v>
      </c>
      <c r="F20" s="617" t="str">
        <f>IF(OR(B20&gt;E20,B20=E20),"Yes","No")</f>
        <v>No</v>
      </c>
    </row>
    <row r="21" spans="1:11" ht="20.100000000000001" customHeight="1" thickBot="1" x14ac:dyDescent="0.3">
      <c r="A21" s="21" t="s">
        <v>2078</v>
      </c>
      <c r="B21" s="29">
        <f>'Table 7-A| Primary APTE'!E101</f>
        <v>0</v>
      </c>
      <c r="C21" s="607"/>
      <c r="D21" s="608" t="s">
        <v>73</v>
      </c>
      <c r="E21" s="623"/>
      <c r="F21" s="622"/>
      <c r="H21" s="596"/>
      <c r="I21" s="596"/>
      <c r="J21" s="596"/>
      <c r="K21" s="596"/>
    </row>
    <row r="22" spans="1:11" ht="14.25" customHeight="1" thickBot="1" x14ac:dyDescent="0.3">
      <c r="A22" s="1503"/>
      <c r="B22" s="1504"/>
      <c r="C22" s="1504"/>
      <c r="D22" s="1504"/>
      <c r="E22" s="1504"/>
      <c r="F22" s="1505"/>
    </row>
    <row r="23" spans="1:11" ht="72.75" customHeight="1" x14ac:dyDescent="0.25">
      <c r="A23" s="1501" t="s">
        <v>1816</v>
      </c>
      <c r="B23" s="604" t="s">
        <v>256</v>
      </c>
      <c r="C23" s="604" t="s">
        <v>2074</v>
      </c>
      <c r="D23" s="1499" t="s">
        <v>257</v>
      </c>
      <c r="E23" s="604" t="s">
        <v>2075</v>
      </c>
      <c r="F23" s="1497" t="s">
        <v>257</v>
      </c>
    </row>
    <row r="24" spans="1:11" ht="20.100000000000001" customHeight="1" thickBot="1" x14ac:dyDescent="0.3">
      <c r="A24" s="1502"/>
      <c r="B24" s="26" t="s">
        <v>261</v>
      </c>
      <c r="C24" s="27" t="s">
        <v>261</v>
      </c>
      <c r="D24" s="1500"/>
      <c r="E24" s="27" t="s">
        <v>261</v>
      </c>
      <c r="F24" s="1498"/>
    </row>
    <row r="25" spans="1:11" ht="13.5" customHeight="1" thickBot="1" x14ac:dyDescent="0.3">
      <c r="A25" s="605"/>
      <c r="B25" s="606"/>
      <c r="C25" s="606"/>
      <c r="D25" s="606"/>
      <c r="E25" s="606"/>
      <c r="F25" s="618"/>
    </row>
    <row r="26" spans="1:11" ht="20.100000000000001" customHeight="1" x14ac:dyDescent="0.25">
      <c r="A26" s="21" t="s">
        <v>262</v>
      </c>
      <c r="B26" s="29">
        <f ca="1">IF('Table 6-B| Emission Limits'!M$23=0,IFERROR(LARGE('Table 7-D| APTE HAP'!$AD$29:$AD$211,1)/2000,0),'Table 6-B| Emission Limits'!M$28)</f>
        <v>0</v>
      </c>
      <c r="C26" s="20">
        <v>2.5</v>
      </c>
      <c r="D26" s="19" t="str">
        <f ca="1">IF(OR(B26&gt;C26,B26=C26),"Yes","No")</f>
        <v>No</v>
      </c>
      <c r="E26" s="20">
        <v>10</v>
      </c>
      <c r="F26" s="617" t="str">
        <f ca="1">IF(OR(B26&gt;E26,B26=E26),"Yes","No")</f>
        <v>No</v>
      </c>
    </row>
    <row r="27" spans="1:11" ht="20.100000000000001" customHeight="1" thickBot="1" x14ac:dyDescent="0.3">
      <c r="A27" s="443" t="s">
        <v>263</v>
      </c>
      <c r="B27" s="444">
        <f ca="1">IF('Table 6-B| Emission Limits'!N$23=0,'Table 7-A| Primary APTE'!E104,'Table 6-B| Emission Limits'!N$28/2000)</f>
        <v>0</v>
      </c>
      <c r="C27" s="445">
        <v>10</v>
      </c>
      <c r="D27" s="446" t="str">
        <f ca="1">IF(OR(B27&gt;C27,B27=C27),"Yes","No")</f>
        <v>No</v>
      </c>
      <c r="E27" s="445">
        <v>25</v>
      </c>
      <c r="F27" s="619" t="str">
        <f ca="1">IF(OR(B27&gt;E27,B27=E27),"Yes","No")</f>
        <v>No</v>
      </c>
    </row>
  </sheetData>
  <sheetProtection algorithmName="SHA-512" hashValue="8o6ZTDGKNzA/YdoLEdO7YK7L81f1VTA+gT1PYCeoElMyzENrUxWXsAuOSC96W7U3X1XNGsArwfg4iPP7P8MTCg==" saltValue="Rx24rRV5sPHFqob/C1G9UQ==" spinCount="100000" sheet="1" objects="1" scenarios="1"/>
  <mergeCells count="18">
    <mergeCell ref="A13:F13"/>
    <mergeCell ref="A23:A24"/>
    <mergeCell ref="D23:D24"/>
    <mergeCell ref="F23:F24"/>
    <mergeCell ref="A8:F8"/>
    <mergeCell ref="A9:F9"/>
    <mergeCell ref="A10:F10"/>
    <mergeCell ref="A11:A12"/>
    <mergeCell ref="D11:D12"/>
    <mergeCell ref="F11:F12"/>
    <mergeCell ref="A22:F22"/>
    <mergeCell ref="A7:I7"/>
    <mergeCell ref="A1:I1"/>
    <mergeCell ref="A2:I2"/>
    <mergeCell ref="A3:I3"/>
    <mergeCell ref="A5:I5"/>
    <mergeCell ref="A6:I6"/>
    <mergeCell ref="A4:I4"/>
  </mergeCells>
  <conditionalFormatting sqref="D14:D20">
    <cfRule type="expression" dxfId="43" priority="2">
      <formula>D14="Yes"</formula>
    </cfRule>
  </conditionalFormatting>
  <conditionalFormatting sqref="D21">
    <cfRule type="expression" dxfId="42" priority="4">
      <formula>D21="Yes"</formula>
    </cfRule>
  </conditionalFormatting>
  <conditionalFormatting sqref="D25:D27">
    <cfRule type="expression" dxfId="41" priority="38">
      <formula>D25="Yes"</formula>
    </cfRule>
  </conditionalFormatting>
  <conditionalFormatting sqref="F14:F20">
    <cfRule type="expression" dxfId="40" priority="1">
      <formula>F14="Yes"</formula>
    </cfRule>
  </conditionalFormatting>
  <conditionalFormatting sqref="F21">
    <cfRule type="expression" dxfId="39" priority="5">
      <formula>$F$21="Yes"</formula>
    </cfRule>
  </conditionalFormatting>
  <conditionalFormatting sqref="F23:F27">
    <cfRule type="expression" dxfId="38" priority="3">
      <formula>F23="Yes"</formula>
    </cfRule>
  </conditionalFormatting>
  <printOptions horizontalCentered="1"/>
  <pageMargins left="0.5" right="0.5" top="0.5" bottom="0.5" header="0.3" footer="0.3"/>
  <pageSetup scale="88" fitToHeight="0" orientation="landscape" r:id="rId1"/>
  <headerFooter>
    <oddFooter>&amp;LRev. 7/2016&amp;C&amp;A&amp;RPage &amp;P</oddFooter>
  </headerFooter>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tabColor rgb="FF002060"/>
  </sheetPr>
  <dimension ref="A1:X190"/>
  <sheetViews>
    <sheetView showGridLines="0" tabSelected="1" zoomScaleNormal="100" workbookViewId="0">
      <selection sqref="A1:L1"/>
    </sheetView>
  </sheetViews>
  <sheetFormatPr defaultRowHeight="20.100000000000001" customHeight="1" x14ac:dyDescent="0.25"/>
  <cols>
    <col min="1" max="3" width="18.28515625" style="48" customWidth="1"/>
    <col min="4" max="4" width="13.7109375" style="48" customWidth="1"/>
    <col min="5" max="6" width="20.7109375" style="48" customWidth="1"/>
    <col min="7" max="12" width="10.7109375" style="48" customWidth="1"/>
    <col min="13" max="16" width="9.140625" style="48" customWidth="1"/>
    <col min="17" max="17" width="9.140625" style="48"/>
    <col min="18" max="18" width="9.140625" style="48" customWidth="1"/>
    <col min="19" max="16384" width="9.140625" style="48"/>
  </cols>
  <sheetData>
    <row r="1" spans="1:13" s="69" customFormat="1" ht="26.25" customHeight="1" thickBot="1" x14ac:dyDescent="0.3">
      <c r="A1" s="1315" t="s">
        <v>1838</v>
      </c>
      <c r="B1" s="1315"/>
      <c r="C1" s="1315"/>
      <c r="D1" s="1315"/>
      <c r="E1" s="1315"/>
      <c r="F1" s="1315"/>
      <c r="G1" s="1315"/>
      <c r="H1" s="1315"/>
      <c r="I1" s="1315"/>
      <c r="J1" s="1315"/>
      <c r="K1" s="1315"/>
      <c r="L1" s="1315"/>
    </row>
    <row r="2" spans="1:13" s="160" customFormat="1" ht="35.1" customHeight="1" x14ac:dyDescent="0.25">
      <c r="A2" s="1448" t="s">
        <v>1686</v>
      </c>
      <c r="B2" s="1448"/>
      <c r="C2" s="1448"/>
      <c r="D2" s="1448"/>
      <c r="E2" s="1448"/>
      <c r="F2" s="1448"/>
      <c r="G2" s="1448"/>
      <c r="H2" s="1448"/>
      <c r="I2" s="1448"/>
      <c r="J2" s="1448"/>
      <c r="K2" s="1448"/>
      <c r="L2" s="1448"/>
    </row>
    <row r="3" spans="1:13" s="160" customFormat="1" ht="35.1" customHeight="1" x14ac:dyDescent="0.25">
      <c r="A3" s="161">
        <v>1</v>
      </c>
      <c r="B3" s="1197" t="s">
        <v>1687</v>
      </c>
      <c r="C3" s="1197"/>
      <c r="D3" s="1197"/>
      <c r="E3" s="1197"/>
      <c r="F3" s="1197"/>
      <c r="G3" s="1197"/>
      <c r="H3" s="1197"/>
      <c r="I3" s="1197"/>
      <c r="J3" s="1197"/>
      <c r="K3" s="1197"/>
      <c r="L3" s="1197"/>
    </row>
    <row r="4" spans="1:13" s="160" customFormat="1" ht="80.099999999999994" customHeight="1" x14ac:dyDescent="0.25">
      <c r="A4" s="161">
        <v>2</v>
      </c>
      <c r="B4" s="1197" t="s">
        <v>1709</v>
      </c>
      <c r="C4" s="1197"/>
      <c r="D4" s="1197"/>
      <c r="E4" s="1197"/>
      <c r="F4" s="1197"/>
      <c r="G4" s="1197"/>
      <c r="H4" s="1197"/>
      <c r="I4" s="1197"/>
      <c r="J4" s="1197"/>
      <c r="K4" s="1197"/>
      <c r="L4" s="1197"/>
    </row>
    <row r="5" spans="1:13" s="160" customFormat="1" ht="95.1" customHeight="1" x14ac:dyDescent="0.25">
      <c r="A5" s="161">
        <v>3</v>
      </c>
      <c r="B5" s="1197" t="s">
        <v>1698</v>
      </c>
      <c r="C5" s="1197"/>
      <c r="D5" s="1197"/>
      <c r="E5" s="1197"/>
      <c r="F5" s="1197"/>
      <c r="G5" s="1197"/>
      <c r="H5" s="1197"/>
      <c r="I5" s="1197"/>
      <c r="J5" s="1197"/>
      <c r="K5" s="1197"/>
      <c r="L5" s="1197"/>
    </row>
    <row r="6" spans="1:13" s="160" customFormat="1" ht="35.1" customHeight="1" x14ac:dyDescent="0.25">
      <c r="A6" s="1631" t="s">
        <v>1689</v>
      </c>
      <c r="B6" s="1631"/>
      <c r="C6" s="1631"/>
      <c r="D6" s="1631"/>
      <c r="E6" s="1631"/>
      <c r="F6" s="1631"/>
      <c r="G6" s="1631"/>
      <c r="H6" s="1631"/>
      <c r="I6" s="1631"/>
      <c r="J6" s="1631"/>
      <c r="K6" s="1631"/>
      <c r="L6" s="1631"/>
    </row>
    <row r="7" spans="1:13" s="160" customFormat="1" ht="24.95" customHeight="1" x14ac:dyDescent="0.25">
      <c r="A7" s="1630" t="s">
        <v>1690</v>
      </c>
      <c r="B7" s="1630"/>
      <c r="C7" s="1630"/>
      <c r="D7" s="1630"/>
      <c r="E7" s="1630"/>
      <c r="F7" s="1630"/>
      <c r="G7" s="1630"/>
      <c r="H7" s="1630"/>
      <c r="I7" s="1630"/>
      <c r="J7" s="1630"/>
      <c r="K7" s="1630"/>
      <c r="L7" s="1630"/>
    </row>
    <row r="8" spans="1:13" s="162" customFormat="1" ht="35.1" customHeight="1" x14ac:dyDescent="0.25">
      <c r="A8" s="1633" t="s">
        <v>2511</v>
      </c>
      <c r="B8" s="1633"/>
      <c r="C8" s="1633"/>
      <c r="D8" s="1633"/>
      <c r="E8" s="1633"/>
      <c r="F8" s="1633"/>
      <c r="G8" s="1633"/>
      <c r="H8" s="1633"/>
      <c r="I8" s="1633"/>
      <c r="J8" s="1633"/>
      <c r="K8" s="1633"/>
      <c r="L8" s="1633"/>
    </row>
    <row r="9" spans="1:13" s="68" customFormat="1" ht="24.95" customHeight="1" x14ac:dyDescent="0.25">
      <c r="A9" s="1630" t="s">
        <v>2510</v>
      </c>
      <c r="B9" s="1630"/>
      <c r="C9" s="1630"/>
      <c r="D9" s="1630"/>
      <c r="E9" s="1630"/>
      <c r="F9" s="1630"/>
      <c r="G9" s="1630"/>
      <c r="H9" s="1630"/>
      <c r="I9" s="1630"/>
      <c r="J9" s="1630"/>
      <c r="K9" s="1630"/>
      <c r="L9" s="1630"/>
    </row>
    <row r="10" spans="1:13" s="68" customFormat="1" ht="18" customHeight="1" x14ac:dyDescent="0.25">
      <c r="A10" s="850" t="s">
        <v>2521</v>
      </c>
      <c r="B10" s="1634" t="s">
        <v>2522</v>
      </c>
      <c r="C10" s="1634"/>
      <c r="D10" s="1634"/>
      <c r="E10" s="1634"/>
      <c r="F10" s="1634"/>
      <c r="G10" s="1634"/>
      <c r="H10" s="1634"/>
      <c r="I10" s="1634"/>
      <c r="J10" s="1634"/>
      <c r="K10" s="1634"/>
      <c r="L10" s="1634"/>
    </row>
    <row r="11" spans="1:13" s="68" customFormat="1" ht="18" customHeight="1" x14ac:dyDescent="0.25">
      <c r="A11" s="850" t="s">
        <v>2512</v>
      </c>
      <c r="B11" s="1634" t="s">
        <v>2513</v>
      </c>
      <c r="C11" s="1634"/>
      <c r="D11" s="1634"/>
      <c r="E11" s="1634"/>
      <c r="F11" s="1634"/>
      <c r="G11" s="1634"/>
      <c r="H11" s="1634"/>
      <c r="I11" s="1634"/>
      <c r="J11" s="1634"/>
      <c r="K11" s="1634"/>
      <c r="L11" s="1634"/>
    </row>
    <row r="12" spans="1:13" s="68" customFormat="1" ht="18" customHeight="1" x14ac:dyDescent="0.25">
      <c r="A12" s="850" t="s">
        <v>2514</v>
      </c>
      <c r="B12" s="1634" t="s">
        <v>2523</v>
      </c>
      <c r="C12" s="1634"/>
      <c r="D12" s="1634"/>
      <c r="E12" s="1634"/>
      <c r="F12" s="1634"/>
      <c r="G12" s="1634"/>
      <c r="H12" s="1634"/>
      <c r="I12" s="1634"/>
      <c r="J12" s="1634"/>
      <c r="K12" s="1634"/>
      <c r="L12" s="1634"/>
    </row>
    <row r="13" spans="1:13" s="68" customFormat="1" ht="18" customHeight="1" x14ac:dyDescent="0.25">
      <c r="A13" s="850" t="s">
        <v>2515</v>
      </c>
      <c r="B13" s="1634" t="s">
        <v>2524</v>
      </c>
      <c r="C13" s="1634"/>
      <c r="D13" s="1634"/>
      <c r="E13" s="1634"/>
      <c r="F13" s="1634"/>
      <c r="G13" s="1634"/>
      <c r="H13" s="1634"/>
      <c r="I13" s="1634"/>
      <c r="J13" s="1634"/>
      <c r="K13" s="1634"/>
      <c r="L13" s="1634"/>
    </row>
    <row r="14" spans="1:13" s="68" customFormat="1" ht="18" customHeight="1" x14ac:dyDescent="0.25">
      <c r="A14" s="850" t="s">
        <v>2516</v>
      </c>
      <c r="B14" s="1634" t="s">
        <v>2525</v>
      </c>
      <c r="C14" s="1634"/>
      <c r="D14" s="1634"/>
      <c r="E14" s="1634"/>
      <c r="F14" s="1634"/>
      <c r="G14" s="1634"/>
      <c r="H14" s="1634"/>
      <c r="I14" s="1634"/>
      <c r="J14" s="1634"/>
      <c r="K14" s="1634"/>
      <c r="L14" s="1634"/>
    </row>
    <row r="15" spans="1:13" s="68" customFormat="1" ht="18" customHeight="1" x14ac:dyDescent="0.25">
      <c r="A15" s="850" t="s">
        <v>2517</v>
      </c>
      <c r="B15" s="1634" t="s">
        <v>2526</v>
      </c>
      <c r="C15" s="1634"/>
      <c r="D15" s="1634"/>
      <c r="E15" s="1634"/>
      <c r="F15" s="1634"/>
      <c r="G15" s="1634"/>
      <c r="H15" s="1634"/>
      <c r="I15" s="1634"/>
      <c r="J15" s="1634"/>
      <c r="K15" s="1634"/>
      <c r="L15" s="1634"/>
    </row>
    <row r="16" spans="1:13" s="68" customFormat="1" ht="18" customHeight="1" x14ac:dyDescent="0.25">
      <c r="A16" s="850" t="s">
        <v>2518</v>
      </c>
      <c r="B16" s="1634" t="s">
        <v>2527</v>
      </c>
      <c r="C16" s="1634"/>
      <c r="D16" s="1634"/>
      <c r="E16" s="1634"/>
      <c r="F16" s="1634"/>
      <c r="G16" s="1634"/>
      <c r="H16" s="1634"/>
      <c r="I16" s="1634"/>
      <c r="J16" s="1634"/>
      <c r="K16" s="1634"/>
      <c r="L16" s="1634"/>
      <c r="M16" s="812"/>
    </row>
    <row r="17" spans="1:24" s="160" customFormat="1" ht="18" customHeight="1" x14ac:dyDescent="0.25">
      <c r="A17" s="850" t="s">
        <v>2519</v>
      </c>
      <c r="B17" s="1634" t="s">
        <v>2520</v>
      </c>
      <c r="C17" s="1634"/>
      <c r="D17" s="1634"/>
      <c r="E17" s="1634"/>
      <c r="F17" s="1634"/>
      <c r="G17" s="1634"/>
      <c r="H17" s="1634"/>
      <c r="I17" s="1634"/>
      <c r="J17" s="1634"/>
      <c r="K17" s="1634"/>
      <c r="L17" s="1634"/>
    </row>
    <row r="18" spans="1:24" s="68" customFormat="1" ht="35.1" customHeight="1" thickBot="1" x14ac:dyDescent="0.3">
      <c r="A18" s="1632" t="s">
        <v>1714</v>
      </c>
      <c r="B18" s="1632"/>
      <c r="C18" s="1632"/>
      <c r="D18" s="1632"/>
      <c r="E18" s="1632"/>
      <c r="F18" s="1632"/>
      <c r="G18" s="1632"/>
      <c r="H18" s="1632"/>
      <c r="I18" s="1632"/>
      <c r="J18" s="1632"/>
      <c r="K18" s="1632"/>
      <c r="L18" s="1632"/>
    </row>
    <row r="19" spans="1:24" s="77" customFormat="1" ht="19.5" thickBot="1" x14ac:dyDescent="0.3">
      <c r="A19" s="1208" t="s">
        <v>1715</v>
      </c>
      <c r="B19" s="1208"/>
      <c r="C19" s="1208"/>
      <c r="D19" s="1208"/>
      <c r="E19" s="1208"/>
      <c r="F19" s="1208"/>
      <c r="G19" s="1208"/>
      <c r="H19" s="1208"/>
      <c r="I19" s="1208"/>
      <c r="J19" s="1208"/>
      <c r="K19" s="1208"/>
      <c r="L19" s="1208"/>
    </row>
    <row r="20" spans="1:24" ht="60" customHeight="1" x14ac:dyDescent="0.25">
      <c r="A20" s="1092"/>
      <c r="B20" s="1092"/>
      <c r="C20" s="1092"/>
      <c r="D20" s="1092"/>
      <c r="E20" s="1092"/>
      <c r="F20" s="1092"/>
    </row>
    <row r="21" spans="1:24" ht="24.95" customHeight="1" thickBot="1" x14ac:dyDescent="0.3">
      <c r="A21" s="989" t="s">
        <v>1839</v>
      </c>
      <c r="B21" s="989"/>
      <c r="C21" s="989"/>
      <c r="D21" s="989"/>
      <c r="E21" s="989"/>
      <c r="F21" s="989"/>
    </row>
    <row r="22" spans="1:24" ht="30" customHeight="1" thickBot="1" x14ac:dyDescent="0.3">
      <c r="A22" s="904" t="s">
        <v>1677</v>
      </c>
      <c r="B22" s="905"/>
      <c r="C22" s="905"/>
      <c r="D22" s="905"/>
      <c r="E22" s="905"/>
      <c r="F22" s="906"/>
    </row>
    <row r="23" spans="1:24" ht="95.1" customHeight="1" thickBot="1" x14ac:dyDescent="0.3">
      <c r="A23" s="1529" t="s">
        <v>1676</v>
      </c>
      <c r="B23" s="1530"/>
      <c r="C23" s="1530"/>
      <c r="D23" s="1530"/>
      <c r="E23" s="1530"/>
      <c r="F23" s="1531"/>
    </row>
    <row r="24" spans="1:24" ht="50.1" customHeight="1" thickBot="1" x14ac:dyDescent="0.3">
      <c r="A24" s="1618" t="s">
        <v>1663</v>
      </c>
      <c r="B24" s="1619"/>
      <c r="C24" s="1619"/>
      <c r="D24" s="829" t="s">
        <v>1666</v>
      </c>
      <c r="E24" s="1620" t="s">
        <v>1665</v>
      </c>
      <c r="F24" s="1213"/>
      <c r="M24" s="124"/>
      <c r="N24" s="124"/>
      <c r="O24" s="124"/>
      <c r="Q24" s="124"/>
      <c r="R24" s="124"/>
    </row>
    <row r="25" spans="1:24" ht="35.1" customHeight="1" x14ac:dyDescent="0.25">
      <c r="A25" s="1623" t="s">
        <v>1664</v>
      </c>
      <c r="B25" s="1624"/>
      <c r="C25" s="1625"/>
      <c r="D25" s="436" t="s">
        <v>1787</v>
      </c>
      <c r="E25" s="1621" t="str">
        <f>IF(AND(N25=TRUE,Q25=TRUE),"Describe compliance with each applicable NSPS in Part B, below.",IF(AND(O25=TRUE,Q25=TRUE),"If none apply, in Part C, list any that 'appear' to apply, but do not actually apply.",""))</f>
        <v/>
      </c>
      <c r="F25" s="1622"/>
      <c r="M25" s="124"/>
      <c r="N25" s="158" t="b">
        <v>0</v>
      </c>
      <c r="O25" s="158" t="b">
        <v>0</v>
      </c>
      <c r="Q25" s="124" t="b">
        <f>IF(OR(AND(N25=TRUE,O25=FALSE),AND(N25=FALSE,O25=TRUE)),TRUE,FALSE)</f>
        <v>0</v>
      </c>
      <c r="R25" s="124"/>
    </row>
    <row r="26" spans="1:24" ht="35.1" customHeight="1" x14ac:dyDescent="0.25">
      <c r="A26" s="1611" t="s">
        <v>1667</v>
      </c>
      <c r="B26" s="1612"/>
      <c r="C26" s="1613"/>
      <c r="D26" s="426" t="s">
        <v>1787</v>
      </c>
      <c r="E26" s="1614"/>
      <c r="F26" s="1615"/>
      <c r="G26" s="123"/>
      <c r="M26" s="80"/>
      <c r="N26" s="158" t="b">
        <v>0</v>
      </c>
      <c r="O26" s="158" t="b">
        <v>0</v>
      </c>
      <c r="Q26" s="124" t="b">
        <f t="shared" ref="Q26:Q39" si="0">IF(OR(AND(N26=TRUE,O26=FALSE),AND(N26=FALSE,O26=TRUE)),TRUE,FALSE)</f>
        <v>0</v>
      </c>
      <c r="R26" s="80"/>
      <c r="S26" s="80"/>
      <c r="T26" s="80"/>
      <c r="U26" s="80"/>
      <c r="V26" s="80"/>
      <c r="W26" s="80"/>
      <c r="X26" s="80"/>
    </row>
    <row r="27" spans="1:24" ht="35.1" customHeight="1" x14ac:dyDescent="0.25">
      <c r="A27" s="1611" t="s">
        <v>2533</v>
      </c>
      <c r="B27" s="1612"/>
      <c r="C27" s="1613"/>
      <c r="D27" s="426" t="s">
        <v>1787</v>
      </c>
      <c r="E27" s="1614"/>
      <c r="F27" s="1615"/>
      <c r="G27" s="123"/>
      <c r="M27" s="80"/>
      <c r="N27" s="158" t="b">
        <v>0</v>
      </c>
      <c r="O27" s="158" t="b">
        <v>0</v>
      </c>
      <c r="Q27" s="124" t="b">
        <f t="shared" si="0"/>
        <v>0</v>
      </c>
      <c r="R27" s="80"/>
      <c r="S27" s="80"/>
      <c r="T27" s="80"/>
      <c r="U27" s="80"/>
      <c r="V27" s="80"/>
      <c r="W27" s="80"/>
      <c r="X27" s="80"/>
    </row>
    <row r="28" spans="1:24" ht="35.1" customHeight="1" x14ac:dyDescent="0.25">
      <c r="A28" s="1611" t="s">
        <v>2534</v>
      </c>
      <c r="B28" s="1612"/>
      <c r="C28" s="1613"/>
      <c r="D28" s="426" t="s">
        <v>1787</v>
      </c>
      <c r="E28" s="1614"/>
      <c r="F28" s="1615"/>
      <c r="G28" s="123"/>
      <c r="M28" s="80"/>
      <c r="N28" s="158" t="b">
        <v>0</v>
      </c>
      <c r="O28" s="158" t="b">
        <v>0</v>
      </c>
      <c r="Q28" s="124" t="b">
        <f t="shared" si="0"/>
        <v>0</v>
      </c>
      <c r="R28" s="80"/>
      <c r="S28" s="80"/>
      <c r="T28" s="80"/>
      <c r="U28" s="80"/>
      <c r="V28" s="80"/>
      <c r="W28" s="80"/>
      <c r="X28" s="80"/>
    </row>
    <row r="29" spans="1:24" ht="35.1" customHeight="1" x14ac:dyDescent="0.25">
      <c r="A29" s="1611" t="s">
        <v>1668</v>
      </c>
      <c r="B29" s="1612"/>
      <c r="C29" s="1613"/>
      <c r="D29" s="426" t="s">
        <v>1787</v>
      </c>
      <c r="E29" s="1614"/>
      <c r="F29" s="1615"/>
      <c r="G29" s="123"/>
      <c r="M29" s="80"/>
      <c r="N29" s="158" t="b">
        <v>0</v>
      </c>
      <c r="O29" s="158" t="b">
        <v>0</v>
      </c>
      <c r="Q29" s="124" t="b">
        <f t="shared" si="0"/>
        <v>0</v>
      </c>
      <c r="R29" s="80"/>
      <c r="S29" s="80"/>
      <c r="T29" s="80"/>
      <c r="U29" s="80"/>
      <c r="V29" s="80"/>
      <c r="W29" s="80"/>
      <c r="X29" s="80"/>
    </row>
    <row r="30" spans="1:24" ht="35.1" customHeight="1" x14ac:dyDescent="0.25">
      <c r="A30" s="1611" t="s">
        <v>2535</v>
      </c>
      <c r="B30" s="1612"/>
      <c r="C30" s="1613"/>
      <c r="D30" s="426" t="s">
        <v>1787</v>
      </c>
      <c r="E30" s="1614"/>
      <c r="F30" s="1615"/>
      <c r="G30" s="123"/>
      <c r="M30" s="80"/>
      <c r="N30" s="158" t="b">
        <v>0</v>
      </c>
      <c r="O30" s="158" t="b">
        <v>0</v>
      </c>
      <c r="Q30" s="124" t="b">
        <f t="shared" si="0"/>
        <v>0</v>
      </c>
      <c r="R30" s="80"/>
      <c r="S30" s="80"/>
      <c r="T30" s="80"/>
      <c r="U30" s="80"/>
      <c r="V30" s="80"/>
      <c r="W30" s="80"/>
      <c r="X30" s="80"/>
    </row>
    <row r="31" spans="1:24" ht="35.1" customHeight="1" x14ac:dyDescent="0.25">
      <c r="A31" s="1611" t="s">
        <v>2536</v>
      </c>
      <c r="B31" s="1612"/>
      <c r="C31" s="1613"/>
      <c r="D31" s="426" t="s">
        <v>1787</v>
      </c>
      <c r="E31" s="1614"/>
      <c r="F31" s="1615"/>
      <c r="G31" s="123"/>
      <c r="M31" s="80"/>
      <c r="N31" s="158" t="b">
        <v>0</v>
      </c>
      <c r="O31" s="158" t="b">
        <v>0</v>
      </c>
      <c r="Q31" s="124" t="b">
        <f t="shared" si="0"/>
        <v>0</v>
      </c>
      <c r="R31" s="80"/>
      <c r="S31" s="80"/>
      <c r="T31" s="80"/>
      <c r="U31" s="80"/>
      <c r="V31" s="80"/>
      <c r="W31" s="80"/>
      <c r="X31" s="80"/>
    </row>
    <row r="32" spans="1:24" ht="35.1" customHeight="1" x14ac:dyDescent="0.25">
      <c r="A32" s="1611" t="s">
        <v>2537</v>
      </c>
      <c r="B32" s="1612"/>
      <c r="C32" s="1613"/>
      <c r="D32" s="426" t="s">
        <v>1787</v>
      </c>
      <c r="E32" s="1614"/>
      <c r="F32" s="1615"/>
      <c r="G32" s="123"/>
      <c r="M32" s="80"/>
      <c r="N32" s="158" t="b">
        <v>0</v>
      </c>
      <c r="O32" s="158" t="b">
        <v>0</v>
      </c>
      <c r="Q32" s="124" t="b">
        <f t="shared" si="0"/>
        <v>0</v>
      </c>
      <c r="R32" s="80"/>
      <c r="S32" s="80"/>
      <c r="T32" s="80"/>
      <c r="U32" s="80"/>
      <c r="V32" s="80"/>
      <c r="W32" s="80"/>
      <c r="X32" s="80"/>
    </row>
    <row r="33" spans="1:24" ht="35.1" customHeight="1" x14ac:dyDescent="0.25">
      <c r="A33" s="1611" t="s">
        <v>1669</v>
      </c>
      <c r="B33" s="1612"/>
      <c r="C33" s="1613"/>
      <c r="D33" s="426" t="s">
        <v>1787</v>
      </c>
      <c r="E33" s="1616" t="str">
        <f>IF(AND(N33=TRUE,Q33=TRUE),"Describe compliance with each applicable HAP standard in Part B, below.",IF(AND(O33=TRUE,Q33=TRUE),"If none apply, in Part C, list any that 'appear' to apply, but do not actually apply.",""))</f>
        <v/>
      </c>
      <c r="F33" s="1617"/>
      <c r="G33" s="123"/>
      <c r="M33" s="80"/>
      <c r="N33" s="158" t="b">
        <v>0</v>
      </c>
      <c r="O33" s="158" t="b">
        <v>0</v>
      </c>
      <c r="Q33" s="124" t="b">
        <f t="shared" si="0"/>
        <v>0</v>
      </c>
      <c r="R33" s="80"/>
      <c r="S33" s="80"/>
      <c r="T33" s="80"/>
      <c r="U33" s="80"/>
      <c r="V33" s="80"/>
      <c r="W33" s="80"/>
      <c r="X33" s="80"/>
    </row>
    <row r="34" spans="1:24" ht="35.1" customHeight="1" x14ac:dyDescent="0.25">
      <c r="A34" s="1611" t="s">
        <v>1670</v>
      </c>
      <c r="B34" s="1612"/>
      <c r="C34" s="1613"/>
      <c r="D34" s="426" t="s">
        <v>1787</v>
      </c>
      <c r="E34" s="1614"/>
      <c r="F34" s="1615"/>
      <c r="G34" s="123"/>
      <c r="M34" s="80"/>
      <c r="N34" s="158" t="b">
        <v>0</v>
      </c>
      <c r="O34" s="158" t="b">
        <v>0</v>
      </c>
      <c r="Q34" s="124" t="b">
        <f t="shared" si="0"/>
        <v>0</v>
      </c>
      <c r="R34" s="80"/>
      <c r="S34" s="80"/>
      <c r="T34" s="80"/>
      <c r="U34" s="80"/>
      <c r="V34" s="80"/>
      <c r="W34" s="80"/>
      <c r="X34" s="80"/>
    </row>
    <row r="35" spans="1:24" ht="35.1" customHeight="1" x14ac:dyDescent="0.25">
      <c r="A35" s="1611" t="s">
        <v>1671</v>
      </c>
      <c r="B35" s="1612"/>
      <c r="C35" s="1613"/>
      <c r="D35" s="426" t="s">
        <v>1787</v>
      </c>
      <c r="E35" s="1614"/>
      <c r="F35" s="1615"/>
      <c r="G35" s="123"/>
      <c r="M35" s="80"/>
      <c r="N35" s="158" t="b">
        <v>0</v>
      </c>
      <c r="O35" s="158" t="b">
        <v>0</v>
      </c>
      <c r="Q35" s="124" t="b">
        <f t="shared" si="0"/>
        <v>0</v>
      </c>
      <c r="R35" s="80"/>
      <c r="S35" s="80"/>
      <c r="T35" s="80"/>
      <c r="U35" s="80"/>
      <c r="V35" s="80"/>
      <c r="W35" s="80"/>
      <c r="X35" s="80"/>
    </row>
    <row r="36" spans="1:24" ht="35.1" customHeight="1" x14ac:dyDescent="0.25">
      <c r="A36" s="1611" t="s">
        <v>1672</v>
      </c>
      <c r="B36" s="1612"/>
      <c r="C36" s="1613"/>
      <c r="D36" s="426" t="s">
        <v>1787</v>
      </c>
      <c r="E36" s="1616" t="str">
        <f>IF(AND(N36=TRUE,Q36=TRUE),"Describe compliance with each applicable Acid Rain standard in Part B, below.",IF(AND(O36=TRUE,Q36=TRUE),"If none apply, in Part C, list any that 'appear' to apply, but do not actually apply.",""))</f>
        <v/>
      </c>
      <c r="F36" s="1617"/>
      <c r="G36" s="123"/>
      <c r="M36" s="80"/>
      <c r="N36" s="158" t="b">
        <v>0</v>
      </c>
      <c r="O36" s="158" t="b">
        <v>0</v>
      </c>
      <c r="Q36" s="124" t="b">
        <f t="shared" si="0"/>
        <v>0</v>
      </c>
      <c r="R36" s="80"/>
      <c r="S36" s="80"/>
      <c r="T36" s="80"/>
      <c r="U36" s="80"/>
      <c r="V36" s="80"/>
      <c r="W36" s="80"/>
      <c r="X36" s="80"/>
    </row>
    <row r="37" spans="1:24" ht="35.1" customHeight="1" x14ac:dyDescent="0.25">
      <c r="A37" s="1611" t="s">
        <v>1673</v>
      </c>
      <c r="B37" s="1612"/>
      <c r="C37" s="1613"/>
      <c r="D37" s="426" t="s">
        <v>1787</v>
      </c>
      <c r="E37" s="1616" t="str">
        <f>IF(AND(N37=TRUE,Q37=TRUE),"Describe compliance with each applicable standard in Part B, below.",IF(AND(O37=TRUE,Q37=TRUE),"If none apply, in Part C, list any that 'appear' to apply, but do not actually apply.",""))</f>
        <v/>
      </c>
      <c r="F37" s="1617"/>
      <c r="G37" s="123"/>
      <c r="M37" s="80"/>
      <c r="N37" s="158" t="b">
        <v>0</v>
      </c>
      <c r="O37" s="158" t="b">
        <v>0</v>
      </c>
      <c r="Q37" s="124" t="b">
        <f t="shared" si="0"/>
        <v>0</v>
      </c>
      <c r="R37" s="80"/>
      <c r="S37" s="80"/>
      <c r="T37" s="80"/>
      <c r="U37" s="80"/>
      <c r="V37" s="80"/>
      <c r="W37" s="80"/>
      <c r="X37" s="80"/>
    </row>
    <row r="38" spans="1:24" ht="35.1" customHeight="1" x14ac:dyDescent="0.25">
      <c r="A38" s="1611" t="s">
        <v>1674</v>
      </c>
      <c r="B38" s="1612"/>
      <c r="C38" s="1613"/>
      <c r="D38" s="426" t="s">
        <v>1787</v>
      </c>
      <c r="E38" s="1616" t="str">
        <f>IF(AND(N38=TRUE,Q38=TRUE),"Describe compliance with each applicable MACT standard in Part B, below.",IF(AND(O38=TRUE,Q38=TRUE),"If none apply, in Part C, list any that 'appear' to apply, but do not actually apply.",""))</f>
        <v/>
      </c>
      <c r="F38" s="1617"/>
      <c r="G38" s="123"/>
      <c r="M38" s="80"/>
      <c r="N38" s="158" t="b">
        <v>0</v>
      </c>
      <c r="O38" s="158" t="b">
        <v>0</v>
      </c>
      <c r="Q38" s="124" t="b">
        <f t="shared" si="0"/>
        <v>0</v>
      </c>
      <c r="R38" s="80"/>
      <c r="S38" s="80"/>
      <c r="T38" s="80"/>
      <c r="U38" s="80"/>
      <c r="V38" s="80"/>
      <c r="W38" s="80"/>
      <c r="X38" s="80"/>
    </row>
    <row r="39" spans="1:24" ht="35.1" customHeight="1" thickBot="1" x14ac:dyDescent="0.3">
      <c r="A39" s="1611" t="s">
        <v>1675</v>
      </c>
      <c r="B39" s="1612"/>
      <c r="C39" s="1613"/>
      <c r="D39" s="426" t="s">
        <v>1787</v>
      </c>
      <c r="E39" s="1614"/>
      <c r="F39" s="1615"/>
      <c r="G39" s="123"/>
      <c r="M39" s="80"/>
      <c r="N39" s="158" t="b">
        <v>0</v>
      </c>
      <c r="O39" s="158" t="b">
        <v>0</v>
      </c>
      <c r="Q39" s="124" t="b">
        <f t="shared" si="0"/>
        <v>0</v>
      </c>
      <c r="R39" s="80"/>
      <c r="S39" s="80"/>
      <c r="T39" s="80"/>
      <c r="U39" s="80"/>
      <c r="V39" s="80"/>
      <c r="W39" s="80"/>
      <c r="X39" s="80"/>
    </row>
    <row r="40" spans="1:24" ht="30" customHeight="1" thickBot="1" x14ac:dyDescent="0.3">
      <c r="A40" s="904" t="s">
        <v>1685</v>
      </c>
      <c r="B40" s="905"/>
      <c r="C40" s="905"/>
      <c r="D40" s="905"/>
      <c r="E40" s="905"/>
      <c r="F40" s="906"/>
    </row>
    <row r="41" spans="1:24" ht="80.099999999999994" customHeight="1" thickBot="1" x14ac:dyDescent="0.3">
      <c r="A41" s="1635" t="s">
        <v>1710</v>
      </c>
      <c r="B41" s="1636"/>
      <c r="C41" s="1636"/>
      <c r="D41" s="1636"/>
      <c r="E41" s="1636"/>
      <c r="F41" s="1637"/>
      <c r="G41" s="1638" t="s">
        <v>1684</v>
      </c>
      <c r="H41" s="1639"/>
      <c r="I41" s="1639"/>
      <c r="J41" s="1639"/>
      <c r="K41" s="1639"/>
    </row>
    <row r="42" spans="1:24" ht="20.100000000000001" customHeight="1" x14ac:dyDescent="0.25">
      <c r="A42" s="1647" t="s">
        <v>1660</v>
      </c>
      <c r="B42" s="1645"/>
      <c r="C42" s="1645" t="s">
        <v>1659</v>
      </c>
      <c r="D42" s="1645"/>
      <c r="E42" s="1640" t="s">
        <v>1680</v>
      </c>
      <c r="F42" s="1641"/>
      <c r="M42" s="124"/>
      <c r="N42" s="124"/>
      <c r="O42" s="124"/>
      <c r="Q42" s="124"/>
      <c r="R42" s="124"/>
    </row>
    <row r="43" spans="1:24" ht="20.100000000000001" customHeight="1" thickBot="1" x14ac:dyDescent="0.3">
      <c r="A43" s="1646" t="s">
        <v>1678</v>
      </c>
      <c r="B43" s="1644"/>
      <c r="C43" s="1644" t="s">
        <v>1679</v>
      </c>
      <c r="D43" s="1644"/>
      <c r="E43" s="1642"/>
      <c r="F43" s="1643"/>
      <c r="M43" s="124"/>
      <c r="N43" s="124"/>
      <c r="O43" s="124"/>
      <c r="Q43" s="124"/>
      <c r="R43" s="124"/>
    </row>
    <row r="44" spans="1:24" ht="35.1" customHeight="1" x14ac:dyDescent="0.25">
      <c r="A44" s="1651" t="s">
        <v>2528</v>
      </c>
      <c r="B44" s="1649"/>
      <c r="C44" s="1648" t="s">
        <v>2530</v>
      </c>
      <c r="D44" s="1649"/>
      <c r="E44" s="1648"/>
      <c r="F44" s="1650"/>
      <c r="G44" s="123"/>
      <c r="M44" s="80"/>
      <c r="N44" s="80"/>
      <c r="O44" s="80"/>
      <c r="Q44" s="124"/>
      <c r="R44" s="80"/>
      <c r="S44" s="80"/>
      <c r="T44" s="80"/>
      <c r="U44" s="80"/>
      <c r="V44" s="80"/>
      <c r="W44" s="80"/>
      <c r="X44" s="80"/>
    </row>
    <row r="45" spans="1:24" ht="35.1" customHeight="1" x14ac:dyDescent="0.25">
      <c r="A45" s="1628" t="s">
        <v>2261</v>
      </c>
      <c r="B45" s="1629"/>
      <c r="C45" s="1626" t="s">
        <v>2260</v>
      </c>
      <c r="D45" s="1629"/>
      <c r="E45" s="1626"/>
      <c r="F45" s="1627"/>
      <c r="G45" s="123"/>
      <c r="M45" s="80"/>
      <c r="N45" s="80"/>
      <c r="O45" s="80"/>
      <c r="Q45" s="124"/>
      <c r="R45" s="80"/>
      <c r="S45" s="80"/>
      <c r="T45" s="80"/>
      <c r="U45" s="80"/>
      <c r="V45" s="80"/>
      <c r="W45" s="80"/>
      <c r="X45" s="80"/>
    </row>
    <row r="46" spans="1:24" ht="35.1" customHeight="1" x14ac:dyDescent="0.25">
      <c r="A46" s="1628"/>
      <c r="B46" s="1629"/>
      <c r="C46" s="1626"/>
      <c r="D46" s="1629"/>
      <c r="E46" s="1626"/>
      <c r="F46" s="1627"/>
      <c r="G46" s="123"/>
      <c r="M46" s="80"/>
      <c r="N46" s="80"/>
      <c r="O46" s="80"/>
      <c r="Q46" s="124"/>
      <c r="R46" s="80"/>
      <c r="S46" s="80"/>
      <c r="T46" s="80"/>
      <c r="U46" s="80"/>
      <c r="V46" s="80"/>
      <c r="W46" s="80"/>
      <c r="X46" s="80"/>
    </row>
    <row r="47" spans="1:24" ht="35.1" customHeight="1" x14ac:dyDescent="0.25">
      <c r="A47" s="1628"/>
      <c r="B47" s="1629"/>
      <c r="C47" s="1626"/>
      <c r="D47" s="1629"/>
      <c r="E47" s="1626"/>
      <c r="F47" s="1627"/>
      <c r="G47" s="123"/>
      <c r="M47" s="80"/>
      <c r="N47" s="80"/>
      <c r="O47" s="80"/>
      <c r="Q47" s="124"/>
      <c r="R47" s="80"/>
      <c r="S47" s="80"/>
      <c r="T47" s="80"/>
      <c r="U47" s="80"/>
      <c r="V47" s="80"/>
      <c r="W47" s="80"/>
      <c r="X47" s="80"/>
    </row>
    <row r="48" spans="1:24" ht="35.1" customHeight="1" x14ac:dyDescent="0.25">
      <c r="A48" s="1628"/>
      <c r="B48" s="1629"/>
      <c r="C48" s="1626"/>
      <c r="D48" s="1629"/>
      <c r="E48" s="1626"/>
      <c r="F48" s="1627"/>
      <c r="G48" s="123"/>
      <c r="M48" s="80"/>
      <c r="N48" s="80"/>
      <c r="O48" s="80"/>
      <c r="Q48" s="124"/>
      <c r="R48" s="80"/>
      <c r="S48" s="80"/>
      <c r="T48" s="80"/>
      <c r="U48" s="80"/>
      <c r="V48" s="80"/>
      <c r="W48" s="80"/>
      <c r="X48" s="80"/>
    </row>
    <row r="49" spans="1:24" ht="35.1" customHeight="1" x14ac:dyDescent="0.25">
      <c r="A49" s="1628"/>
      <c r="B49" s="1629"/>
      <c r="C49" s="1626"/>
      <c r="D49" s="1629"/>
      <c r="E49" s="1626"/>
      <c r="F49" s="1627"/>
      <c r="G49" s="123"/>
      <c r="M49" s="80"/>
      <c r="N49" s="80"/>
      <c r="O49" s="80"/>
      <c r="Q49" s="124"/>
      <c r="R49" s="80"/>
      <c r="S49" s="80"/>
      <c r="T49" s="80"/>
      <c r="U49" s="80"/>
      <c r="V49" s="80"/>
      <c r="W49" s="80"/>
      <c r="X49" s="80"/>
    </row>
    <row r="50" spans="1:24" ht="35.1" customHeight="1" x14ac:dyDescent="0.25">
      <c r="A50" s="1628"/>
      <c r="B50" s="1629"/>
      <c r="C50" s="1626"/>
      <c r="D50" s="1629"/>
      <c r="E50" s="1626"/>
      <c r="F50" s="1627"/>
      <c r="G50" s="123"/>
      <c r="M50" s="80"/>
      <c r="N50" s="80"/>
      <c r="O50" s="80"/>
      <c r="Q50" s="124"/>
      <c r="R50" s="80"/>
      <c r="S50" s="80"/>
      <c r="T50" s="80"/>
      <c r="U50" s="80"/>
      <c r="V50" s="80"/>
      <c r="W50" s="80"/>
      <c r="X50" s="80"/>
    </row>
    <row r="51" spans="1:24" ht="35.1" customHeight="1" x14ac:dyDescent="0.25">
      <c r="A51" s="1628"/>
      <c r="B51" s="1629"/>
      <c r="C51" s="1626"/>
      <c r="D51" s="1629"/>
      <c r="E51" s="1626"/>
      <c r="F51" s="1627"/>
      <c r="G51" s="123"/>
      <c r="M51" s="80"/>
      <c r="N51" s="80"/>
      <c r="O51" s="80"/>
      <c r="Q51" s="124"/>
      <c r="R51" s="80"/>
      <c r="S51" s="80"/>
      <c r="T51" s="80"/>
      <c r="U51" s="80"/>
      <c r="V51" s="80"/>
      <c r="W51" s="80"/>
      <c r="X51" s="80"/>
    </row>
    <row r="52" spans="1:24" ht="35.1" customHeight="1" x14ac:dyDescent="0.25">
      <c r="A52" s="1628"/>
      <c r="B52" s="1629"/>
      <c r="C52" s="1626"/>
      <c r="D52" s="1629"/>
      <c r="E52" s="1626"/>
      <c r="F52" s="1627"/>
      <c r="G52" s="123"/>
      <c r="M52" s="80"/>
      <c r="N52" s="80"/>
      <c r="O52" s="80"/>
      <c r="Q52" s="124"/>
      <c r="R52" s="80"/>
      <c r="S52" s="80"/>
      <c r="T52" s="80"/>
      <c r="U52" s="80"/>
      <c r="V52" s="80"/>
      <c r="W52" s="80"/>
      <c r="X52" s="80"/>
    </row>
    <row r="53" spans="1:24" ht="35.1" customHeight="1" x14ac:dyDescent="0.25">
      <c r="A53" s="1628"/>
      <c r="B53" s="1629"/>
      <c r="C53" s="1626"/>
      <c r="D53" s="1629"/>
      <c r="E53" s="1626"/>
      <c r="F53" s="1627"/>
      <c r="G53" s="123"/>
      <c r="M53" s="80"/>
      <c r="N53" s="80"/>
      <c r="O53" s="80"/>
      <c r="Q53" s="124"/>
      <c r="R53" s="80"/>
      <c r="S53" s="80"/>
      <c r="T53" s="80"/>
      <c r="U53" s="80"/>
      <c r="V53" s="80"/>
      <c r="W53" s="80"/>
      <c r="X53" s="80"/>
    </row>
    <row r="54" spans="1:24" ht="35.1" customHeight="1" x14ac:dyDescent="0.25">
      <c r="A54" s="1628"/>
      <c r="B54" s="1629"/>
      <c r="C54" s="1626"/>
      <c r="D54" s="1629"/>
      <c r="E54" s="1626"/>
      <c r="F54" s="1627"/>
      <c r="G54" s="123"/>
      <c r="M54" s="80"/>
      <c r="N54" s="80"/>
      <c r="O54" s="80"/>
      <c r="Q54" s="124"/>
      <c r="R54" s="80"/>
      <c r="S54" s="80"/>
      <c r="T54" s="80"/>
      <c r="U54" s="80"/>
      <c r="V54" s="80"/>
      <c r="W54" s="80"/>
      <c r="X54" s="80"/>
    </row>
    <row r="55" spans="1:24" ht="35.1" customHeight="1" x14ac:dyDescent="0.25">
      <c r="A55" s="1628"/>
      <c r="B55" s="1629"/>
      <c r="C55" s="1626"/>
      <c r="D55" s="1629"/>
      <c r="E55" s="1626"/>
      <c r="F55" s="1627"/>
      <c r="G55" s="123"/>
      <c r="M55" s="80"/>
      <c r="N55" s="80"/>
      <c r="O55" s="80"/>
      <c r="Q55" s="124"/>
      <c r="R55" s="80"/>
      <c r="S55" s="80"/>
      <c r="T55" s="80"/>
      <c r="U55" s="80"/>
      <c r="V55" s="80"/>
      <c r="W55" s="80"/>
      <c r="X55" s="80"/>
    </row>
    <row r="56" spans="1:24" ht="35.1" customHeight="1" x14ac:dyDescent="0.25">
      <c r="A56" s="1628"/>
      <c r="B56" s="1629"/>
      <c r="C56" s="1626"/>
      <c r="D56" s="1629"/>
      <c r="E56" s="1626"/>
      <c r="F56" s="1627"/>
      <c r="G56" s="123"/>
      <c r="M56" s="80"/>
      <c r="N56" s="80"/>
      <c r="O56" s="80"/>
      <c r="Q56" s="124"/>
      <c r="R56" s="80"/>
      <c r="S56" s="80"/>
      <c r="T56" s="80"/>
      <c r="U56" s="80"/>
      <c r="V56" s="80"/>
      <c r="W56" s="80"/>
      <c r="X56" s="80"/>
    </row>
    <row r="57" spans="1:24" ht="35.1" customHeight="1" x14ac:dyDescent="0.25">
      <c r="A57" s="1628"/>
      <c r="B57" s="1629"/>
      <c r="C57" s="1626"/>
      <c r="D57" s="1629"/>
      <c r="E57" s="1626"/>
      <c r="F57" s="1627"/>
      <c r="G57" s="123"/>
      <c r="M57" s="80"/>
      <c r="N57" s="80"/>
      <c r="O57" s="80"/>
      <c r="Q57" s="124"/>
      <c r="R57" s="80"/>
      <c r="S57" s="80"/>
      <c r="T57" s="80"/>
      <c r="U57" s="80"/>
      <c r="V57" s="80"/>
      <c r="W57" s="80"/>
      <c r="X57" s="80"/>
    </row>
    <row r="58" spans="1:24" ht="35.1" customHeight="1" x14ac:dyDescent="0.25">
      <c r="A58" s="1628"/>
      <c r="B58" s="1629"/>
      <c r="C58" s="1626"/>
      <c r="D58" s="1629"/>
      <c r="E58" s="1626"/>
      <c r="F58" s="1627"/>
      <c r="G58" s="123"/>
      <c r="M58" s="80"/>
      <c r="N58" s="80"/>
      <c r="O58" s="80"/>
      <c r="Q58" s="124"/>
      <c r="R58" s="80"/>
      <c r="S58" s="80"/>
      <c r="T58" s="80"/>
      <c r="U58" s="80"/>
      <c r="V58" s="80"/>
      <c r="W58" s="80"/>
      <c r="X58" s="80"/>
    </row>
    <row r="59" spans="1:24" ht="35.1" customHeight="1" x14ac:dyDescent="0.25">
      <c r="A59" s="1628"/>
      <c r="B59" s="1629"/>
      <c r="C59" s="1626"/>
      <c r="D59" s="1629"/>
      <c r="E59" s="1626"/>
      <c r="F59" s="1627"/>
      <c r="G59" s="123"/>
      <c r="M59" s="80"/>
      <c r="N59" s="80"/>
      <c r="O59" s="80"/>
      <c r="Q59" s="124"/>
      <c r="R59" s="80"/>
      <c r="S59" s="80"/>
      <c r="T59" s="80"/>
      <c r="U59" s="80"/>
      <c r="V59" s="80"/>
      <c r="W59" s="80"/>
      <c r="X59" s="80"/>
    </row>
    <row r="60" spans="1:24" ht="35.1" customHeight="1" x14ac:dyDescent="0.25">
      <c r="A60" s="1628"/>
      <c r="B60" s="1629"/>
      <c r="C60" s="1626"/>
      <c r="D60" s="1629"/>
      <c r="E60" s="1626"/>
      <c r="F60" s="1627"/>
      <c r="G60" s="123"/>
      <c r="M60" s="80"/>
      <c r="N60" s="80"/>
      <c r="O60" s="80"/>
      <c r="Q60" s="124"/>
      <c r="R60" s="80"/>
      <c r="S60" s="80"/>
      <c r="T60" s="80"/>
      <c r="U60" s="80"/>
      <c r="V60" s="80"/>
      <c r="W60" s="80"/>
      <c r="X60" s="80"/>
    </row>
    <row r="61" spans="1:24" ht="35.1" customHeight="1" thickBot="1" x14ac:dyDescent="0.3">
      <c r="A61" s="1628"/>
      <c r="B61" s="1629"/>
      <c r="C61" s="1626"/>
      <c r="D61" s="1629"/>
      <c r="E61" s="1626"/>
      <c r="F61" s="1627"/>
      <c r="G61" s="123"/>
      <c r="M61" s="80"/>
      <c r="N61" s="80"/>
      <c r="O61" s="80"/>
      <c r="Q61" s="124"/>
      <c r="R61" s="80"/>
      <c r="S61" s="80"/>
      <c r="T61" s="80"/>
      <c r="U61" s="80"/>
      <c r="V61" s="80"/>
      <c r="W61" s="80"/>
      <c r="X61" s="80"/>
    </row>
    <row r="62" spans="1:24" ht="30" customHeight="1" thickBot="1" x14ac:dyDescent="0.3">
      <c r="A62" s="904" t="s">
        <v>1681</v>
      </c>
      <c r="B62" s="905"/>
      <c r="C62" s="905"/>
      <c r="D62" s="905"/>
      <c r="E62" s="905"/>
      <c r="F62" s="906"/>
    </row>
    <row r="63" spans="1:24" ht="20.100000000000001" customHeight="1" x14ac:dyDescent="0.25">
      <c r="A63" s="1647" t="s">
        <v>1660</v>
      </c>
      <c r="B63" s="1645"/>
      <c r="C63" s="1645" t="s">
        <v>1659</v>
      </c>
      <c r="D63" s="1645"/>
      <c r="E63" s="1640" t="s">
        <v>1680</v>
      </c>
      <c r="F63" s="1641"/>
      <c r="M63" s="124"/>
      <c r="N63" s="124"/>
      <c r="O63" s="124"/>
      <c r="Q63" s="124"/>
      <c r="R63" s="124"/>
    </row>
    <row r="64" spans="1:24" ht="20.100000000000001" customHeight="1" thickBot="1" x14ac:dyDescent="0.3">
      <c r="A64" s="1646" t="s">
        <v>1678</v>
      </c>
      <c r="B64" s="1644"/>
      <c r="C64" s="1644" t="s">
        <v>1679</v>
      </c>
      <c r="D64" s="1644"/>
      <c r="E64" s="1642"/>
      <c r="F64" s="1643"/>
      <c r="M64" s="124"/>
      <c r="N64" s="124"/>
      <c r="O64" s="124"/>
      <c r="Q64" s="124"/>
      <c r="R64" s="124"/>
    </row>
    <row r="65" spans="1:24" ht="35.1" customHeight="1" x14ac:dyDescent="0.25">
      <c r="A65" s="1628"/>
      <c r="B65" s="1629"/>
      <c r="C65" s="1626"/>
      <c r="D65" s="1629"/>
      <c r="E65" s="1626"/>
      <c r="F65" s="1627"/>
      <c r="G65" s="123"/>
      <c r="M65" s="80"/>
      <c r="N65" s="80"/>
      <c r="O65" s="80"/>
      <c r="Q65" s="124"/>
      <c r="R65" s="80"/>
      <c r="S65" s="80"/>
      <c r="T65" s="80"/>
      <c r="U65" s="80"/>
      <c r="V65" s="80"/>
      <c r="W65" s="80"/>
      <c r="X65" s="80"/>
    </row>
    <row r="66" spans="1:24" ht="35.1" customHeight="1" x14ac:dyDescent="0.25">
      <c r="A66" s="1628"/>
      <c r="B66" s="1629"/>
      <c r="C66" s="1626"/>
      <c r="D66" s="1629"/>
      <c r="E66" s="1626"/>
      <c r="F66" s="1627"/>
      <c r="G66" s="123"/>
      <c r="M66" s="80"/>
      <c r="N66" s="80"/>
      <c r="O66" s="80"/>
      <c r="Q66" s="124"/>
      <c r="R66" s="80"/>
      <c r="S66" s="80"/>
      <c r="T66" s="80"/>
      <c r="U66" s="80"/>
      <c r="V66" s="80"/>
      <c r="W66" s="80"/>
      <c r="X66" s="80"/>
    </row>
    <row r="67" spans="1:24" ht="35.1" customHeight="1" x14ac:dyDescent="0.25">
      <c r="A67" s="1628"/>
      <c r="B67" s="1629"/>
      <c r="C67" s="1626"/>
      <c r="D67" s="1629"/>
      <c r="E67" s="1626"/>
      <c r="F67" s="1627"/>
      <c r="G67" s="123"/>
      <c r="M67" s="80"/>
      <c r="N67" s="80"/>
      <c r="O67" s="80"/>
      <c r="Q67" s="124"/>
      <c r="R67" s="80"/>
      <c r="S67" s="80"/>
      <c r="T67" s="80"/>
      <c r="U67" s="80"/>
      <c r="V67" s="80"/>
      <c r="W67" s="80"/>
      <c r="X67" s="80"/>
    </row>
    <row r="68" spans="1:24" ht="35.1" customHeight="1" x14ac:dyDescent="0.25">
      <c r="A68" s="1628"/>
      <c r="B68" s="1629"/>
      <c r="C68" s="1626"/>
      <c r="D68" s="1629"/>
      <c r="E68" s="1626"/>
      <c r="F68" s="1627"/>
      <c r="G68" s="123"/>
      <c r="M68" s="80"/>
      <c r="N68" s="80"/>
      <c r="O68" s="80"/>
      <c r="Q68" s="124"/>
      <c r="R68" s="80"/>
      <c r="S68" s="80"/>
      <c r="T68" s="80"/>
      <c r="U68" s="80"/>
      <c r="V68" s="80"/>
      <c r="W68" s="80"/>
      <c r="X68" s="80"/>
    </row>
    <row r="69" spans="1:24" ht="35.1" customHeight="1" x14ac:dyDescent="0.25">
      <c r="A69" s="1628"/>
      <c r="B69" s="1629"/>
      <c r="C69" s="1626"/>
      <c r="D69" s="1629"/>
      <c r="E69" s="1626"/>
      <c r="F69" s="1627"/>
      <c r="G69" s="123"/>
      <c r="M69" s="80"/>
      <c r="N69" s="80"/>
      <c r="O69" s="80"/>
      <c r="Q69" s="124"/>
      <c r="R69" s="80"/>
      <c r="S69" s="80"/>
      <c r="T69" s="80"/>
      <c r="U69" s="80"/>
      <c r="V69" s="80"/>
      <c r="W69" s="80"/>
      <c r="X69" s="80"/>
    </row>
    <row r="70" spans="1:24" ht="35.1" customHeight="1" x14ac:dyDescent="0.25">
      <c r="A70" s="1628"/>
      <c r="B70" s="1629"/>
      <c r="C70" s="1626"/>
      <c r="D70" s="1629"/>
      <c r="E70" s="1626"/>
      <c r="F70" s="1627"/>
      <c r="G70" s="123"/>
      <c r="M70" s="80"/>
      <c r="N70" s="80"/>
      <c r="O70" s="80"/>
      <c r="Q70" s="124"/>
      <c r="R70" s="80"/>
      <c r="S70" s="80"/>
      <c r="T70" s="80"/>
      <c r="U70" s="80"/>
      <c r="V70" s="80"/>
      <c r="W70" s="80"/>
      <c r="X70" s="80"/>
    </row>
    <row r="71" spans="1:24" ht="35.1" customHeight="1" x14ac:dyDescent="0.25">
      <c r="A71" s="1628"/>
      <c r="B71" s="1629"/>
      <c r="C71" s="1626"/>
      <c r="D71" s="1629"/>
      <c r="E71" s="1626"/>
      <c r="F71" s="1627"/>
      <c r="G71" s="123"/>
      <c r="M71" s="80"/>
      <c r="N71" s="80"/>
      <c r="O71" s="80"/>
      <c r="Q71" s="124"/>
      <c r="R71" s="80"/>
      <c r="S71" s="80"/>
      <c r="T71" s="80"/>
      <c r="U71" s="80"/>
      <c r="V71" s="80"/>
      <c r="W71" s="80"/>
      <c r="X71" s="80"/>
    </row>
    <row r="72" spans="1:24" ht="35.1" customHeight="1" x14ac:dyDescent="0.25">
      <c r="A72" s="1628"/>
      <c r="B72" s="1629"/>
      <c r="C72" s="1626"/>
      <c r="D72" s="1629"/>
      <c r="E72" s="1626"/>
      <c r="F72" s="1627"/>
      <c r="G72" s="123"/>
      <c r="M72" s="80"/>
      <c r="N72" s="80"/>
      <c r="O72" s="80"/>
      <c r="Q72" s="124"/>
      <c r="R72" s="80"/>
      <c r="S72" s="80"/>
      <c r="T72" s="80"/>
      <c r="U72" s="80"/>
      <c r="V72" s="80"/>
      <c r="W72" s="80"/>
      <c r="X72" s="80"/>
    </row>
    <row r="73" spans="1:24" ht="35.1" customHeight="1" x14ac:dyDescent="0.25">
      <c r="A73" s="1628"/>
      <c r="B73" s="1629"/>
      <c r="C73" s="1626"/>
      <c r="D73" s="1629"/>
      <c r="E73" s="1626"/>
      <c r="F73" s="1627"/>
      <c r="G73" s="123"/>
      <c r="M73" s="80"/>
      <c r="N73" s="80"/>
      <c r="O73" s="80"/>
      <c r="Q73" s="124"/>
      <c r="R73" s="80"/>
      <c r="S73" s="80"/>
      <c r="T73" s="80"/>
      <c r="U73" s="80"/>
      <c r="V73" s="80"/>
      <c r="W73" s="80"/>
      <c r="X73" s="80"/>
    </row>
    <row r="74" spans="1:24" ht="35.1" customHeight="1" x14ac:dyDescent="0.25">
      <c r="A74" s="1628"/>
      <c r="B74" s="1629"/>
      <c r="C74" s="1626"/>
      <c r="D74" s="1629"/>
      <c r="E74" s="1626"/>
      <c r="F74" s="1627"/>
      <c r="G74" s="123"/>
      <c r="M74" s="80"/>
      <c r="N74" s="80"/>
      <c r="O74" s="80"/>
      <c r="Q74" s="124"/>
      <c r="R74" s="80"/>
      <c r="S74" s="80"/>
      <c r="T74" s="80"/>
      <c r="U74" s="80"/>
      <c r="V74" s="80"/>
      <c r="W74" s="80"/>
      <c r="X74" s="80"/>
    </row>
    <row r="75" spans="1:24" ht="35.1" customHeight="1" x14ac:dyDescent="0.25">
      <c r="A75" s="1628"/>
      <c r="B75" s="1629"/>
      <c r="C75" s="1626"/>
      <c r="D75" s="1629"/>
      <c r="E75" s="1626"/>
      <c r="F75" s="1627"/>
      <c r="G75" s="123"/>
      <c r="M75" s="80"/>
      <c r="N75" s="80"/>
      <c r="O75" s="80"/>
      <c r="Q75" s="124"/>
      <c r="R75" s="80"/>
      <c r="S75" s="80"/>
      <c r="T75" s="80"/>
      <c r="U75" s="80"/>
      <c r="V75" s="80"/>
      <c r="W75" s="80"/>
      <c r="X75" s="80"/>
    </row>
    <row r="76" spans="1:24" ht="35.1" customHeight="1" x14ac:dyDescent="0.25">
      <c r="A76" s="1628"/>
      <c r="B76" s="1629"/>
      <c r="C76" s="1626"/>
      <c r="D76" s="1629"/>
      <c r="E76" s="1626"/>
      <c r="F76" s="1627"/>
      <c r="G76" s="123"/>
      <c r="M76" s="80"/>
      <c r="N76" s="80"/>
      <c r="O76" s="80"/>
      <c r="Q76" s="124"/>
      <c r="R76" s="80"/>
      <c r="S76" s="80"/>
      <c r="T76" s="80"/>
      <c r="U76" s="80"/>
      <c r="V76" s="80"/>
      <c r="W76" s="80"/>
      <c r="X76" s="80"/>
    </row>
    <row r="77" spans="1:24" ht="35.1" customHeight="1" x14ac:dyDescent="0.25">
      <c r="A77" s="1628"/>
      <c r="B77" s="1629"/>
      <c r="C77" s="1626"/>
      <c r="D77" s="1629"/>
      <c r="E77" s="1626"/>
      <c r="F77" s="1627"/>
      <c r="G77" s="123"/>
      <c r="M77" s="80"/>
      <c r="N77" s="80"/>
      <c r="O77" s="80"/>
      <c r="Q77" s="124"/>
      <c r="R77" s="80"/>
      <c r="S77" s="80"/>
      <c r="T77" s="80"/>
      <c r="U77" s="80"/>
      <c r="V77" s="80"/>
      <c r="W77" s="80"/>
      <c r="X77" s="80"/>
    </row>
    <row r="78" spans="1:24" ht="35.1" customHeight="1" x14ac:dyDescent="0.25">
      <c r="A78" s="1628"/>
      <c r="B78" s="1629"/>
      <c r="C78" s="1626"/>
      <c r="D78" s="1629"/>
      <c r="E78" s="1626"/>
      <c r="F78" s="1627"/>
      <c r="G78" s="123"/>
      <c r="M78" s="80"/>
      <c r="N78" s="80"/>
      <c r="O78" s="80"/>
      <c r="Q78" s="124"/>
      <c r="R78" s="80"/>
      <c r="S78" s="80"/>
      <c r="T78" s="80"/>
      <c r="U78" s="80"/>
      <c r="V78" s="80"/>
      <c r="W78" s="80"/>
      <c r="X78" s="80"/>
    </row>
    <row r="79" spans="1:24" ht="35.1" customHeight="1" x14ac:dyDescent="0.25">
      <c r="A79" s="1628"/>
      <c r="B79" s="1629"/>
      <c r="C79" s="1626"/>
      <c r="D79" s="1629"/>
      <c r="E79" s="1626"/>
      <c r="F79" s="1627"/>
      <c r="G79" s="123"/>
      <c r="M79" s="80"/>
      <c r="N79" s="80"/>
      <c r="O79" s="80"/>
      <c r="Q79" s="124"/>
      <c r="R79" s="80"/>
      <c r="S79" s="80"/>
      <c r="T79" s="80"/>
      <c r="U79" s="80"/>
      <c r="V79" s="80"/>
      <c r="W79" s="80"/>
      <c r="X79" s="80"/>
    </row>
    <row r="80" spans="1:24" ht="35.1" customHeight="1" x14ac:dyDescent="0.25">
      <c r="A80" s="1628"/>
      <c r="B80" s="1629"/>
      <c r="C80" s="1626"/>
      <c r="D80" s="1629"/>
      <c r="E80" s="1626"/>
      <c r="F80" s="1627"/>
      <c r="G80" s="123"/>
      <c r="M80" s="80"/>
      <c r="N80" s="80"/>
      <c r="O80" s="80"/>
      <c r="Q80" s="124"/>
      <c r="R80" s="80"/>
      <c r="S80" s="80"/>
      <c r="T80" s="80"/>
      <c r="U80" s="80"/>
      <c r="V80" s="80"/>
      <c r="W80" s="80"/>
      <c r="X80" s="80"/>
    </row>
    <row r="81" spans="1:24" ht="35.1" customHeight="1" x14ac:dyDescent="0.25">
      <c r="A81" s="1628"/>
      <c r="B81" s="1629"/>
      <c r="C81" s="1626"/>
      <c r="D81" s="1629"/>
      <c r="E81" s="1626"/>
      <c r="F81" s="1627"/>
      <c r="G81" s="123"/>
      <c r="M81" s="80"/>
      <c r="N81" s="80"/>
      <c r="O81" s="80"/>
      <c r="Q81" s="124"/>
      <c r="R81" s="80"/>
      <c r="S81" s="80"/>
      <c r="T81" s="80"/>
      <c r="U81" s="80"/>
      <c r="V81" s="80"/>
      <c r="W81" s="80"/>
      <c r="X81" s="80"/>
    </row>
    <row r="82" spans="1:24" ht="35.1" customHeight="1" x14ac:dyDescent="0.25">
      <c r="A82" s="1628"/>
      <c r="B82" s="1629"/>
      <c r="C82" s="1626"/>
      <c r="D82" s="1629"/>
      <c r="E82" s="1626"/>
      <c r="F82" s="1627"/>
      <c r="G82" s="123"/>
      <c r="M82" s="80"/>
      <c r="N82" s="80"/>
      <c r="O82" s="80"/>
      <c r="Q82" s="124"/>
      <c r="R82" s="80"/>
      <c r="S82" s="80"/>
      <c r="T82" s="80"/>
      <c r="U82" s="80"/>
      <c r="V82" s="80"/>
      <c r="W82" s="80"/>
      <c r="X82" s="80"/>
    </row>
    <row r="83" spans="1:24" ht="35.1" customHeight="1" x14ac:dyDescent="0.25">
      <c r="A83" s="1628"/>
      <c r="B83" s="1629"/>
      <c r="C83" s="1626"/>
      <c r="D83" s="1629"/>
      <c r="E83" s="1626"/>
      <c r="F83" s="1627"/>
      <c r="G83" s="123"/>
      <c r="M83" s="80"/>
      <c r="N83" s="80"/>
      <c r="O83" s="80"/>
      <c r="Q83" s="124"/>
      <c r="R83" s="80"/>
      <c r="S83" s="80"/>
      <c r="T83" s="80"/>
      <c r="U83" s="80"/>
      <c r="V83" s="80"/>
      <c r="W83" s="80"/>
      <c r="X83" s="80"/>
    </row>
    <row r="84" spans="1:24" ht="35.1" customHeight="1" thickBot="1" x14ac:dyDescent="0.3">
      <c r="A84" s="1628"/>
      <c r="B84" s="1629"/>
      <c r="C84" s="1626"/>
      <c r="D84" s="1629"/>
      <c r="E84" s="1626"/>
      <c r="F84" s="1627"/>
      <c r="G84" s="123"/>
      <c r="M84" s="80"/>
      <c r="N84" s="80"/>
      <c r="O84" s="80"/>
      <c r="Q84" s="124"/>
      <c r="R84" s="80"/>
      <c r="S84" s="80"/>
      <c r="T84" s="80"/>
      <c r="U84" s="80"/>
      <c r="V84" s="80"/>
      <c r="W84" s="80"/>
      <c r="X84" s="80"/>
    </row>
    <row r="85" spans="1:24" ht="30" customHeight="1" thickBot="1" x14ac:dyDescent="0.3">
      <c r="A85" s="904" t="s">
        <v>1682</v>
      </c>
      <c r="B85" s="905"/>
      <c r="C85" s="905"/>
      <c r="D85" s="905"/>
      <c r="E85" s="905"/>
      <c r="F85" s="906"/>
    </row>
    <row r="86" spans="1:24" ht="54.95" customHeight="1" thickBot="1" x14ac:dyDescent="0.3">
      <c r="A86" s="1635" t="s">
        <v>1688</v>
      </c>
      <c r="B86" s="1636"/>
      <c r="C86" s="1636"/>
      <c r="D86" s="1636"/>
      <c r="E86" s="1636"/>
      <c r="F86" s="1637"/>
      <c r="G86" s="159"/>
      <c r="H86" s="67"/>
      <c r="I86" s="67"/>
      <c r="J86" s="67"/>
      <c r="K86" s="67"/>
    </row>
    <row r="87" spans="1:24" ht="20.100000000000001" customHeight="1" x14ac:dyDescent="0.25">
      <c r="A87" s="1647" t="s">
        <v>1659</v>
      </c>
      <c r="B87" s="1645"/>
      <c r="C87" s="1640" t="s">
        <v>1683</v>
      </c>
      <c r="D87" s="1657"/>
      <c r="E87" s="1657"/>
      <c r="F87" s="1641"/>
      <c r="M87" s="124"/>
      <c r="N87" s="124"/>
      <c r="O87" s="124"/>
      <c r="Q87" s="124"/>
      <c r="R87" s="124"/>
    </row>
    <row r="88" spans="1:24" ht="20.100000000000001" customHeight="1" thickBot="1" x14ac:dyDescent="0.3">
      <c r="A88" s="1646" t="s">
        <v>1679</v>
      </c>
      <c r="B88" s="1644"/>
      <c r="C88" s="1642"/>
      <c r="D88" s="1658"/>
      <c r="E88" s="1658"/>
      <c r="F88" s="1643"/>
      <c r="M88" s="124"/>
      <c r="N88" s="124"/>
      <c r="O88" s="124"/>
      <c r="Q88" s="124"/>
      <c r="R88" s="124"/>
    </row>
    <row r="89" spans="1:24" ht="35.1" customHeight="1" x14ac:dyDescent="0.25">
      <c r="A89" s="1651"/>
      <c r="B89" s="1649"/>
      <c r="C89" s="1648"/>
      <c r="D89" s="1660"/>
      <c r="E89" s="1660"/>
      <c r="F89" s="1650"/>
      <c r="G89" s="123"/>
      <c r="M89" s="80"/>
      <c r="N89" s="80"/>
      <c r="O89" s="80"/>
      <c r="Q89" s="124"/>
      <c r="R89" s="80"/>
      <c r="S89" s="80"/>
      <c r="T89" s="80"/>
      <c r="U89" s="80"/>
      <c r="V89" s="80"/>
      <c r="W89" s="80"/>
      <c r="X89" s="80"/>
    </row>
    <row r="90" spans="1:24" ht="35.1" customHeight="1" x14ac:dyDescent="0.25">
      <c r="A90" s="1628"/>
      <c r="B90" s="1629"/>
      <c r="C90" s="1626"/>
      <c r="D90" s="1659"/>
      <c r="E90" s="1659"/>
      <c r="F90" s="1627"/>
      <c r="G90" s="123"/>
      <c r="M90" s="80"/>
      <c r="N90" s="80"/>
      <c r="O90" s="80"/>
      <c r="Q90" s="124"/>
      <c r="R90" s="80"/>
      <c r="S90" s="80"/>
      <c r="T90" s="80"/>
      <c r="U90" s="80"/>
      <c r="V90" s="80"/>
      <c r="W90" s="80"/>
      <c r="X90" s="80"/>
    </row>
    <row r="91" spans="1:24" ht="35.1" customHeight="1" x14ac:dyDescent="0.25">
      <c r="A91" s="1628"/>
      <c r="B91" s="1629"/>
      <c r="C91" s="1626"/>
      <c r="D91" s="1659"/>
      <c r="E91" s="1659"/>
      <c r="F91" s="1627"/>
      <c r="G91" s="123"/>
      <c r="M91" s="80"/>
      <c r="N91" s="80"/>
      <c r="O91" s="80"/>
      <c r="Q91" s="124"/>
      <c r="R91" s="80"/>
      <c r="S91" s="80"/>
      <c r="T91" s="80"/>
      <c r="U91" s="80"/>
      <c r="V91" s="80"/>
      <c r="W91" s="80"/>
      <c r="X91" s="80"/>
    </row>
    <row r="92" spans="1:24" ht="35.1" customHeight="1" x14ac:dyDescent="0.25">
      <c r="A92" s="1628"/>
      <c r="B92" s="1629"/>
      <c r="C92" s="1626"/>
      <c r="D92" s="1659"/>
      <c r="E92" s="1659"/>
      <c r="F92" s="1627"/>
      <c r="G92" s="123"/>
      <c r="M92" s="80"/>
      <c r="N92" s="80"/>
      <c r="O92" s="80"/>
      <c r="Q92" s="124"/>
      <c r="R92" s="80"/>
      <c r="S92" s="80"/>
      <c r="T92" s="80"/>
      <c r="U92" s="80"/>
      <c r="V92" s="80"/>
      <c r="W92" s="80"/>
      <c r="X92" s="80"/>
    </row>
    <row r="93" spans="1:24" ht="35.1" customHeight="1" x14ac:dyDescent="0.25">
      <c r="A93" s="1628"/>
      <c r="B93" s="1629"/>
      <c r="C93" s="1626"/>
      <c r="D93" s="1659"/>
      <c r="E93" s="1659"/>
      <c r="F93" s="1627"/>
      <c r="G93" s="123"/>
      <c r="M93" s="80"/>
      <c r="N93" s="80"/>
      <c r="O93" s="80"/>
      <c r="Q93" s="124"/>
      <c r="R93" s="80"/>
      <c r="S93" s="80"/>
      <c r="T93" s="80"/>
      <c r="U93" s="80"/>
      <c r="V93" s="80"/>
      <c r="W93" s="80"/>
      <c r="X93" s="80"/>
    </row>
    <row r="94" spans="1:24" ht="35.1" customHeight="1" x14ac:dyDescent="0.25">
      <c r="A94" s="1628"/>
      <c r="B94" s="1629"/>
      <c r="C94" s="1626"/>
      <c r="D94" s="1659"/>
      <c r="E94" s="1659"/>
      <c r="F94" s="1627"/>
      <c r="G94" s="123"/>
      <c r="M94" s="80"/>
      <c r="N94" s="80"/>
      <c r="O94" s="80"/>
      <c r="Q94" s="124"/>
      <c r="R94" s="80"/>
      <c r="S94" s="80"/>
      <c r="T94" s="80"/>
      <c r="U94" s="80"/>
      <c r="V94" s="80"/>
      <c r="W94" s="80"/>
      <c r="X94" s="80"/>
    </row>
    <row r="95" spans="1:24" ht="35.1" customHeight="1" x14ac:dyDescent="0.25">
      <c r="A95" s="1628"/>
      <c r="B95" s="1629"/>
      <c r="C95" s="1626"/>
      <c r="D95" s="1659"/>
      <c r="E95" s="1659"/>
      <c r="F95" s="1627"/>
      <c r="G95" s="123"/>
      <c r="M95" s="80"/>
      <c r="N95" s="80"/>
      <c r="O95" s="80"/>
      <c r="Q95" s="124"/>
      <c r="R95" s="80"/>
      <c r="S95" s="80"/>
      <c r="T95" s="80"/>
      <c r="U95" s="80"/>
      <c r="V95" s="80"/>
      <c r="W95" s="80"/>
      <c r="X95" s="80"/>
    </row>
    <row r="96" spans="1:24" ht="35.1" customHeight="1" x14ac:dyDescent="0.25">
      <c r="A96" s="1628"/>
      <c r="B96" s="1629"/>
      <c r="C96" s="1626"/>
      <c r="D96" s="1659"/>
      <c r="E96" s="1659"/>
      <c r="F96" s="1627"/>
      <c r="G96" s="123"/>
      <c r="M96" s="80"/>
      <c r="N96" s="80"/>
      <c r="O96" s="80"/>
      <c r="Q96" s="124"/>
      <c r="R96" s="80"/>
      <c r="S96" s="80"/>
      <c r="T96" s="80"/>
      <c r="U96" s="80"/>
      <c r="V96" s="80"/>
      <c r="W96" s="80"/>
      <c r="X96" s="80"/>
    </row>
    <row r="97" spans="1:24" ht="35.1" customHeight="1" x14ac:dyDescent="0.25">
      <c r="A97" s="1628"/>
      <c r="B97" s="1629"/>
      <c r="C97" s="1626"/>
      <c r="D97" s="1659"/>
      <c r="E97" s="1659"/>
      <c r="F97" s="1627"/>
      <c r="G97" s="123"/>
      <c r="M97" s="80"/>
      <c r="N97" s="80"/>
      <c r="O97" s="80"/>
      <c r="Q97" s="124"/>
      <c r="R97" s="80"/>
      <c r="S97" s="80"/>
      <c r="T97" s="80"/>
      <c r="U97" s="80"/>
      <c r="V97" s="80"/>
      <c r="W97" s="80"/>
      <c r="X97" s="80"/>
    </row>
    <row r="98" spans="1:24" ht="35.1" customHeight="1" x14ac:dyDescent="0.25">
      <c r="A98" s="1628"/>
      <c r="B98" s="1629"/>
      <c r="C98" s="1626"/>
      <c r="D98" s="1659"/>
      <c r="E98" s="1659"/>
      <c r="F98" s="1627"/>
      <c r="G98" s="123"/>
      <c r="M98" s="80"/>
      <c r="N98" s="80"/>
      <c r="O98" s="80"/>
      <c r="Q98" s="124"/>
      <c r="R98" s="80"/>
      <c r="S98" s="80"/>
      <c r="T98" s="80"/>
      <c r="U98" s="80"/>
      <c r="V98" s="80"/>
      <c r="W98" s="80"/>
      <c r="X98" s="80"/>
    </row>
    <row r="99" spans="1:24" ht="35.1" customHeight="1" x14ac:dyDescent="0.25">
      <c r="A99" s="1628"/>
      <c r="B99" s="1629"/>
      <c r="C99" s="1626"/>
      <c r="D99" s="1659"/>
      <c r="E99" s="1659"/>
      <c r="F99" s="1627"/>
      <c r="G99" s="123"/>
      <c r="M99" s="80"/>
      <c r="N99" s="80"/>
      <c r="O99" s="80"/>
      <c r="Q99" s="124"/>
      <c r="R99" s="80"/>
      <c r="S99" s="80"/>
      <c r="T99" s="80"/>
      <c r="U99" s="80"/>
      <c r="V99" s="80"/>
      <c r="W99" s="80"/>
      <c r="X99" s="80"/>
    </row>
    <row r="100" spans="1:24" ht="35.1" customHeight="1" x14ac:dyDescent="0.25">
      <c r="A100" s="1628"/>
      <c r="B100" s="1629"/>
      <c r="C100" s="1626"/>
      <c r="D100" s="1659"/>
      <c r="E100" s="1659"/>
      <c r="F100" s="1627"/>
      <c r="G100" s="123"/>
      <c r="M100" s="80"/>
      <c r="N100" s="80"/>
      <c r="O100" s="80"/>
      <c r="Q100" s="124"/>
      <c r="R100" s="80"/>
      <c r="S100" s="80"/>
      <c r="T100" s="80"/>
      <c r="U100" s="80"/>
      <c r="V100" s="80"/>
      <c r="W100" s="80"/>
      <c r="X100" s="80"/>
    </row>
    <row r="101" spans="1:24" ht="35.1" customHeight="1" x14ac:dyDescent="0.25">
      <c r="A101" s="1628"/>
      <c r="B101" s="1629"/>
      <c r="C101" s="1626"/>
      <c r="D101" s="1659"/>
      <c r="E101" s="1659"/>
      <c r="F101" s="1627"/>
      <c r="G101" s="123"/>
      <c r="M101" s="80"/>
      <c r="N101" s="80"/>
      <c r="O101" s="80"/>
      <c r="Q101" s="124"/>
      <c r="R101" s="80"/>
      <c r="S101" s="80"/>
      <c r="T101" s="80"/>
      <c r="U101" s="80"/>
      <c r="V101" s="80"/>
      <c r="W101" s="80"/>
      <c r="X101" s="80"/>
    </row>
    <row r="102" spans="1:24" ht="35.1" customHeight="1" x14ac:dyDescent="0.25">
      <c r="A102" s="1628"/>
      <c r="B102" s="1629"/>
      <c r="C102" s="1626"/>
      <c r="D102" s="1659"/>
      <c r="E102" s="1659"/>
      <c r="F102" s="1627"/>
      <c r="G102" s="123"/>
      <c r="M102" s="80"/>
      <c r="N102" s="80"/>
      <c r="O102" s="80"/>
      <c r="Q102" s="124"/>
      <c r="R102" s="80"/>
      <c r="S102" s="80"/>
      <c r="T102" s="80"/>
      <c r="U102" s="80"/>
      <c r="V102" s="80"/>
      <c r="W102" s="80"/>
      <c r="X102" s="80"/>
    </row>
    <row r="103" spans="1:24" ht="35.1" customHeight="1" x14ac:dyDescent="0.25">
      <c r="A103" s="1628"/>
      <c r="B103" s="1629"/>
      <c r="C103" s="1626"/>
      <c r="D103" s="1659"/>
      <c r="E103" s="1659"/>
      <c r="F103" s="1627"/>
      <c r="G103" s="123"/>
      <c r="M103" s="80"/>
      <c r="N103" s="80"/>
      <c r="O103" s="80"/>
      <c r="Q103" s="124"/>
      <c r="R103" s="80"/>
      <c r="S103" s="80"/>
      <c r="T103" s="80"/>
      <c r="U103" s="80"/>
      <c r="V103" s="80"/>
      <c r="W103" s="80"/>
      <c r="X103" s="80"/>
    </row>
    <row r="104" spans="1:24" ht="35.1" customHeight="1" x14ac:dyDescent="0.25">
      <c r="A104" s="1628"/>
      <c r="B104" s="1629"/>
      <c r="C104" s="1626"/>
      <c r="D104" s="1659"/>
      <c r="E104" s="1659"/>
      <c r="F104" s="1627"/>
      <c r="G104" s="123"/>
      <c r="M104" s="80"/>
      <c r="N104" s="80"/>
      <c r="O104" s="80"/>
      <c r="Q104" s="124"/>
      <c r="R104" s="80"/>
      <c r="S104" s="80"/>
      <c r="T104" s="80"/>
      <c r="U104" s="80"/>
      <c r="V104" s="80"/>
      <c r="W104" s="80"/>
      <c r="X104" s="80"/>
    </row>
    <row r="105" spans="1:24" ht="35.1" customHeight="1" x14ac:dyDescent="0.25">
      <c r="A105" s="1628"/>
      <c r="B105" s="1629"/>
      <c r="C105" s="1626"/>
      <c r="D105" s="1659"/>
      <c r="E105" s="1659"/>
      <c r="F105" s="1627"/>
      <c r="G105" s="123"/>
      <c r="M105" s="80"/>
      <c r="N105" s="80"/>
      <c r="O105" s="80"/>
      <c r="Q105" s="124"/>
      <c r="R105" s="80"/>
      <c r="S105" s="80"/>
      <c r="T105" s="80"/>
      <c r="U105" s="80"/>
      <c r="V105" s="80"/>
      <c r="W105" s="80"/>
      <c r="X105" s="80"/>
    </row>
    <row r="106" spans="1:24" ht="35.1" customHeight="1" thickBot="1" x14ac:dyDescent="0.3">
      <c r="A106" s="1628"/>
      <c r="B106" s="1629"/>
      <c r="C106" s="1626"/>
      <c r="D106" s="1659"/>
      <c r="E106" s="1659"/>
      <c r="F106" s="1627"/>
      <c r="G106" s="123"/>
      <c r="M106" s="80"/>
      <c r="N106" s="80"/>
      <c r="O106" s="80"/>
      <c r="Q106" s="124"/>
      <c r="R106" s="80"/>
      <c r="S106" s="80"/>
      <c r="T106" s="80"/>
      <c r="U106" s="80"/>
      <c r="V106" s="80"/>
      <c r="W106" s="80"/>
      <c r="X106" s="80"/>
    </row>
    <row r="107" spans="1:24" ht="30" customHeight="1" thickBot="1" x14ac:dyDescent="0.3">
      <c r="A107" s="904" t="s">
        <v>1682</v>
      </c>
      <c r="B107" s="905"/>
      <c r="C107" s="905"/>
      <c r="D107" s="905"/>
      <c r="E107" s="905"/>
      <c r="F107" s="906"/>
    </row>
    <row r="108" spans="1:24" ht="20.100000000000001" customHeight="1" x14ac:dyDescent="0.25">
      <c r="A108" s="1647" t="s">
        <v>1659</v>
      </c>
      <c r="B108" s="1645"/>
      <c r="C108" s="1640" t="s">
        <v>1683</v>
      </c>
      <c r="D108" s="1657"/>
      <c r="E108" s="1657"/>
      <c r="F108" s="1641"/>
      <c r="M108" s="124"/>
      <c r="N108" s="124"/>
      <c r="O108" s="124"/>
      <c r="Q108" s="124"/>
      <c r="R108" s="124"/>
    </row>
    <row r="109" spans="1:24" ht="20.100000000000001" customHeight="1" thickBot="1" x14ac:dyDescent="0.3">
      <c r="A109" s="1646" t="s">
        <v>1679</v>
      </c>
      <c r="B109" s="1644"/>
      <c r="C109" s="1642"/>
      <c r="D109" s="1658"/>
      <c r="E109" s="1658"/>
      <c r="F109" s="1643"/>
      <c r="M109" s="124"/>
      <c r="N109" s="124"/>
      <c r="O109" s="124"/>
      <c r="Q109" s="124"/>
      <c r="R109" s="124"/>
    </row>
    <row r="110" spans="1:24" ht="35.1" customHeight="1" x14ac:dyDescent="0.25">
      <c r="A110" s="1628"/>
      <c r="B110" s="1629"/>
      <c r="C110" s="1626"/>
      <c r="D110" s="1659"/>
      <c r="E110" s="1659"/>
      <c r="F110" s="1627"/>
      <c r="G110" s="123"/>
      <c r="M110" s="80"/>
      <c r="N110" s="80"/>
      <c r="O110" s="80"/>
      <c r="Q110" s="124"/>
      <c r="R110" s="80"/>
      <c r="S110" s="80"/>
      <c r="T110" s="80"/>
      <c r="U110" s="80"/>
      <c r="V110" s="80"/>
      <c r="W110" s="80"/>
      <c r="X110" s="80"/>
    </row>
    <row r="111" spans="1:24" ht="35.1" customHeight="1" x14ac:dyDescent="0.25">
      <c r="A111" s="1628"/>
      <c r="B111" s="1629"/>
      <c r="C111" s="1626"/>
      <c r="D111" s="1659"/>
      <c r="E111" s="1659"/>
      <c r="F111" s="1627"/>
      <c r="G111" s="123"/>
      <c r="M111" s="80"/>
      <c r="N111" s="80"/>
      <c r="O111" s="80"/>
      <c r="Q111" s="124"/>
      <c r="R111" s="80"/>
      <c r="S111" s="80"/>
      <c r="T111" s="80"/>
      <c r="U111" s="80"/>
      <c r="V111" s="80"/>
      <c r="W111" s="80"/>
      <c r="X111" s="80"/>
    </row>
    <row r="112" spans="1:24" ht="35.1" customHeight="1" x14ac:dyDescent="0.25">
      <c r="A112" s="1628"/>
      <c r="B112" s="1629"/>
      <c r="C112" s="1626"/>
      <c r="D112" s="1659"/>
      <c r="E112" s="1659"/>
      <c r="F112" s="1627"/>
      <c r="G112" s="123"/>
      <c r="M112" s="80"/>
      <c r="N112" s="80"/>
      <c r="O112" s="80"/>
      <c r="Q112" s="124"/>
      <c r="R112" s="80"/>
      <c r="S112" s="80"/>
      <c r="T112" s="80"/>
      <c r="U112" s="80"/>
      <c r="V112" s="80"/>
      <c r="W112" s="80"/>
      <c r="X112" s="80"/>
    </row>
    <row r="113" spans="1:24" ht="35.1" customHeight="1" x14ac:dyDescent="0.25">
      <c r="A113" s="1628"/>
      <c r="B113" s="1629"/>
      <c r="C113" s="1626"/>
      <c r="D113" s="1659"/>
      <c r="E113" s="1659"/>
      <c r="F113" s="1627"/>
      <c r="G113" s="123"/>
      <c r="M113" s="80"/>
      <c r="N113" s="80"/>
      <c r="O113" s="80"/>
      <c r="Q113" s="124"/>
      <c r="R113" s="80"/>
      <c r="S113" s="80"/>
      <c r="T113" s="80"/>
      <c r="U113" s="80"/>
      <c r="V113" s="80"/>
      <c r="W113" s="80"/>
      <c r="X113" s="80"/>
    </row>
    <row r="114" spans="1:24" ht="35.1" customHeight="1" x14ac:dyDescent="0.25">
      <c r="A114" s="1628"/>
      <c r="B114" s="1629"/>
      <c r="C114" s="1626"/>
      <c r="D114" s="1659"/>
      <c r="E114" s="1659"/>
      <c r="F114" s="1627"/>
      <c r="G114" s="123"/>
      <c r="M114" s="80"/>
      <c r="N114" s="80"/>
      <c r="O114" s="80"/>
      <c r="Q114" s="124"/>
      <c r="R114" s="80"/>
      <c r="S114" s="80"/>
      <c r="T114" s="80"/>
      <c r="U114" s="80"/>
      <c r="V114" s="80"/>
      <c r="W114" s="80"/>
      <c r="X114" s="80"/>
    </row>
    <row r="115" spans="1:24" ht="35.1" customHeight="1" x14ac:dyDescent="0.25">
      <c r="A115" s="1628"/>
      <c r="B115" s="1629"/>
      <c r="C115" s="1626"/>
      <c r="D115" s="1659"/>
      <c r="E115" s="1659"/>
      <c r="F115" s="1627"/>
      <c r="G115" s="123"/>
      <c r="M115" s="80"/>
      <c r="N115" s="80"/>
      <c r="O115" s="80"/>
      <c r="Q115" s="124"/>
      <c r="R115" s="80"/>
      <c r="S115" s="80"/>
      <c r="T115" s="80"/>
      <c r="U115" s="80"/>
      <c r="V115" s="80"/>
      <c r="W115" s="80"/>
      <c r="X115" s="80"/>
    </row>
    <row r="116" spans="1:24" ht="35.1" customHeight="1" x14ac:dyDescent="0.25">
      <c r="A116" s="1628"/>
      <c r="B116" s="1629"/>
      <c r="C116" s="1626"/>
      <c r="D116" s="1659"/>
      <c r="E116" s="1659"/>
      <c r="F116" s="1627"/>
      <c r="G116" s="123"/>
      <c r="M116" s="80"/>
      <c r="N116" s="80"/>
      <c r="O116" s="80"/>
      <c r="Q116" s="124"/>
      <c r="R116" s="80"/>
      <c r="S116" s="80"/>
      <c r="T116" s="80"/>
      <c r="U116" s="80"/>
      <c r="V116" s="80"/>
      <c r="W116" s="80"/>
      <c r="X116" s="80"/>
    </row>
    <row r="117" spans="1:24" ht="35.1" customHeight="1" x14ac:dyDescent="0.25">
      <c r="A117" s="1628"/>
      <c r="B117" s="1629"/>
      <c r="C117" s="1626"/>
      <c r="D117" s="1659"/>
      <c r="E117" s="1659"/>
      <c r="F117" s="1627"/>
      <c r="G117" s="123"/>
      <c r="M117" s="80"/>
      <c r="N117" s="80"/>
      <c r="O117" s="80"/>
      <c r="Q117" s="124"/>
      <c r="R117" s="80"/>
      <c r="S117" s="80"/>
      <c r="T117" s="80"/>
      <c r="U117" s="80"/>
      <c r="V117" s="80"/>
      <c r="W117" s="80"/>
      <c r="X117" s="80"/>
    </row>
    <row r="118" spans="1:24" ht="35.1" customHeight="1" x14ac:dyDescent="0.25">
      <c r="A118" s="1628"/>
      <c r="B118" s="1629"/>
      <c r="C118" s="1626"/>
      <c r="D118" s="1659"/>
      <c r="E118" s="1659"/>
      <c r="F118" s="1627"/>
      <c r="G118" s="123"/>
      <c r="M118" s="80"/>
      <c r="N118" s="80"/>
      <c r="O118" s="80"/>
      <c r="Q118" s="124"/>
      <c r="R118" s="80"/>
      <c r="S118" s="80"/>
      <c r="T118" s="80"/>
      <c r="U118" s="80"/>
      <c r="V118" s="80"/>
      <c r="W118" s="80"/>
      <c r="X118" s="80"/>
    </row>
    <row r="119" spans="1:24" ht="35.1" customHeight="1" x14ac:dyDescent="0.25">
      <c r="A119" s="1628"/>
      <c r="B119" s="1629"/>
      <c r="C119" s="1626"/>
      <c r="D119" s="1659"/>
      <c r="E119" s="1659"/>
      <c r="F119" s="1627"/>
      <c r="G119" s="123"/>
      <c r="M119" s="80"/>
      <c r="N119" s="80"/>
      <c r="O119" s="80"/>
      <c r="Q119" s="124"/>
      <c r="R119" s="80"/>
      <c r="S119" s="80"/>
      <c r="T119" s="80"/>
      <c r="U119" s="80"/>
      <c r="V119" s="80"/>
      <c r="W119" s="80"/>
      <c r="X119" s="80"/>
    </row>
    <row r="120" spans="1:24" ht="35.1" customHeight="1" x14ac:dyDescent="0.25">
      <c r="A120" s="1628"/>
      <c r="B120" s="1629"/>
      <c r="C120" s="1626"/>
      <c r="D120" s="1659"/>
      <c r="E120" s="1659"/>
      <c r="F120" s="1627"/>
      <c r="G120" s="123"/>
      <c r="M120" s="80"/>
      <c r="N120" s="80"/>
      <c r="O120" s="80"/>
      <c r="Q120" s="124"/>
      <c r="R120" s="80"/>
      <c r="S120" s="80"/>
      <c r="T120" s="80"/>
      <c r="U120" s="80"/>
      <c r="V120" s="80"/>
      <c r="W120" s="80"/>
      <c r="X120" s="80"/>
    </row>
    <row r="121" spans="1:24" ht="35.1" customHeight="1" x14ac:dyDescent="0.25">
      <c r="A121" s="1628"/>
      <c r="B121" s="1629"/>
      <c r="C121" s="1626"/>
      <c r="D121" s="1659"/>
      <c r="E121" s="1659"/>
      <c r="F121" s="1627"/>
      <c r="G121" s="123"/>
      <c r="M121" s="80"/>
      <c r="N121" s="80"/>
      <c r="O121" s="80"/>
      <c r="Q121" s="124"/>
      <c r="R121" s="80"/>
      <c r="S121" s="80"/>
      <c r="T121" s="80"/>
      <c r="U121" s="80"/>
      <c r="V121" s="80"/>
      <c r="W121" s="80"/>
      <c r="X121" s="80"/>
    </row>
    <row r="122" spans="1:24" ht="35.1" customHeight="1" x14ac:dyDescent="0.25">
      <c r="A122" s="1628"/>
      <c r="B122" s="1629"/>
      <c r="C122" s="1626"/>
      <c r="D122" s="1659"/>
      <c r="E122" s="1659"/>
      <c r="F122" s="1627"/>
      <c r="G122" s="123"/>
      <c r="M122" s="80"/>
      <c r="N122" s="80"/>
      <c r="O122" s="80"/>
      <c r="Q122" s="124"/>
      <c r="R122" s="80"/>
      <c r="S122" s="80"/>
      <c r="T122" s="80"/>
      <c r="U122" s="80"/>
      <c r="V122" s="80"/>
      <c r="W122" s="80"/>
      <c r="X122" s="80"/>
    </row>
    <row r="123" spans="1:24" ht="35.1" customHeight="1" x14ac:dyDescent="0.25">
      <c r="A123" s="1628"/>
      <c r="B123" s="1629"/>
      <c r="C123" s="1626"/>
      <c r="D123" s="1659"/>
      <c r="E123" s="1659"/>
      <c r="F123" s="1627"/>
      <c r="G123" s="123"/>
      <c r="M123" s="80"/>
      <c r="N123" s="80"/>
      <c r="O123" s="80"/>
      <c r="Q123" s="124"/>
      <c r="R123" s="80"/>
      <c r="S123" s="80"/>
      <c r="T123" s="80"/>
      <c r="U123" s="80"/>
      <c r="V123" s="80"/>
      <c r="W123" s="80"/>
      <c r="X123" s="80"/>
    </row>
    <row r="124" spans="1:24" ht="35.1" customHeight="1" x14ac:dyDescent="0.25">
      <c r="A124" s="1628"/>
      <c r="B124" s="1629"/>
      <c r="C124" s="1626"/>
      <c r="D124" s="1659"/>
      <c r="E124" s="1659"/>
      <c r="F124" s="1627"/>
      <c r="G124" s="123"/>
      <c r="M124" s="80"/>
      <c r="N124" s="80"/>
      <c r="O124" s="80"/>
      <c r="Q124" s="124"/>
      <c r="R124" s="80"/>
      <c r="S124" s="80"/>
      <c r="T124" s="80"/>
      <c r="U124" s="80"/>
      <c r="V124" s="80"/>
      <c r="W124" s="80"/>
      <c r="X124" s="80"/>
    </row>
    <row r="125" spans="1:24" ht="35.1" customHeight="1" x14ac:dyDescent="0.25">
      <c r="A125" s="1628"/>
      <c r="B125" s="1629"/>
      <c r="C125" s="1626"/>
      <c r="D125" s="1659"/>
      <c r="E125" s="1659"/>
      <c r="F125" s="1627"/>
      <c r="G125" s="123"/>
      <c r="M125" s="80"/>
      <c r="N125" s="80"/>
      <c r="O125" s="80"/>
      <c r="Q125" s="124"/>
      <c r="R125" s="80"/>
      <c r="S125" s="80"/>
      <c r="T125" s="80"/>
      <c r="U125" s="80"/>
      <c r="V125" s="80"/>
      <c r="W125" s="80"/>
      <c r="X125" s="80"/>
    </row>
    <row r="126" spans="1:24" ht="35.1" customHeight="1" x14ac:dyDescent="0.25">
      <c r="A126" s="1628"/>
      <c r="B126" s="1629"/>
      <c r="C126" s="1626"/>
      <c r="D126" s="1659"/>
      <c r="E126" s="1659"/>
      <c r="F126" s="1627"/>
      <c r="G126" s="123"/>
      <c r="M126" s="80"/>
      <c r="N126" s="80"/>
      <c r="O126" s="80"/>
      <c r="Q126" s="124"/>
      <c r="R126" s="80"/>
      <c r="S126" s="80"/>
      <c r="T126" s="80"/>
      <c r="U126" s="80"/>
      <c r="V126" s="80"/>
      <c r="W126" s="80"/>
      <c r="X126" s="80"/>
    </row>
    <row r="127" spans="1:24" ht="35.1" customHeight="1" x14ac:dyDescent="0.25">
      <c r="A127" s="1628"/>
      <c r="B127" s="1629"/>
      <c r="C127" s="1626"/>
      <c r="D127" s="1659"/>
      <c r="E127" s="1659"/>
      <c r="F127" s="1627"/>
      <c r="G127" s="123"/>
      <c r="M127" s="80"/>
      <c r="N127" s="80"/>
      <c r="O127" s="80"/>
      <c r="Q127" s="124"/>
      <c r="R127" s="80"/>
      <c r="S127" s="80"/>
      <c r="T127" s="80"/>
      <c r="U127" s="80"/>
      <c r="V127" s="80"/>
      <c r="W127" s="80"/>
      <c r="X127" s="80"/>
    </row>
    <row r="128" spans="1:24" ht="35.1" customHeight="1" x14ac:dyDescent="0.25">
      <c r="A128" s="1628"/>
      <c r="B128" s="1629"/>
      <c r="C128" s="1626"/>
      <c r="D128" s="1659"/>
      <c r="E128" s="1659"/>
      <c r="F128" s="1627"/>
      <c r="G128" s="123"/>
      <c r="M128" s="80"/>
      <c r="N128" s="80"/>
      <c r="O128" s="80"/>
      <c r="Q128" s="124"/>
      <c r="R128" s="80"/>
      <c r="S128" s="80"/>
      <c r="T128" s="80"/>
      <c r="U128" s="80"/>
      <c r="V128" s="80"/>
      <c r="W128" s="80"/>
      <c r="X128" s="80"/>
    </row>
    <row r="129" spans="1:24" ht="35.1" customHeight="1" thickBot="1" x14ac:dyDescent="0.3">
      <c r="A129" s="1652"/>
      <c r="B129" s="1653"/>
      <c r="C129" s="1654"/>
      <c r="D129" s="1655"/>
      <c r="E129" s="1655"/>
      <c r="F129" s="1656"/>
      <c r="G129" s="123"/>
      <c r="M129" s="80"/>
      <c r="N129" s="80"/>
      <c r="O129" s="80"/>
      <c r="Q129" s="124"/>
      <c r="R129" s="80"/>
      <c r="S129" s="80"/>
      <c r="T129" s="80"/>
      <c r="U129" s="80"/>
      <c r="V129" s="80"/>
      <c r="W129" s="80"/>
      <c r="X129" s="80"/>
    </row>
    <row r="130" spans="1:24" ht="20.100000000000001" customHeight="1" x14ac:dyDescent="0.25">
      <c r="A130" s="50"/>
    </row>
    <row r="131" spans="1:24" ht="20.100000000000001" customHeight="1" x14ac:dyDescent="0.25">
      <c r="A131" s="50"/>
    </row>
    <row r="132" spans="1:24" ht="20.100000000000001" customHeight="1" x14ac:dyDescent="0.25">
      <c r="A132" s="50"/>
    </row>
    <row r="133" spans="1:24" ht="20.100000000000001" customHeight="1" x14ac:dyDescent="0.25">
      <c r="A133" s="50"/>
    </row>
    <row r="134" spans="1:24" ht="20.100000000000001" customHeight="1" x14ac:dyDescent="0.25">
      <c r="A134" s="50"/>
    </row>
    <row r="135" spans="1:24" ht="20.100000000000001" customHeight="1" x14ac:dyDescent="0.25">
      <c r="A135" s="50"/>
    </row>
    <row r="136" spans="1:24" ht="20.100000000000001" customHeight="1" x14ac:dyDescent="0.25">
      <c r="A136" s="50"/>
    </row>
    <row r="137" spans="1:24" ht="20.100000000000001" customHeight="1" x14ac:dyDescent="0.25">
      <c r="A137" s="50"/>
    </row>
    <row r="138" spans="1:24" ht="20.100000000000001" customHeight="1" x14ac:dyDescent="0.25">
      <c r="A138" s="50"/>
    </row>
    <row r="139" spans="1:24" ht="20.100000000000001" customHeight="1" x14ac:dyDescent="0.25">
      <c r="A139" s="50"/>
    </row>
    <row r="140" spans="1:24" ht="20.100000000000001" customHeight="1" x14ac:dyDescent="0.25">
      <c r="A140" s="50"/>
    </row>
    <row r="141" spans="1:24" ht="20.100000000000001" customHeight="1" x14ac:dyDescent="0.25">
      <c r="A141" s="50"/>
    </row>
    <row r="142" spans="1:24" ht="20.100000000000001" customHeight="1" x14ac:dyDescent="0.25">
      <c r="A142" s="50"/>
    </row>
    <row r="143" spans="1:24" ht="20.100000000000001" customHeight="1" x14ac:dyDescent="0.25">
      <c r="A143" s="50"/>
    </row>
    <row r="144" spans="1:24" ht="20.100000000000001" customHeight="1" x14ac:dyDescent="0.25">
      <c r="A144" s="50"/>
    </row>
    <row r="145" spans="1:1" ht="20.100000000000001" customHeight="1" x14ac:dyDescent="0.25">
      <c r="A145" s="50"/>
    </row>
    <row r="146" spans="1:1" ht="20.100000000000001" customHeight="1" x14ac:dyDescent="0.25">
      <c r="A146" s="50"/>
    </row>
    <row r="147" spans="1:1" ht="20.100000000000001" customHeight="1" x14ac:dyDescent="0.25">
      <c r="A147" s="50"/>
    </row>
    <row r="148" spans="1:1" ht="20.100000000000001" customHeight="1" x14ac:dyDescent="0.25">
      <c r="A148" s="50"/>
    </row>
    <row r="149" spans="1:1" ht="20.100000000000001" customHeight="1" x14ac:dyDescent="0.25">
      <c r="A149" s="50"/>
    </row>
    <row r="150" spans="1:1" ht="20.100000000000001" customHeight="1" x14ac:dyDescent="0.25">
      <c r="A150" s="50"/>
    </row>
    <row r="151" spans="1:1" ht="20.100000000000001" customHeight="1" x14ac:dyDescent="0.25">
      <c r="A151" s="50"/>
    </row>
    <row r="152" spans="1:1" ht="20.100000000000001" customHeight="1" x14ac:dyDescent="0.25">
      <c r="A152" s="50"/>
    </row>
    <row r="153" spans="1:1" ht="20.100000000000001" customHeight="1" x14ac:dyDescent="0.25">
      <c r="A153" s="50"/>
    </row>
    <row r="154" spans="1:1" ht="20.100000000000001" customHeight="1" x14ac:dyDescent="0.25">
      <c r="A154" s="50"/>
    </row>
    <row r="155" spans="1:1" ht="20.100000000000001" customHeight="1" x14ac:dyDescent="0.25">
      <c r="A155" s="50"/>
    </row>
    <row r="156" spans="1:1" ht="20.100000000000001" customHeight="1" x14ac:dyDescent="0.25">
      <c r="A156" s="50"/>
    </row>
    <row r="157" spans="1:1" ht="20.100000000000001" customHeight="1" x14ac:dyDescent="0.25">
      <c r="A157" s="50"/>
    </row>
    <row r="158" spans="1:1" ht="20.100000000000001" customHeight="1" x14ac:dyDescent="0.25">
      <c r="A158" s="50"/>
    </row>
    <row r="159" spans="1:1" ht="20.100000000000001" customHeight="1" x14ac:dyDescent="0.25">
      <c r="A159" s="50"/>
    </row>
    <row r="160" spans="1:1" ht="20.100000000000001" customHeight="1" x14ac:dyDescent="0.25">
      <c r="A160" s="50"/>
    </row>
    <row r="161" spans="1:1" ht="20.100000000000001" customHeight="1" x14ac:dyDescent="0.25">
      <c r="A161" s="50"/>
    </row>
    <row r="162" spans="1:1" ht="20.100000000000001" customHeight="1" x14ac:dyDescent="0.25">
      <c r="A162" s="50"/>
    </row>
    <row r="163" spans="1:1" ht="20.100000000000001" customHeight="1" x14ac:dyDescent="0.25">
      <c r="A163" s="50"/>
    </row>
    <row r="164" spans="1:1" ht="20.100000000000001" customHeight="1" x14ac:dyDescent="0.25">
      <c r="A164" s="50"/>
    </row>
    <row r="165" spans="1:1" ht="20.100000000000001" customHeight="1" x14ac:dyDescent="0.25">
      <c r="A165" s="50"/>
    </row>
    <row r="166" spans="1:1" ht="20.100000000000001" customHeight="1" x14ac:dyDescent="0.25">
      <c r="A166" s="50"/>
    </row>
    <row r="167" spans="1:1" ht="20.100000000000001" customHeight="1" x14ac:dyDescent="0.25">
      <c r="A167" s="50"/>
    </row>
    <row r="168" spans="1:1" ht="20.100000000000001" customHeight="1" x14ac:dyDescent="0.25">
      <c r="A168" s="50"/>
    </row>
    <row r="169" spans="1:1" ht="20.100000000000001" customHeight="1" x14ac:dyDescent="0.25">
      <c r="A169" s="50"/>
    </row>
    <row r="170" spans="1:1" ht="20.100000000000001" customHeight="1" x14ac:dyDescent="0.25">
      <c r="A170" s="50"/>
    </row>
    <row r="171" spans="1:1" ht="20.100000000000001" customHeight="1" x14ac:dyDescent="0.25">
      <c r="A171" s="50"/>
    </row>
    <row r="172" spans="1:1" ht="20.100000000000001" customHeight="1" x14ac:dyDescent="0.25">
      <c r="A172" s="50"/>
    </row>
    <row r="173" spans="1:1" ht="20.100000000000001" customHeight="1" x14ac:dyDescent="0.25">
      <c r="A173" s="50"/>
    </row>
    <row r="174" spans="1:1" ht="20.100000000000001" customHeight="1" x14ac:dyDescent="0.25">
      <c r="A174" s="50"/>
    </row>
    <row r="175" spans="1:1" ht="20.100000000000001" customHeight="1" x14ac:dyDescent="0.25">
      <c r="A175" s="50"/>
    </row>
    <row r="176" spans="1:1" ht="20.100000000000001" customHeight="1" x14ac:dyDescent="0.25">
      <c r="A176" s="50"/>
    </row>
    <row r="177" spans="1:1" ht="20.100000000000001" customHeight="1" x14ac:dyDescent="0.25">
      <c r="A177" s="50"/>
    </row>
    <row r="178" spans="1:1" ht="20.100000000000001" customHeight="1" x14ac:dyDescent="0.25">
      <c r="A178" s="50"/>
    </row>
    <row r="179" spans="1:1" ht="20.100000000000001" customHeight="1" x14ac:dyDescent="0.25">
      <c r="A179" s="50"/>
    </row>
    <row r="180" spans="1:1" ht="20.100000000000001" customHeight="1" x14ac:dyDescent="0.25">
      <c r="A180" s="50"/>
    </row>
    <row r="181" spans="1:1" ht="20.100000000000001" customHeight="1" x14ac:dyDescent="0.25">
      <c r="A181" s="50"/>
    </row>
    <row r="182" spans="1:1" ht="20.100000000000001" customHeight="1" x14ac:dyDescent="0.25">
      <c r="A182" s="50"/>
    </row>
    <row r="183" spans="1:1" ht="20.100000000000001" customHeight="1" x14ac:dyDescent="0.25">
      <c r="A183" s="50"/>
    </row>
    <row r="184" spans="1:1" ht="20.100000000000001" customHeight="1" x14ac:dyDescent="0.25">
      <c r="A184" s="50"/>
    </row>
    <row r="185" spans="1:1" ht="20.100000000000001" customHeight="1" x14ac:dyDescent="0.25">
      <c r="A185" s="50"/>
    </row>
    <row r="186" spans="1:1" ht="20.100000000000001" customHeight="1" x14ac:dyDescent="0.25">
      <c r="A186" s="50"/>
    </row>
    <row r="187" spans="1:1" ht="20.100000000000001" customHeight="1" x14ac:dyDescent="0.25">
      <c r="A187" s="50"/>
    </row>
    <row r="188" spans="1:1" ht="20.100000000000001" customHeight="1" x14ac:dyDescent="0.25">
      <c r="A188" s="50"/>
    </row>
    <row r="189" spans="1:1" ht="20.100000000000001" customHeight="1" x14ac:dyDescent="0.25">
      <c r="A189" s="50"/>
    </row>
    <row r="190" spans="1:1" ht="20.100000000000001" customHeight="1" x14ac:dyDescent="0.25">
      <c r="A190" s="50"/>
    </row>
  </sheetData>
  <sheetProtection algorithmName="SHA-512" hashValue="ZTUe1BAcqrTTFB8bmsmUDp8kNay0WqO9U7Cl/DvWneNAEJkJzZ7EcyuLJR/IcLH4caCCmly2+L2NGU4/SPcnPw==" saltValue="2+xbW0BCgwLeyGqqSWOYQA==" spinCount="100000" sheet="1" objects="1" scenarios="1"/>
  <mergeCells count="268">
    <mergeCell ref="E57:F57"/>
    <mergeCell ref="A97:B97"/>
    <mergeCell ref="C97:F97"/>
    <mergeCell ref="C90:F90"/>
    <mergeCell ref="C89:F89"/>
    <mergeCell ref="C91:F91"/>
    <mergeCell ref="C92:F92"/>
    <mergeCell ref="C93:F93"/>
    <mergeCell ref="A127:B127"/>
    <mergeCell ref="A122:B122"/>
    <mergeCell ref="A123:B123"/>
    <mergeCell ref="C122:F122"/>
    <mergeCell ref="C123:F123"/>
    <mergeCell ref="A120:B120"/>
    <mergeCell ref="A121:B121"/>
    <mergeCell ref="C120:F120"/>
    <mergeCell ref="C121:F121"/>
    <mergeCell ref="A118:B118"/>
    <mergeCell ref="A119:B119"/>
    <mergeCell ref="C118:F118"/>
    <mergeCell ref="C119:F119"/>
    <mergeCell ref="A116:B116"/>
    <mergeCell ref="A117:B117"/>
    <mergeCell ref="C116:F116"/>
    <mergeCell ref="A128:B128"/>
    <mergeCell ref="C127:F127"/>
    <mergeCell ref="C128:F128"/>
    <mergeCell ref="A126:B126"/>
    <mergeCell ref="C126:F126"/>
    <mergeCell ref="A124:B124"/>
    <mergeCell ref="A125:B125"/>
    <mergeCell ref="C124:F124"/>
    <mergeCell ref="C125:F125"/>
    <mergeCell ref="C117:F117"/>
    <mergeCell ref="A114:B114"/>
    <mergeCell ref="A115:B115"/>
    <mergeCell ref="C114:F114"/>
    <mergeCell ref="C115:F115"/>
    <mergeCell ref="A112:B112"/>
    <mergeCell ref="A113:B113"/>
    <mergeCell ref="C112:F112"/>
    <mergeCell ref="C113:F113"/>
    <mergeCell ref="A110:B110"/>
    <mergeCell ref="A111:B111"/>
    <mergeCell ref="C110:F110"/>
    <mergeCell ref="C111:F111"/>
    <mergeCell ref="A106:B106"/>
    <mergeCell ref="A107:F107"/>
    <mergeCell ref="A108:B108"/>
    <mergeCell ref="A109:B109"/>
    <mergeCell ref="C106:F106"/>
    <mergeCell ref="C108:F109"/>
    <mergeCell ref="A94:B94"/>
    <mergeCell ref="C94:F94"/>
    <mergeCell ref="A104:B104"/>
    <mergeCell ref="A105:B105"/>
    <mergeCell ref="C104:F104"/>
    <mergeCell ref="C105:F105"/>
    <mergeCell ref="A102:B102"/>
    <mergeCell ref="A103:B103"/>
    <mergeCell ref="C102:F102"/>
    <mergeCell ref="C103:F103"/>
    <mergeCell ref="A100:B100"/>
    <mergeCell ref="A101:B101"/>
    <mergeCell ref="C100:F100"/>
    <mergeCell ref="C101:F101"/>
    <mergeCell ref="E63:F64"/>
    <mergeCell ref="A64:B64"/>
    <mergeCell ref="C64:D64"/>
    <mergeCell ref="A89:B89"/>
    <mergeCell ref="A78:B78"/>
    <mergeCell ref="C78:D78"/>
    <mergeCell ref="A79:B79"/>
    <mergeCell ref="C79:D79"/>
    <mergeCell ref="A80:B80"/>
    <mergeCell ref="C80:D80"/>
    <mergeCell ref="A73:B73"/>
    <mergeCell ref="C73:D73"/>
    <mergeCell ref="A74:B74"/>
    <mergeCell ref="C74:D74"/>
    <mergeCell ref="A75:B75"/>
    <mergeCell ref="C75:D75"/>
    <mergeCell ref="A70:B70"/>
    <mergeCell ref="C70:D70"/>
    <mergeCell ref="A71:B71"/>
    <mergeCell ref="C71:D71"/>
    <mergeCell ref="A72:B72"/>
    <mergeCell ref="C72:D72"/>
    <mergeCell ref="A66:B66"/>
    <mergeCell ref="C66:D66"/>
    <mergeCell ref="A90:B90"/>
    <mergeCell ref="A91:B91"/>
    <mergeCell ref="A129:B129"/>
    <mergeCell ref="C129:F129"/>
    <mergeCell ref="A82:B82"/>
    <mergeCell ref="C82:D82"/>
    <mergeCell ref="A83:B83"/>
    <mergeCell ref="C83:D83"/>
    <mergeCell ref="A84:B84"/>
    <mergeCell ref="C84:D84"/>
    <mergeCell ref="A92:B92"/>
    <mergeCell ref="A93:B93"/>
    <mergeCell ref="A86:F86"/>
    <mergeCell ref="A87:B87"/>
    <mergeCell ref="A88:B88"/>
    <mergeCell ref="C87:F88"/>
    <mergeCell ref="A98:B98"/>
    <mergeCell ref="A99:B99"/>
    <mergeCell ref="C98:F98"/>
    <mergeCell ref="C99:F99"/>
    <mergeCell ref="A95:B95"/>
    <mergeCell ref="A96:B96"/>
    <mergeCell ref="C95:F95"/>
    <mergeCell ref="C96:F96"/>
    <mergeCell ref="A67:B67"/>
    <mergeCell ref="C67:D67"/>
    <mergeCell ref="A68:B68"/>
    <mergeCell ref="C68:D68"/>
    <mergeCell ref="A56:B56"/>
    <mergeCell ref="C56:D56"/>
    <mergeCell ref="A58:B58"/>
    <mergeCell ref="C58:D58"/>
    <mergeCell ref="A59:B59"/>
    <mergeCell ref="C59:D59"/>
    <mergeCell ref="A63:B63"/>
    <mergeCell ref="C63:D63"/>
    <mergeCell ref="A51:B51"/>
    <mergeCell ref="C51:D51"/>
    <mergeCell ref="A52:B52"/>
    <mergeCell ref="C52:D52"/>
    <mergeCell ref="A53:B53"/>
    <mergeCell ref="C53:D53"/>
    <mergeCell ref="A54:B54"/>
    <mergeCell ref="A55:B55"/>
    <mergeCell ref="A57:B57"/>
    <mergeCell ref="C57:D57"/>
    <mergeCell ref="E67:F67"/>
    <mergeCell ref="E68:F68"/>
    <mergeCell ref="E69:F69"/>
    <mergeCell ref="E70:F70"/>
    <mergeCell ref="E71:F71"/>
    <mergeCell ref="E72:F72"/>
    <mergeCell ref="A41:F41"/>
    <mergeCell ref="G41:K41"/>
    <mergeCell ref="E42:F43"/>
    <mergeCell ref="C43:D43"/>
    <mergeCell ref="C42:D42"/>
    <mergeCell ref="A43:B43"/>
    <mergeCell ref="A42:B42"/>
    <mergeCell ref="C45:D45"/>
    <mergeCell ref="C44:D44"/>
    <mergeCell ref="A45:B45"/>
    <mergeCell ref="E48:F48"/>
    <mergeCell ref="E49:F49"/>
    <mergeCell ref="E44:F44"/>
    <mergeCell ref="E45:F45"/>
    <mergeCell ref="E46:F46"/>
    <mergeCell ref="E47:F47"/>
    <mergeCell ref="A44:B44"/>
    <mergeCell ref="A46:B46"/>
    <mergeCell ref="A34:C34"/>
    <mergeCell ref="E34:F34"/>
    <mergeCell ref="A28:C28"/>
    <mergeCell ref="E28:F28"/>
    <mergeCell ref="E75:F75"/>
    <mergeCell ref="E76:F76"/>
    <mergeCell ref="E77:F77"/>
    <mergeCell ref="A76:B76"/>
    <mergeCell ref="C76:D76"/>
    <mergeCell ref="A77:B77"/>
    <mergeCell ref="C77:D77"/>
    <mergeCell ref="E60:F60"/>
    <mergeCell ref="E61:F61"/>
    <mergeCell ref="E65:F65"/>
    <mergeCell ref="A60:B60"/>
    <mergeCell ref="C60:D60"/>
    <mergeCell ref="A61:B61"/>
    <mergeCell ref="C61:D61"/>
    <mergeCell ref="A65:B65"/>
    <mergeCell ref="C65:D65"/>
    <mergeCell ref="A62:F62"/>
    <mergeCell ref="E66:F66"/>
    <mergeCell ref="E29:F29"/>
    <mergeCell ref="A30:C30"/>
    <mergeCell ref="E30:F30"/>
    <mergeCell ref="A31:C31"/>
    <mergeCell ref="E31:F31"/>
    <mergeCell ref="A32:C32"/>
    <mergeCell ref="E32:F32"/>
    <mergeCell ref="A33:C33"/>
    <mergeCell ref="E33:F33"/>
    <mergeCell ref="A19:L19"/>
    <mergeCell ref="A9:L9"/>
    <mergeCell ref="A6:L6"/>
    <mergeCell ref="A2:L2"/>
    <mergeCell ref="A1:L1"/>
    <mergeCell ref="B3:L3"/>
    <mergeCell ref="B4:L4"/>
    <mergeCell ref="B5:L5"/>
    <mergeCell ref="A7:L7"/>
    <mergeCell ref="A18:L18"/>
    <mergeCell ref="A8:L8"/>
    <mergeCell ref="B10:L10"/>
    <mergeCell ref="B11:L11"/>
    <mergeCell ref="B12:L12"/>
    <mergeCell ref="B13:L13"/>
    <mergeCell ref="B14:L14"/>
    <mergeCell ref="B15:L15"/>
    <mergeCell ref="B16:L16"/>
    <mergeCell ref="B17:L17"/>
    <mergeCell ref="A85:F85"/>
    <mergeCell ref="E78:F78"/>
    <mergeCell ref="E79:F79"/>
    <mergeCell ref="E80:F80"/>
    <mergeCell ref="E81:F81"/>
    <mergeCell ref="E82:F82"/>
    <mergeCell ref="E83:F83"/>
    <mergeCell ref="E84:F84"/>
    <mergeCell ref="A81:B81"/>
    <mergeCell ref="C81:D81"/>
    <mergeCell ref="E73:F73"/>
    <mergeCell ref="E74:F74"/>
    <mergeCell ref="A69:B69"/>
    <mergeCell ref="C69:D69"/>
    <mergeCell ref="C46:D46"/>
    <mergeCell ref="E51:F51"/>
    <mergeCell ref="E52:F52"/>
    <mergeCell ref="E53:F53"/>
    <mergeCell ref="E54:F54"/>
    <mergeCell ref="E55:F55"/>
    <mergeCell ref="E56:F56"/>
    <mergeCell ref="E58:F58"/>
    <mergeCell ref="E59:F59"/>
    <mergeCell ref="C54:D54"/>
    <mergeCell ref="C55:D55"/>
    <mergeCell ref="E50:F50"/>
    <mergeCell ref="A50:B50"/>
    <mergeCell ref="C50:D50"/>
    <mergeCell ref="A47:B47"/>
    <mergeCell ref="C47:D47"/>
    <mergeCell ref="A48:B48"/>
    <mergeCell ref="C48:D48"/>
    <mergeCell ref="A49:B49"/>
    <mergeCell ref="C49:D49"/>
    <mergeCell ref="A20:F20"/>
    <mergeCell ref="A21:F21"/>
    <mergeCell ref="A22:F22"/>
    <mergeCell ref="A23:F23"/>
    <mergeCell ref="A27:C27"/>
    <mergeCell ref="E27:F27"/>
    <mergeCell ref="A40:F40"/>
    <mergeCell ref="A35:C35"/>
    <mergeCell ref="E35:F35"/>
    <mergeCell ref="A36:C36"/>
    <mergeCell ref="E36:F36"/>
    <mergeCell ref="A37:C37"/>
    <mergeCell ref="E37:F37"/>
    <mergeCell ref="A38:C38"/>
    <mergeCell ref="E38:F38"/>
    <mergeCell ref="A39:C39"/>
    <mergeCell ref="E39:F39"/>
    <mergeCell ref="A24:C24"/>
    <mergeCell ref="E24:F24"/>
    <mergeCell ref="E26:F26"/>
    <mergeCell ref="A26:C26"/>
    <mergeCell ref="E25:F25"/>
    <mergeCell ref="A25:C25"/>
    <mergeCell ref="A29:C29"/>
  </mergeCells>
  <conditionalFormatting sqref="C44:D61">
    <cfRule type="expression" dxfId="37" priority="3">
      <formula>AND(NOT(ISBLANK(A44)),ISBLANK(C44))</formula>
    </cfRule>
  </conditionalFormatting>
  <conditionalFormatting sqref="C65:D84 C110:F129">
    <cfRule type="expression" dxfId="36" priority="5">
      <formula>AND(NOT(ISBLANK(A65)),ISBLANK(C65))</formula>
    </cfRule>
  </conditionalFormatting>
  <conditionalFormatting sqref="C89:F106">
    <cfRule type="expression" dxfId="35" priority="1">
      <formula>AND(NOT(ISBLANK(A89)),ISBLANK(C89))</formula>
    </cfRule>
  </conditionalFormatting>
  <conditionalFormatting sqref="D25:D39">
    <cfRule type="expression" dxfId="34" priority="8">
      <formula>Q25=FALSE</formula>
    </cfRule>
  </conditionalFormatting>
  <conditionalFormatting sqref="E25:E39">
    <cfRule type="expression" dxfId="33" priority="9">
      <formula>AND(Q25=TRUE,ISBLANK(E25))</formula>
    </cfRule>
  </conditionalFormatting>
  <conditionalFormatting sqref="E44:F61">
    <cfRule type="expression" dxfId="32" priority="2">
      <formula>AND(NOT(ISBLANK(A44)),NOT(ISBLANK(C44)),ISBLANK(E44))</formula>
    </cfRule>
  </conditionalFormatting>
  <conditionalFormatting sqref="E65:F84">
    <cfRule type="expression" dxfId="31" priority="4">
      <formula>AND(NOT(ISBLANK(A65)),NOT(ISBLANK(C65)),ISBLANK(E65))</formula>
    </cfRule>
  </conditionalFormatting>
  <hyperlinks>
    <hyperlink ref="A7:L7" r:id="rId1" display="Lincoln-Lancaster County Air Pollution Control Program Regulations &amp; Standards (LLCAPCPRS)" xr:uid="{00000000-0004-0000-1600-000000000000}"/>
    <hyperlink ref="A9:L9" r:id="rId2" display="Title 40, Chapter 4 of the Code of Federal Regulations (40 CFR)" xr:uid="{00000000-0004-0000-1600-000001000000}"/>
  </hyperlinks>
  <printOptions horizontalCentered="1"/>
  <pageMargins left="0.5" right="0.5" top="0.5" bottom="0.5" header="0.3" footer="0.3"/>
  <pageSetup scale="83" fitToHeight="2" orientation="portrait" r:id="rId3"/>
  <headerFooter>
    <oddFooter>&amp;LRev. 7/2016&amp;C&amp;A&amp;RPage &amp;P</oddFooter>
  </headerFooter>
  <rowBreaks count="4" manualBreakCount="4">
    <brk id="39" max="5" man="1"/>
    <brk id="61" max="5" man="1"/>
    <brk id="84" max="5" man="1"/>
    <brk id="106" max="5" man="1"/>
  </rowBreaks>
  <drawing r:id="rId4"/>
  <legacyDrawing r:id="rId5"/>
  <mc:AlternateContent xmlns:mc="http://schemas.openxmlformats.org/markup-compatibility/2006">
    <mc:Choice Requires="x14">
      <controls>
        <mc:AlternateContent xmlns:mc="http://schemas.openxmlformats.org/markup-compatibility/2006">
          <mc:Choice Requires="x14">
            <control shapeId="64583" r:id="rId6" name="Check Box 71">
              <controlPr defaultSize="0" autoFill="0" autoLine="0" autoPict="0">
                <anchor moveWithCells="1">
                  <from>
                    <xdr:col>3</xdr:col>
                    <xdr:colOff>0</xdr:colOff>
                    <xdr:row>24</xdr:row>
                    <xdr:rowOff>19050</xdr:rowOff>
                  </from>
                  <to>
                    <xdr:col>3</xdr:col>
                    <xdr:colOff>781050</xdr:colOff>
                    <xdr:row>24</xdr:row>
                    <xdr:rowOff>228600</xdr:rowOff>
                  </to>
                </anchor>
              </controlPr>
            </control>
          </mc:Choice>
        </mc:AlternateContent>
        <mc:AlternateContent xmlns:mc="http://schemas.openxmlformats.org/markup-compatibility/2006">
          <mc:Choice Requires="x14">
            <control shapeId="64584" r:id="rId7" name="Check Box 72">
              <controlPr defaultSize="0" autoFill="0" autoLine="0" autoPict="0">
                <anchor moveWithCells="1">
                  <from>
                    <xdr:col>3</xdr:col>
                    <xdr:colOff>0</xdr:colOff>
                    <xdr:row>24</xdr:row>
                    <xdr:rowOff>219075</xdr:rowOff>
                  </from>
                  <to>
                    <xdr:col>3</xdr:col>
                    <xdr:colOff>781050</xdr:colOff>
                    <xdr:row>24</xdr:row>
                    <xdr:rowOff>428625</xdr:rowOff>
                  </to>
                </anchor>
              </controlPr>
            </control>
          </mc:Choice>
        </mc:AlternateContent>
        <mc:AlternateContent xmlns:mc="http://schemas.openxmlformats.org/markup-compatibility/2006">
          <mc:Choice Requires="x14">
            <control shapeId="64587" r:id="rId8" name="Check Box 75">
              <controlPr defaultSize="0" autoFill="0" autoLine="0" autoPict="0">
                <anchor moveWithCells="1">
                  <from>
                    <xdr:col>3</xdr:col>
                    <xdr:colOff>0</xdr:colOff>
                    <xdr:row>25</xdr:row>
                    <xdr:rowOff>19050</xdr:rowOff>
                  </from>
                  <to>
                    <xdr:col>3</xdr:col>
                    <xdr:colOff>781050</xdr:colOff>
                    <xdr:row>25</xdr:row>
                    <xdr:rowOff>228600</xdr:rowOff>
                  </to>
                </anchor>
              </controlPr>
            </control>
          </mc:Choice>
        </mc:AlternateContent>
        <mc:AlternateContent xmlns:mc="http://schemas.openxmlformats.org/markup-compatibility/2006">
          <mc:Choice Requires="x14">
            <control shapeId="64588" r:id="rId9" name="Check Box 76">
              <controlPr defaultSize="0" autoFill="0" autoLine="0" autoPict="0">
                <anchor moveWithCells="1">
                  <from>
                    <xdr:col>3</xdr:col>
                    <xdr:colOff>0</xdr:colOff>
                    <xdr:row>25</xdr:row>
                    <xdr:rowOff>219075</xdr:rowOff>
                  </from>
                  <to>
                    <xdr:col>3</xdr:col>
                    <xdr:colOff>781050</xdr:colOff>
                    <xdr:row>25</xdr:row>
                    <xdr:rowOff>428625</xdr:rowOff>
                  </to>
                </anchor>
              </controlPr>
            </control>
          </mc:Choice>
        </mc:AlternateContent>
        <mc:AlternateContent xmlns:mc="http://schemas.openxmlformats.org/markup-compatibility/2006">
          <mc:Choice Requires="x14">
            <control shapeId="64589" r:id="rId10" name="Check Box 77">
              <controlPr defaultSize="0" autoFill="0" autoLine="0" autoPict="0">
                <anchor moveWithCells="1">
                  <from>
                    <xdr:col>3</xdr:col>
                    <xdr:colOff>0</xdr:colOff>
                    <xdr:row>26</xdr:row>
                    <xdr:rowOff>0</xdr:rowOff>
                  </from>
                  <to>
                    <xdr:col>3</xdr:col>
                    <xdr:colOff>781050</xdr:colOff>
                    <xdr:row>26</xdr:row>
                    <xdr:rowOff>209550</xdr:rowOff>
                  </to>
                </anchor>
              </controlPr>
            </control>
          </mc:Choice>
        </mc:AlternateContent>
        <mc:AlternateContent xmlns:mc="http://schemas.openxmlformats.org/markup-compatibility/2006">
          <mc:Choice Requires="x14">
            <control shapeId="64590" r:id="rId11" name="Check Box 78">
              <controlPr defaultSize="0" autoFill="0" autoLine="0" autoPict="0">
                <anchor moveWithCells="1">
                  <from>
                    <xdr:col>3</xdr:col>
                    <xdr:colOff>0</xdr:colOff>
                    <xdr:row>26</xdr:row>
                    <xdr:rowOff>200025</xdr:rowOff>
                  </from>
                  <to>
                    <xdr:col>3</xdr:col>
                    <xdr:colOff>781050</xdr:colOff>
                    <xdr:row>26</xdr:row>
                    <xdr:rowOff>409575</xdr:rowOff>
                  </to>
                </anchor>
              </controlPr>
            </control>
          </mc:Choice>
        </mc:AlternateContent>
        <mc:AlternateContent xmlns:mc="http://schemas.openxmlformats.org/markup-compatibility/2006">
          <mc:Choice Requires="x14">
            <control shapeId="64591" r:id="rId12" name="Check Box 79">
              <controlPr defaultSize="0" autoFill="0" autoLine="0" autoPict="0">
                <anchor moveWithCells="1">
                  <from>
                    <xdr:col>3</xdr:col>
                    <xdr:colOff>0</xdr:colOff>
                    <xdr:row>27</xdr:row>
                    <xdr:rowOff>0</xdr:rowOff>
                  </from>
                  <to>
                    <xdr:col>3</xdr:col>
                    <xdr:colOff>781050</xdr:colOff>
                    <xdr:row>27</xdr:row>
                    <xdr:rowOff>209550</xdr:rowOff>
                  </to>
                </anchor>
              </controlPr>
            </control>
          </mc:Choice>
        </mc:AlternateContent>
        <mc:AlternateContent xmlns:mc="http://schemas.openxmlformats.org/markup-compatibility/2006">
          <mc:Choice Requires="x14">
            <control shapeId="64592" r:id="rId13" name="Check Box 80">
              <controlPr defaultSize="0" autoFill="0" autoLine="0" autoPict="0">
                <anchor moveWithCells="1">
                  <from>
                    <xdr:col>3</xdr:col>
                    <xdr:colOff>0</xdr:colOff>
                    <xdr:row>27</xdr:row>
                    <xdr:rowOff>200025</xdr:rowOff>
                  </from>
                  <to>
                    <xdr:col>3</xdr:col>
                    <xdr:colOff>781050</xdr:colOff>
                    <xdr:row>27</xdr:row>
                    <xdr:rowOff>409575</xdr:rowOff>
                  </to>
                </anchor>
              </controlPr>
            </control>
          </mc:Choice>
        </mc:AlternateContent>
        <mc:AlternateContent xmlns:mc="http://schemas.openxmlformats.org/markup-compatibility/2006">
          <mc:Choice Requires="x14">
            <control shapeId="64595" r:id="rId14" name="Check Box 83">
              <controlPr defaultSize="0" autoFill="0" autoLine="0" autoPict="0">
                <anchor moveWithCells="1">
                  <from>
                    <xdr:col>3</xdr:col>
                    <xdr:colOff>0</xdr:colOff>
                    <xdr:row>28</xdr:row>
                    <xdr:rowOff>0</xdr:rowOff>
                  </from>
                  <to>
                    <xdr:col>3</xdr:col>
                    <xdr:colOff>781050</xdr:colOff>
                    <xdr:row>28</xdr:row>
                    <xdr:rowOff>209550</xdr:rowOff>
                  </to>
                </anchor>
              </controlPr>
            </control>
          </mc:Choice>
        </mc:AlternateContent>
        <mc:AlternateContent xmlns:mc="http://schemas.openxmlformats.org/markup-compatibility/2006">
          <mc:Choice Requires="x14">
            <control shapeId="64596" r:id="rId15" name="Check Box 84">
              <controlPr defaultSize="0" autoFill="0" autoLine="0" autoPict="0">
                <anchor moveWithCells="1">
                  <from>
                    <xdr:col>3</xdr:col>
                    <xdr:colOff>0</xdr:colOff>
                    <xdr:row>28</xdr:row>
                    <xdr:rowOff>200025</xdr:rowOff>
                  </from>
                  <to>
                    <xdr:col>3</xdr:col>
                    <xdr:colOff>781050</xdr:colOff>
                    <xdr:row>28</xdr:row>
                    <xdr:rowOff>409575</xdr:rowOff>
                  </to>
                </anchor>
              </controlPr>
            </control>
          </mc:Choice>
        </mc:AlternateContent>
        <mc:AlternateContent xmlns:mc="http://schemas.openxmlformats.org/markup-compatibility/2006">
          <mc:Choice Requires="x14">
            <control shapeId="64597" r:id="rId16" name="Check Box 85">
              <controlPr defaultSize="0" autoFill="0" autoLine="0" autoPict="0">
                <anchor moveWithCells="1">
                  <from>
                    <xdr:col>3</xdr:col>
                    <xdr:colOff>0</xdr:colOff>
                    <xdr:row>29</xdr:row>
                    <xdr:rowOff>0</xdr:rowOff>
                  </from>
                  <to>
                    <xdr:col>3</xdr:col>
                    <xdr:colOff>781050</xdr:colOff>
                    <xdr:row>29</xdr:row>
                    <xdr:rowOff>209550</xdr:rowOff>
                  </to>
                </anchor>
              </controlPr>
            </control>
          </mc:Choice>
        </mc:AlternateContent>
        <mc:AlternateContent xmlns:mc="http://schemas.openxmlformats.org/markup-compatibility/2006">
          <mc:Choice Requires="x14">
            <control shapeId="64598" r:id="rId17" name="Check Box 86">
              <controlPr defaultSize="0" autoFill="0" autoLine="0" autoPict="0">
                <anchor moveWithCells="1">
                  <from>
                    <xdr:col>3</xdr:col>
                    <xdr:colOff>0</xdr:colOff>
                    <xdr:row>29</xdr:row>
                    <xdr:rowOff>200025</xdr:rowOff>
                  </from>
                  <to>
                    <xdr:col>3</xdr:col>
                    <xdr:colOff>781050</xdr:colOff>
                    <xdr:row>29</xdr:row>
                    <xdr:rowOff>409575</xdr:rowOff>
                  </to>
                </anchor>
              </controlPr>
            </control>
          </mc:Choice>
        </mc:AlternateContent>
        <mc:AlternateContent xmlns:mc="http://schemas.openxmlformats.org/markup-compatibility/2006">
          <mc:Choice Requires="x14">
            <control shapeId="64599" r:id="rId18" name="Check Box 87">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0" r:id="rId19" name="Check Box 88">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1" r:id="rId20" name="Check Box 89">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2" r:id="rId21" name="Check Box 90">
              <controlPr defaultSize="0" autoFill="0" autoLine="0" autoPict="0">
                <anchor moveWithCells="1">
                  <from>
                    <xdr:col>3</xdr:col>
                    <xdr:colOff>0</xdr:colOff>
                    <xdr:row>30</xdr:row>
                    <xdr:rowOff>200025</xdr:rowOff>
                  </from>
                  <to>
                    <xdr:col>3</xdr:col>
                    <xdr:colOff>781050</xdr:colOff>
                    <xdr:row>30</xdr:row>
                    <xdr:rowOff>409575</xdr:rowOff>
                  </to>
                </anchor>
              </controlPr>
            </control>
          </mc:Choice>
        </mc:AlternateContent>
        <mc:AlternateContent xmlns:mc="http://schemas.openxmlformats.org/markup-compatibility/2006">
          <mc:Choice Requires="x14">
            <control shapeId="64603" r:id="rId22" name="Check Box 91">
              <controlPr defaultSize="0" autoFill="0" autoLine="0" autoPict="0">
                <anchor moveWithCells="1">
                  <from>
                    <xdr:col>3</xdr:col>
                    <xdr:colOff>0</xdr:colOff>
                    <xdr:row>31</xdr:row>
                    <xdr:rowOff>0</xdr:rowOff>
                  </from>
                  <to>
                    <xdr:col>3</xdr:col>
                    <xdr:colOff>781050</xdr:colOff>
                    <xdr:row>31</xdr:row>
                    <xdr:rowOff>209550</xdr:rowOff>
                  </to>
                </anchor>
              </controlPr>
            </control>
          </mc:Choice>
        </mc:AlternateContent>
        <mc:AlternateContent xmlns:mc="http://schemas.openxmlformats.org/markup-compatibility/2006">
          <mc:Choice Requires="x14">
            <control shapeId="64604" r:id="rId23" name="Check Box 92">
              <controlPr defaultSize="0" autoFill="0" autoLine="0" autoPict="0">
                <anchor moveWithCells="1">
                  <from>
                    <xdr:col>3</xdr:col>
                    <xdr:colOff>0</xdr:colOff>
                    <xdr:row>31</xdr:row>
                    <xdr:rowOff>200025</xdr:rowOff>
                  </from>
                  <to>
                    <xdr:col>3</xdr:col>
                    <xdr:colOff>781050</xdr:colOff>
                    <xdr:row>31</xdr:row>
                    <xdr:rowOff>409575</xdr:rowOff>
                  </to>
                </anchor>
              </controlPr>
            </control>
          </mc:Choice>
        </mc:AlternateContent>
        <mc:AlternateContent xmlns:mc="http://schemas.openxmlformats.org/markup-compatibility/2006">
          <mc:Choice Requires="x14">
            <control shapeId="64605" r:id="rId24" name="Check Box 93">
              <controlPr defaultSize="0" autoFill="0" autoLine="0" autoPict="0">
                <anchor moveWithCells="1">
                  <from>
                    <xdr:col>3</xdr:col>
                    <xdr:colOff>0</xdr:colOff>
                    <xdr:row>32</xdr:row>
                    <xdr:rowOff>0</xdr:rowOff>
                  </from>
                  <to>
                    <xdr:col>3</xdr:col>
                    <xdr:colOff>781050</xdr:colOff>
                    <xdr:row>32</xdr:row>
                    <xdr:rowOff>209550</xdr:rowOff>
                  </to>
                </anchor>
              </controlPr>
            </control>
          </mc:Choice>
        </mc:AlternateContent>
        <mc:AlternateContent xmlns:mc="http://schemas.openxmlformats.org/markup-compatibility/2006">
          <mc:Choice Requires="x14">
            <control shapeId="64606" r:id="rId25" name="Check Box 94">
              <controlPr defaultSize="0" autoFill="0" autoLine="0" autoPict="0">
                <anchor moveWithCells="1">
                  <from>
                    <xdr:col>3</xdr:col>
                    <xdr:colOff>0</xdr:colOff>
                    <xdr:row>32</xdr:row>
                    <xdr:rowOff>200025</xdr:rowOff>
                  </from>
                  <to>
                    <xdr:col>3</xdr:col>
                    <xdr:colOff>781050</xdr:colOff>
                    <xdr:row>32</xdr:row>
                    <xdr:rowOff>409575</xdr:rowOff>
                  </to>
                </anchor>
              </controlPr>
            </control>
          </mc:Choice>
        </mc:AlternateContent>
        <mc:AlternateContent xmlns:mc="http://schemas.openxmlformats.org/markup-compatibility/2006">
          <mc:Choice Requires="x14">
            <control shapeId="64607" r:id="rId26" name="Check Box 95">
              <controlPr defaultSize="0" autoFill="0" autoLine="0" autoPict="0">
                <anchor moveWithCells="1">
                  <from>
                    <xdr:col>3</xdr:col>
                    <xdr:colOff>0</xdr:colOff>
                    <xdr:row>33</xdr:row>
                    <xdr:rowOff>0</xdr:rowOff>
                  </from>
                  <to>
                    <xdr:col>3</xdr:col>
                    <xdr:colOff>781050</xdr:colOff>
                    <xdr:row>33</xdr:row>
                    <xdr:rowOff>209550</xdr:rowOff>
                  </to>
                </anchor>
              </controlPr>
            </control>
          </mc:Choice>
        </mc:AlternateContent>
        <mc:AlternateContent xmlns:mc="http://schemas.openxmlformats.org/markup-compatibility/2006">
          <mc:Choice Requires="x14">
            <control shapeId="64608" r:id="rId27" name="Check Box 96">
              <controlPr defaultSize="0" autoFill="0" autoLine="0" autoPict="0">
                <anchor moveWithCells="1">
                  <from>
                    <xdr:col>3</xdr:col>
                    <xdr:colOff>0</xdr:colOff>
                    <xdr:row>33</xdr:row>
                    <xdr:rowOff>200025</xdr:rowOff>
                  </from>
                  <to>
                    <xdr:col>3</xdr:col>
                    <xdr:colOff>781050</xdr:colOff>
                    <xdr:row>33</xdr:row>
                    <xdr:rowOff>409575</xdr:rowOff>
                  </to>
                </anchor>
              </controlPr>
            </control>
          </mc:Choice>
        </mc:AlternateContent>
        <mc:AlternateContent xmlns:mc="http://schemas.openxmlformats.org/markup-compatibility/2006">
          <mc:Choice Requires="x14">
            <control shapeId="64609" r:id="rId28" name="Check Box 97">
              <controlPr defaultSize="0" autoFill="0" autoLine="0" autoPict="0">
                <anchor moveWithCells="1">
                  <from>
                    <xdr:col>3</xdr:col>
                    <xdr:colOff>0</xdr:colOff>
                    <xdr:row>34</xdr:row>
                    <xdr:rowOff>0</xdr:rowOff>
                  </from>
                  <to>
                    <xdr:col>3</xdr:col>
                    <xdr:colOff>781050</xdr:colOff>
                    <xdr:row>34</xdr:row>
                    <xdr:rowOff>209550</xdr:rowOff>
                  </to>
                </anchor>
              </controlPr>
            </control>
          </mc:Choice>
        </mc:AlternateContent>
        <mc:AlternateContent xmlns:mc="http://schemas.openxmlformats.org/markup-compatibility/2006">
          <mc:Choice Requires="x14">
            <control shapeId="64610" r:id="rId29" name="Check Box 98">
              <controlPr defaultSize="0" autoFill="0" autoLine="0" autoPict="0">
                <anchor moveWithCells="1">
                  <from>
                    <xdr:col>3</xdr:col>
                    <xdr:colOff>0</xdr:colOff>
                    <xdr:row>34</xdr:row>
                    <xdr:rowOff>200025</xdr:rowOff>
                  </from>
                  <to>
                    <xdr:col>3</xdr:col>
                    <xdr:colOff>781050</xdr:colOff>
                    <xdr:row>34</xdr:row>
                    <xdr:rowOff>409575</xdr:rowOff>
                  </to>
                </anchor>
              </controlPr>
            </control>
          </mc:Choice>
        </mc:AlternateContent>
        <mc:AlternateContent xmlns:mc="http://schemas.openxmlformats.org/markup-compatibility/2006">
          <mc:Choice Requires="x14">
            <control shapeId="64611" r:id="rId30" name="Check Box 99">
              <controlPr defaultSize="0" autoFill="0" autoLine="0" autoPict="0">
                <anchor moveWithCells="1">
                  <from>
                    <xdr:col>3</xdr:col>
                    <xdr:colOff>0</xdr:colOff>
                    <xdr:row>35</xdr:row>
                    <xdr:rowOff>0</xdr:rowOff>
                  </from>
                  <to>
                    <xdr:col>3</xdr:col>
                    <xdr:colOff>781050</xdr:colOff>
                    <xdr:row>35</xdr:row>
                    <xdr:rowOff>209550</xdr:rowOff>
                  </to>
                </anchor>
              </controlPr>
            </control>
          </mc:Choice>
        </mc:AlternateContent>
        <mc:AlternateContent xmlns:mc="http://schemas.openxmlformats.org/markup-compatibility/2006">
          <mc:Choice Requires="x14">
            <control shapeId="64612" r:id="rId31" name="Check Box 100">
              <controlPr defaultSize="0" autoFill="0" autoLine="0" autoPict="0">
                <anchor moveWithCells="1">
                  <from>
                    <xdr:col>3</xdr:col>
                    <xdr:colOff>0</xdr:colOff>
                    <xdr:row>35</xdr:row>
                    <xdr:rowOff>200025</xdr:rowOff>
                  </from>
                  <to>
                    <xdr:col>3</xdr:col>
                    <xdr:colOff>781050</xdr:colOff>
                    <xdr:row>35</xdr:row>
                    <xdr:rowOff>409575</xdr:rowOff>
                  </to>
                </anchor>
              </controlPr>
            </control>
          </mc:Choice>
        </mc:AlternateContent>
        <mc:AlternateContent xmlns:mc="http://schemas.openxmlformats.org/markup-compatibility/2006">
          <mc:Choice Requires="x14">
            <control shapeId="64613" r:id="rId32" name="Check Box 101">
              <controlPr defaultSize="0" autoFill="0" autoLine="0" autoPict="0">
                <anchor moveWithCells="1">
                  <from>
                    <xdr:col>3</xdr:col>
                    <xdr:colOff>0</xdr:colOff>
                    <xdr:row>36</xdr:row>
                    <xdr:rowOff>0</xdr:rowOff>
                  </from>
                  <to>
                    <xdr:col>3</xdr:col>
                    <xdr:colOff>781050</xdr:colOff>
                    <xdr:row>36</xdr:row>
                    <xdr:rowOff>209550</xdr:rowOff>
                  </to>
                </anchor>
              </controlPr>
            </control>
          </mc:Choice>
        </mc:AlternateContent>
        <mc:AlternateContent xmlns:mc="http://schemas.openxmlformats.org/markup-compatibility/2006">
          <mc:Choice Requires="x14">
            <control shapeId="64614" r:id="rId33" name="Check Box 102">
              <controlPr defaultSize="0" autoFill="0" autoLine="0" autoPict="0">
                <anchor moveWithCells="1">
                  <from>
                    <xdr:col>3</xdr:col>
                    <xdr:colOff>0</xdr:colOff>
                    <xdr:row>36</xdr:row>
                    <xdr:rowOff>200025</xdr:rowOff>
                  </from>
                  <to>
                    <xdr:col>3</xdr:col>
                    <xdr:colOff>781050</xdr:colOff>
                    <xdr:row>36</xdr:row>
                    <xdr:rowOff>409575</xdr:rowOff>
                  </to>
                </anchor>
              </controlPr>
            </control>
          </mc:Choice>
        </mc:AlternateContent>
        <mc:AlternateContent xmlns:mc="http://schemas.openxmlformats.org/markup-compatibility/2006">
          <mc:Choice Requires="x14">
            <control shapeId="64615" r:id="rId34" name="Check Box 103">
              <controlPr defaultSize="0" autoFill="0" autoLine="0" autoPict="0">
                <anchor moveWithCells="1">
                  <from>
                    <xdr:col>3</xdr:col>
                    <xdr:colOff>0</xdr:colOff>
                    <xdr:row>37</xdr:row>
                    <xdr:rowOff>0</xdr:rowOff>
                  </from>
                  <to>
                    <xdr:col>3</xdr:col>
                    <xdr:colOff>781050</xdr:colOff>
                    <xdr:row>37</xdr:row>
                    <xdr:rowOff>209550</xdr:rowOff>
                  </to>
                </anchor>
              </controlPr>
            </control>
          </mc:Choice>
        </mc:AlternateContent>
        <mc:AlternateContent xmlns:mc="http://schemas.openxmlformats.org/markup-compatibility/2006">
          <mc:Choice Requires="x14">
            <control shapeId="64616" r:id="rId35" name="Check Box 104">
              <controlPr defaultSize="0" autoFill="0" autoLine="0" autoPict="0">
                <anchor moveWithCells="1">
                  <from>
                    <xdr:col>3</xdr:col>
                    <xdr:colOff>0</xdr:colOff>
                    <xdr:row>37</xdr:row>
                    <xdr:rowOff>200025</xdr:rowOff>
                  </from>
                  <to>
                    <xdr:col>3</xdr:col>
                    <xdr:colOff>781050</xdr:colOff>
                    <xdr:row>37</xdr:row>
                    <xdr:rowOff>409575</xdr:rowOff>
                  </to>
                </anchor>
              </controlPr>
            </control>
          </mc:Choice>
        </mc:AlternateContent>
        <mc:AlternateContent xmlns:mc="http://schemas.openxmlformats.org/markup-compatibility/2006">
          <mc:Choice Requires="x14">
            <control shapeId="64617" r:id="rId36" name="Check Box 105">
              <controlPr defaultSize="0" autoFill="0" autoLine="0" autoPict="0">
                <anchor moveWithCells="1">
                  <from>
                    <xdr:col>3</xdr:col>
                    <xdr:colOff>0</xdr:colOff>
                    <xdr:row>38</xdr:row>
                    <xdr:rowOff>28575</xdr:rowOff>
                  </from>
                  <to>
                    <xdr:col>3</xdr:col>
                    <xdr:colOff>781050</xdr:colOff>
                    <xdr:row>38</xdr:row>
                    <xdr:rowOff>238125</xdr:rowOff>
                  </to>
                </anchor>
              </controlPr>
            </control>
          </mc:Choice>
        </mc:AlternateContent>
        <mc:AlternateContent xmlns:mc="http://schemas.openxmlformats.org/markup-compatibility/2006">
          <mc:Choice Requires="x14">
            <control shapeId="64618" r:id="rId37" name="Check Box 106">
              <controlPr defaultSize="0" autoFill="0" autoLine="0" autoPict="0">
                <anchor moveWithCells="1">
                  <from>
                    <xdr:col>3</xdr:col>
                    <xdr:colOff>0</xdr:colOff>
                    <xdr:row>38</xdr:row>
                    <xdr:rowOff>228600</xdr:rowOff>
                  </from>
                  <to>
                    <xdr:col>3</xdr:col>
                    <xdr:colOff>781050</xdr:colOff>
                    <xdr:row>39</xdr:row>
                    <xdr:rowOff>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tabColor rgb="FF002060"/>
    <pageSetUpPr fitToPage="1"/>
  </sheetPr>
  <dimension ref="A1:X91"/>
  <sheetViews>
    <sheetView showGridLines="0" zoomScaleNormal="100" workbookViewId="0">
      <selection sqref="A1:K1"/>
    </sheetView>
  </sheetViews>
  <sheetFormatPr defaultRowHeight="20.100000000000001" customHeight="1" x14ac:dyDescent="0.25"/>
  <cols>
    <col min="1" max="1" width="26" style="48" customWidth="1"/>
    <col min="2" max="2" width="16.28515625" style="48" customWidth="1"/>
    <col min="3" max="3" width="22.28515625" style="48" customWidth="1"/>
    <col min="4" max="6" width="16.28515625" style="48" customWidth="1"/>
    <col min="7" max="10" width="9.140625" style="48" customWidth="1"/>
    <col min="11" max="11" width="23" style="48" customWidth="1"/>
    <col min="12" max="16" width="9.140625" style="48" customWidth="1"/>
    <col min="17" max="17" width="9.140625" style="48"/>
    <col min="18" max="18" width="9.140625" style="48" customWidth="1"/>
    <col min="19" max="16384" width="9.140625" style="48"/>
  </cols>
  <sheetData>
    <row r="1" spans="1:24" s="69" customFormat="1" ht="26.25" customHeight="1" thickBot="1" x14ac:dyDescent="0.3">
      <c r="A1" s="1315" t="s">
        <v>1840</v>
      </c>
      <c r="B1" s="1315"/>
      <c r="C1" s="1315"/>
      <c r="D1" s="1315"/>
      <c r="E1" s="1315"/>
      <c r="F1" s="1315"/>
      <c r="G1" s="1315"/>
      <c r="H1" s="1315"/>
      <c r="I1" s="1315"/>
      <c r="J1" s="1315"/>
      <c r="K1" s="1315"/>
      <c r="L1" s="79"/>
    </row>
    <row r="2" spans="1:24" s="68" customFormat="1" ht="50.1" customHeight="1" x14ac:dyDescent="0.25">
      <c r="A2" s="1187" t="s">
        <v>1842</v>
      </c>
      <c r="B2" s="1187"/>
      <c r="C2" s="1187"/>
      <c r="D2" s="1187"/>
      <c r="E2" s="1187"/>
      <c r="F2" s="1187"/>
      <c r="G2" s="1187"/>
      <c r="H2" s="1187"/>
      <c r="I2" s="1187"/>
      <c r="J2" s="1187"/>
      <c r="K2" s="1187"/>
    </row>
    <row r="3" spans="1:24" s="68" customFormat="1" ht="20.100000000000001" customHeight="1" x14ac:dyDescent="0.25">
      <c r="A3" s="1187" t="s">
        <v>1843</v>
      </c>
      <c r="B3" s="1187"/>
      <c r="C3" s="1187"/>
      <c r="D3" s="1187"/>
      <c r="E3" s="1187"/>
      <c r="F3" s="1187"/>
      <c r="G3" s="1187"/>
      <c r="H3" s="1187"/>
      <c r="I3" s="1187"/>
      <c r="J3" s="1187"/>
      <c r="K3" s="1187"/>
    </row>
    <row r="4" spans="1:24" s="68" customFormat="1" ht="20.100000000000001" customHeight="1" x14ac:dyDescent="0.25">
      <c r="A4" s="1187" t="s">
        <v>1844</v>
      </c>
      <c r="B4" s="1187"/>
      <c r="C4" s="1187"/>
      <c r="D4" s="1187"/>
      <c r="E4" s="1187"/>
      <c r="F4" s="1187"/>
      <c r="G4" s="1187"/>
      <c r="H4" s="1187"/>
      <c r="I4" s="1187"/>
      <c r="J4" s="1187"/>
      <c r="K4" s="1187"/>
    </row>
    <row r="5" spans="1:24" s="160" customFormat="1" ht="20.100000000000001" customHeight="1" x14ac:dyDescent="0.25">
      <c r="A5" s="1666"/>
      <c r="B5" s="1666"/>
      <c r="C5" s="1666"/>
      <c r="D5" s="1666"/>
      <c r="E5" s="1666"/>
      <c r="F5" s="1666"/>
      <c r="G5" s="1666"/>
      <c r="H5" s="1666"/>
      <c r="I5" s="1666"/>
      <c r="J5" s="1666"/>
      <c r="K5" s="1666"/>
    </row>
    <row r="6" spans="1:24" s="68" customFormat="1" ht="35.1" customHeight="1" thickBot="1" x14ac:dyDescent="0.3">
      <c r="A6" s="1292" t="s">
        <v>1723</v>
      </c>
      <c r="B6" s="1292"/>
      <c r="C6" s="1292"/>
      <c r="D6" s="1292"/>
      <c r="E6" s="1292"/>
      <c r="F6" s="1292"/>
      <c r="G6" s="1292"/>
      <c r="H6" s="1292"/>
      <c r="I6" s="1292"/>
      <c r="J6" s="1292"/>
      <c r="K6" s="1292"/>
      <c r="L6" s="1292"/>
    </row>
    <row r="7" spans="1:24" s="77" customFormat="1" ht="19.5" thickBot="1" x14ac:dyDescent="0.3">
      <c r="A7" s="1208" t="s">
        <v>1715</v>
      </c>
      <c r="B7" s="1208"/>
      <c r="C7" s="1208"/>
      <c r="D7" s="1208"/>
      <c r="E7" s="1208"/>
      <c r="F7" s="1208"/>
      <c r="G7" s="1208"/>
      <c r="H7" s="1208"/>
      <c r="I7" s="1208"/>
      <c r="J7" s="1208"/>
      <c r="K7" s="1208"/>
    </row>
    <row r="8" spans="1:24" ht="60" customHeight="1" x14ac:dyDescent="0.25">
      <c r="A8" s="1092"/>
      <c r="B8" s="1092"/>
      <c r="C8" s="1092"/>
      <c r="D8" s="1092"/>
      <c r="E8" s="1092"/>
      <c r="F8" s="1092"/>
    </row>
    <row r="9" spans="1:24" ht="24.95" customHeight="1" thickBot="1" x14ac:dyDescent="0.3">
      <c r="A9" s="989" t="s">
        <v>1841</v>
      </c>
      <c r="B9" s="989"/>
      <c r="C9" s="989"/>
      <c r="D9" s="989"/>
      <c r="E9" s="989"/>
      <c r="F9" s="989"/>
    </row>
    <row r="10" spans="1:24" ht="30" customHeight="1" thickBot="1" x14ac:dyDescent="0.3">
      <c r="A10" s="904" t="s">
        <v>1708</v>
      </c>
      <c r="B10" s="905"/>
      <c r="C10" s="905"/>
      <c r="D10" s="905"/>
      <c r="E10" s="905"/>
      <c r="F10" s="906"/>
    </row>
    <row r="11" spans="1:24" ht="39.950000000000003" customHeight="1" x14ac:dyDescent="0.25">
      <c r="A11" s="1667" t="s">
        <v>1712</v>
      </c>
      <c r="B11" s="1512"/>
      <c r="C11" s="1512"/>
      <c r="D11" s="1512"/>
      <c r="E11" s="1512"/>
      <c r="F11" s="1513"/>
    </row>
    <row r="12" spans="1:24" ht="50.1" customHeight="1" thickBot="1" x14ac:dyDescent="0.3">
      <c r="A12" s="425" t="s">
        <v>1788</v>
      </c>
      <c r="B12" s="1661" t="str">
        <f>IF(AND(M12=TRUE,P12=TRUE),"Proceed to Application Checklist.",IF(AND(N12=TRUE,P12=TRUE),"In Part B below, list all regulations for which compliance will not be achieved.  In Table 10-A, complete a form for each regulation for which compliance will not be achieved.  When finished, proceed to Application Checklist.",""))</f>
        <v/>
      </c>
      <c r="C12" s="1662"/>
      <c r="D12" s="1662"/>
      <c r="E12" s="1662"/>
      <c r="F12" s="1663"/>
      <c r="G12" s="1664" t="str">
        <f>IF(AND(M12=TRUE,N12=TRUE),"Too many boxes checked.","")</f>
        <v/>
      </c>
      <c r="H12" s="1665"/>
      <c r="I12" s="1665"/>
      <c r="M12" s="81" t="b">
        <v>0</v>
      </c>
      <c r="N12" s="81" t="b">
        <v>0</v>
      </c>
      <c r="P12" s="48" t="b">
        <f>IF(OR(AND(M12=FALSE,N12=TRUE),AND(M12=TRUE,N12=FALSE)),TRUE,FALSE)</f>
        <v>0</v>
      </c>
    </row>
    <row r="13" spans="1:24" ht="30" customHeight="1" thickBot="1" x14ac:dyDescent="0.3">
      <c r="A13" s="904" t="s">
        <v>1713</v>
      </c>
      <c r="B13" s="905"/>
      <c r="C13" s="905"/>
      <c r="D13" s="905"/>
      <c r="E13" s="905"/>
      <c r="F13" s="906"/>
      <c r="M13" s="124"/>
      <c r="N13" s="124"/>
      <c r="O13" s="124"/>
    </row>
    <row r="14" spans="1:24" ht="20.100000000000001" customHeight="1" x14ac:dyDescent="0.25">
      <c r="A14" s="848" t="s">
        <v>1659</v>
      </c>
      <c r="B14" s="1657" t="s">
        <v>1660</v>
      </c>
      <c r="C14" s="1668"/>
      <c r="D14" s="1640" t="s">
        <v>1711</v>
      </c>
      <c r="E14" s="1657"/>
      <c r="F14" s="1641"/>
      <c r="M14" s="124"/>
      <c r="N14" s="124"/>
      <c r="O14" s="124"/>
      <c r="Q14" s="124"/>
      <c r="R14" s="124"/>
    </row>
    <row r="15" spans="1:24" ht="20.100000000000001" customHeight="1" thickBot="1" x14ac:dyDescent="0.3">
      <c r="A15" s="849" t="s">
        <v>1662</v>
      </c>
      <c r="B15" s="1669" t="s">
        <v>1661</v>
      </c>
      <c r="C15" s="1670"/>
      <c r="D15" s="1642"/>
      <c r="E15" s="1658"/>
      <c r="F15" s="1643"/>
      <c r="M15" s="124"/>
      <c r="N15" s="124"/>
      <c r="O15" s="124"/>
      <c r="Q15" s="124"/>
      <c r="R15" s="124"/>
    </row>
    <row r="16" spans="1:24" ht="35.1" customHeight="1" x14ac:dyDescent="0.25">
      <c r="A16" s="431"/>
      <c r="B16" s="1671"/>
      <c r="C16" s="1672"/>
      <c r="D16" s="1671"/>
      <c r="E16" s="1673"/>
      <c r="F16" s="1674"/>
      <c r="G16" s="123"/>
      <c r="M16" s="80"/>
      <c r="N16" s="80"/>
      <c r="O16" s="80"/>
      <c r="Q16" s="80"/>
      <c r="R16" s="80"/>
      <c r="S16" s="80"/>
      <c r="T16" s="80"/>
      <c r="U16" s="80"/>
      <c r="V16" s="80"/>
      <c r="W16" s="80"/>
      <c r="X16" s="80"/>
    </row>
    <row r="17" spans="1:24" ht="35.1" customHeight="1" x14ac:dyDescent="0.25">
      <c r="A17" s="432"/>
      <c r="B17" s="1675"/>
      <c r="C17" s="1676"/>
      <c r="D17" s="1675"/>
      <c r="E17" s="1677"/>
      <c r="F17" s="1678"/>
      <c r="G17" s="123"/>
      <c r="M17" s="80"/>
      <c r="N17" s="80"/>
      <c r="O17" s="80"/>
      <c r="Q17" s="80"/>
      <c r="R17" s="80"/>
      <c r="S17" s="80"/>
      <c r="T17" s="80"/>
      <c r="U17" s="80"/>
      <c r="V17" s="80"/>
      <c r="W17" s="80"/>
      <c r="X17" s="80"/>
    </row>
    <row r="18" spans="1:24" ht="35.1" customHeight="1" x14ac:dyDescent="0.25">
      <c r="A18" s="432"/>
      <c r="B18" s="1675"/>
      <c r="C18" s="1676"/>
      <c r="D18" s="1675"/>
      <c r="E18" s="1677"/>
      <c r="F18" s="1678"/>
      <c r="G18" s="123"/>
      <c r="M18" s="80"/>
      <c r="N18" s="80"/>
      <c r="O18" s="80"/>
      <c r="Q18" s="80"/>
      <c r="R18" s="80"/>
      <c r="S18" s="80"/>
      <c r="T18" s="80"/>
      <c r="U18" s="80"/>
      <c r="V18" s="80"/>
      <c r="W18" s="80"/>
      <c r="X18" s="80"/>
    </row>
    <row r="19" spans="1:24" ht="35.1" customHeight="1" x14ac:dyDescent="0.25">
      <c r="A19" s="432"/>
      <c r="B19" s="1675"/>
      <c r="C19" s="1676"/>
      <c r="D19" s="1675"/>
      <c r="E19" s="1677"/>
      <c r="F19" s="1678"/>
      <c r="G19" s="123"/>
      <c r="M19" s="80"/>
      <c r="N19" s="80"/>
      <c r="O19" s="80"/>
      <c r="Q19" s="80"/>
      <c r="R19" s="80"/>
      <c r="S19" s="80"/>
      <c r="T19" s="80"/>
      <c r="U19" s="80"/>
      <c r="V19" s="80"/>
      <c r="W19" s="80"/>
      <c r="X19" s="80"/>
    </row>
    <row r="20" spans="1:24" ht="35.1" customHeight="1" x14ac:dyDescent="0.25">
      <c r="A20" s="432"/>
      <c r="B20" s="1675"/>
      <c r="C20" s="1676"/>
      <c r="D20" s="1675"/>
      <c r="E20" s="1677"/>
      <c r="F20" s="1678"/>
      <c r="G20" s="123"/>
      <c r="M20" s="80"/>
      <c r="N20" s="80"/>
      <c r="O20" s="80"/>
      <c r="Q20" s="80"/>
      <c r="R20" s="80"/>
      <c r="S20" s="80"/>
      <c r="T20" s="80"/>
      <c r="U20" s="80"/>
      <c r="V20" s="80"/>
      <c r="W20" s="80"/>
      <c r="X20" s="80"/>
    </row>
    <row r="21" spans="1:24" ht="35.1" customHeight="1" x14ac:dyDescent="0.25">
      <c r="A21" s="432"/>
      <c r="B21" s="1675"/>
      <c r="C21" s="1676"/>
      <c r="D21" s="1675"/>
      <c r="E21" s="1677"/>
      <c r="F21" s="1678"/>
      <c r="G21" s="123"/>
      <c r="M21" s="80"/>
      <c r="N21" s="80"/>
      <c r="O21" s="80"/>
      <c r="Q21" s="80"/>
      <c r="R21" s="80"/>
      <c r="S21" s="80"/>
      <c r="T21" s="80"/>
      <c r="U21" s="80"/>
      <c r="V21" s="80"/>
      <c r="W21" s="80"/>
      <c r="X21" s="80"/>
    </row>
    <row r="22" spans="1:24" ht="35.1" customHeight="1" x14ac:dyDescent="0.25">
      <c r="A22" s="432"/>
      <c r="B22" s="1675"/>
      <c r="C22" s="1676"/>
      <c r="D22" s="1675"/>
      <c r="E22" s="1677"/>
      <c r="F22" s="1678"/>
      <c r="G22" s="123"/>
      <c r="M22" s="80"/>
      <c r="N22" s="80"/>
      <c r="O22" s="80"/>
      <c r="Q22" s="80"/>
      <c r="R22" s="80"/>
      <c r="S22" s="80"/>
      <c r="T22" s="80"/>
      <c r="U22" s="80"/>
      <c r="V22" s="80"/>
      <c r="W22" s="80"/>
      <c r="X22" s="80"/>
    </row>
    <row r="23" spans="1:24" ht="35.1" customHeight="1" x14ac:dyDescent="0.25">
      <c r="A23" s="432"/>
      <c r="B23" s="1675"/>
      <c r="C23" s="1676"/>
      <c r="D23" s="1675"/>
      <c r="E23" s="1677"/>
      <c r="F23" s="1678"/>
      <c r="G23" s="123"/>
      <c r="M23" s="80"/>
      <c r="N23" s="80"/>
      <c r="O23" s="80"/>
      <c r="Q23" s="80"/>
      <c r="R23" s="80"/>
      <c r="S23" s="80"/>
      <c r="T23" s="80"/>
      <c r="U23" s="80"/>
      <c r="V23" s="80"/>
      <c r="W23" s="80"/>
      <c r="X23" s="80"/>
    </row>
    <row r="24" spans="1:24" ht="35.1" customHeight="1" x14ac:dyDescent="0.25">
      <c r="A24" s="432"/>
      <c r="B24" s="1675"/>
      <c r="C24" s="1676"/>
      <c r="D24" s="1675"/>
      <c r="E24" s="1677"/>
      <c r="F24" s="1678"/>
      <c r="G24" s="123"/>
      <c r="M24" s="80"/>
      <c r="N24" s="80"/>
      <c r="O24" s="80"/>
      <c r="Q24" s="80"/>
      <c r="R24" s="80"/>
      <c r="S24" s="80"/>
      <c r="T24" s="80"/>
      <c r="U24" s="80"/>
      <c r="V24" s="80"/>
      <c r="W24" s="80"/>
      <c r="X24" s="80"/>
    </row>
    <row r="25" spans="1:24" ht="35.1" customHeight="1" x14ac:dyDescent="0.25">
      <c r="A25" s="432"/>
      <c r="B25" s="1675"/>
      <c r="C25" s="1676"/>
      <c r="D25" s="1675"/>
      <c r="E25" s="1677"/>
      <c r="F25" s="1678"/>
      <c r="G25" s="123"/>
      <c r="M25" s="80"/>
      <c r="N25" s="80"/>
      <c r="O25" s="80"/>
      <c r="Q25" s="80"/>
      <c r="R25" s="80"/>
      <c r="S25" s="80"/>
      <c r="T25" s="80"/>
      <c r="U25" s="80"/>
      <c r="V25" s="80"/>
      <c r="W25" s="80"/>
      <c r="X25" s="80"/>
    </row>
    <row r="26" spans="1:24" ht="35.1" customHeight="1" x14ac:dyDescent="0.25">
      <c r="A26" s="432"/>
      <c r="B26" s="1675"/>
      <c r="C26" s="1676"/>
      <c r="D26" s="1675"/>
      <c r="E26" s="1677"/>
      <c r="F26" s="1678"/>
      <c r="G26" s="123"/>
      <c r="M26" s="80"/>
      <c r="N26" s="80"/>
      <c r="O26" s="80"/>
      <c r="Q26" s="80"/>
      <c r="R26" s="80"/>
      <c r="S26" s="80"/>
      <c r="T26" s="80"/>
      <c r="U26" s="80"/>
      <c r="V26" s="80"/>
      <c r="W26" s="80"/>
      <c r="X26" s="80"/>
    </row>
    <row r="27" spans="1:24" ht="35.1" customHeight="1" x14ac:dyDescent="0.25">
      <c r="A27" s="432"/>
      <c r="B27" s="1675"/>
      <c r="C27" s="1676"/>
      <c r="D27" s="1675"/>
      <c r="E27" s="1677"/>
      <c r="F27" s="1678"/>
      <c r="G27" s="123"/>
      <c r="M27" s="80"/>
      <c r="N27" s="80"/>
      <c r="O27" s="80"/>
      <c r="Q27" s="80"/>
      <c r="R27" s="80"/>
      <c r="S27" s="80"/>
      <c r="T27" s="80"/>
      <c r="U27" s="80"/>
      <c r="V27" s="80"/>
      <c r="W27" s="80"/>
      <c r="X27" s="80"/>
    </row>
    <row r="28" spans="1:24" ht="35.1" customHeight="1" x14ac:dyDescent="0.25">
      <c r="A28" s="432"/>
      <c r="B28" s="1675"/>
      <c r="C28" s="1676"/>
      <c r="D28" s="1675"/>
      <c r="E28" s="1677"/>
      <c r="F28" s="1678"/>
      <c r="G28" s="123"/>
      <c r="M28" s="80"/>
      <c r="N28" s="80"/>
      <c r="O28" s="80"/>
      <c r="Q28" s="80"/>
      <c r="R28" s="80"/>
      <c r="S28" s="80"/>
      <c r="T28" s="80"/>
      <c r="U28" s="80"/>
      <c r="V28" s="80"/>
      <c r="W28" s="80"/>
      <c r="X28" s="80"/>
    </row>
    <row r="29" spans="1:24" ht="35.1" customHeight="1" x14ac:dyDescent="0.25">
      <c r="A29" s="432"/>
      <c r="B29" s="1675"/>
      <c r="C29" s="1676"/>
      <c r="D29" s="1675"/>
      <c r="E29" s="1677"/>
      <c r="F29" s="1678"/>
      <c r="G29" s="123"/>
      <c r="M29" s="80"/>
      <c r="N29" s="80"/>
      <c r="O29" s="80"/>
      <c r="Q29" s="80"/>
      <c r="R29" s="80"/>
      <c r="S29" s="80"/>
      <c r="T29" s="80"/>
      <c r="U29" s="80"/>
      <c r="V29" s="80"/>
      <c r="W29" s="80"/>
      <c r="X29" s="80"/>
    </row>
    <row r="30" spans="1:24" ht="35.1" customHeight="1" thickBot="1" x14ac:dyDescent="0.3">
      <c r="A30" s="433"/>
      <c r="B30" s="1679"/>
      <c r="C30" s="1680"/>
      <c r="D30" s="1679"/>
      <c r="E30" s="1681"/>
      <c r="F30" s="1682"/>
      <c r="G30" s="123"/>
      <c r="M30" s="80"/>
      <c r="N30" s="80"/>
      <c r="O30" s="80"/>
      <c r="Q30" s="80"/>
      <c r="R30" s="80"/>
      <c r="S30" s="80"/>
      <c r="T30" s="80"/>
      <c r="U30" s="80"/>
      <c r="V30" s="80"/>
      <c r="W30" s="80"/>
      <c r="X30" s="80"/>
    </row>
    <row r="31" spans="1:24" ht="20.100000000000001" customHeight="1" x14ac:dyDescent="0.25">
      <c r="A31" s="50"/>
    </row>
    <row r="32" spans="1:24" ht="20.100000000000001" customHeight="1" x14ac:dyDescent="0.25">
      <c r="A32" s="50"/>
    </row>
    <row r="33" spans="1:1" ht="20.100000000000001" customHeight="1" x14ac:dyDescent="0.25">
      <c r="A33" s="50"/>
    </row>
    <row r="34" spans="1:1" ht="20.100000000000001" customHeight="1" x14ac:dyDescent="0.25">
      <c r="A34" s="50"/>
    </row>
    <row r="35" spans="1:1" ht="20.100000000000001" customHeight="1" x14ac:dyDescent="0.25">
      <c r="A35" s="50"/>
    </row>
    <row r="36" spans="1:1" ht="20.100000000000001" customHeight="1" x14ac:dyDescent="0.25">
      <c r="A36" s="50"/>
    </row>
    <row r="37" spans="1:1" ht="20.100000000000001" customHeight="1" x14ac:dyDescent="0.25">
      <c r="A37" s="50"/>
    </row>
    <row r="38" spans="1:1" ht="20.100000000000001" customHeight="1" x14ac:dyDescent="0.25">
      <c r="A38" s="50"/>
    </row>
    <row r="39" spans="1:1" ht="20.100000000000001" customHeight="1" x14ac:dyDescent="0.25">
      <c r="A39" s="50"/>
    </row>
    <row r="40" spans="1:1" ht="20.100000000000001" customHeight="1" x14ac:dyDescent="0.25">
      <c r="A40" s="50"/>
    </row>
    <row r="41" spans="1:1" ht="20.100000000000001" customHeight="1" x14ac:dyDescent="0.25">
      <c r="A41" s="50"/>
    </row>
    <row r="42" spans="1:1" ht="20.100000000000001" customHeight="1" x14ac:dyDescent="0.25">
      <c r="A42" s="50"/>
    </row>
    <row r="43" spans="1:1" ht="20.100000000000001" customHeight="1" x14ac:dyDescent="0.25">
      <c r="A43" s="50"/>
    </row>
    <row r="44" spans="1:1" ht="20.100000000000001" customHeight="1" x14ac:dyDescent="0.25">
      <c r="A44" s="50"/>
    </row>
    <row r="45" spans="1:1" ht="20.100000000000001" customHeight="1" x14ac:dyDescent="0.25">
      <c r="A45" s="50"/>
    </row>
    <row r="46" spans="1:1" ht="20.100000000000001" customHeight="1" x14ac:dyDescent="0.25">
      <c r="A46" s="50"/>
    </row>
    <row r="47" spans="1:1" ht="20.100000000000001" customHeight="1" x14ac:dyDescent="0.25">
      <c r="A47" s="50"/>
    </row>
    <row r="48" spans="1:1"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sheetData>
  <sheetProtection algorithmName="SHA-512" hashValue="BYACn9T5y5oMfXBSALDmj53zvnF4vgbyOpfLy78785Ki90yRNF6CzdubcSRJnCktljLtNhZiQ+OJ0/NwUfzXPw==" saltValue="5YhbXbBEI/6Pjk/pMV76Dg==" spinCount="100000" sheet="1" objects="1" scenarios="1"/>
  <mergeCells count="47">
    <mergeCell ref="B29:C29"/>
    <mergeCell ref="D29:F29"/>
    <mergeCell ref="B30:C30"/>
    <mergeCell ref="D30:F30"/>
    <mergeCell ref="B26:C26"/>
    <mergeCell ref="D26:F26"/>
    <mergeCell ref="B27:C27"/>
    <mergeCell ref="D27:F27"/>
    <mergeCell ref="B28:C28"/>
    <mergeCell ref="D28:F28"/>
    <mergeCell ref="B23:C23"/>
    <mergeCell ref="D23:F23"/>
    <mergeCell ref="B24:C24"/>
    <mergeCell ref="D24:F24"/>
    <mergeCell ref="B25:C25"/>
    <mergeCell ref="D25:F25"/>
    <mergeCell ref="B20:C20"/>
    <mergeCell ref="D20:F20"/>
    <mergeCell ref="B21:C21"/>
    <mergeCell ref="D21:F21"/>
    <mergeCell ref="B22:C22"/>
    <mergeCell ref="D22:F22"/>
    <mergeCell ref="B17:C17"/>
    <mergeCell ref="D17:F17"/>
    <mergeCell ref="B18:C18"/>
    <mergeCell ref="D18:F18"/>
    <mergeCell ref="B19:C19"/>
    <mergeCell ref="D19:F19"/>
    <mergeCell ref="A13:F13"/>
    <mergeCell ref="B14:C14"/>
    <mergeCell ref="D14:F15"/>
    <mergeCell ref="B15:C15"/>
    <mergeCell ref="B16:C16"/>
    <mergeCell ref="D16:F16"/>
    <mergeCell ref="B12:F12"/>
    <mergeCell ref="G12:I12"/>
    <mergeCell ref="A1:K1"/>
    <mergeCell ref="A2:K2"/>
    <mergeCell ref="A3:K3"/>
    <mergeCell ref="A4:K4"/>
    <mergeCell ref="A5:K5"/>
    <mergeCell ref="A6:L6"/>
    <mergeCell ref="A7:K7"/>
    <mergeCell ref="A8:F8"/>
    <mergeCell ref="A9:F9"/>
    <mergeCell ref="A10:F10"/>
    <mergeCell ref="A11:F11"/>
  </mergeCells>
  <conditionalFormatting sqref="A12">
    <cfRule type="expression" dxfId="30" priority="3">
      <formula>$P$12=FALSE</formula>
    </cfRule>
  </conditionalFormatting>
  <conditionalFormatting sqref="G12">
    <cfRule type="expression" dxfId="28" priority="2">
      <formula>AND(M12=TRUE,N12=TRUE)</formula>
    </cfRule>
  </conditionalFormatting>
  <printOptions horizontalCentered="1"/>
  <pageMargins left="0.5" right="0.5" top="0.5" bottom="0.5" header="0.3" footer="0.3"/>
  <pageSetup scale="84" fitToHeight="0" orientation="portrait" r:id="rId1"/>
  <headerFooter>
    <oddFooter xml:space="preserve">&amp;LRev. 7/2016&amp;C&amp;A&amp;RPage &amp;P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8849" r:id="rId4" name="Check Box 1">
              <controlPr defaultSize="0" autoFill="0" autoLine="0" autoPict="0">
                <anchor moveWithCells="1">
                  <from>
                    <xdr:col>0</xdr:col>
                    <xdr:colOff>561975</xdr:colOff>
                    <xdr:row>11</xdr:row>
                    <xdr:rowOff>161925</xdr:rowOff>
                  </from>
                  <to>
                    <xdr:col>0</xdr:col>
                    <xdr:colOff>1485900</xdr:colOff>
                    <xdr:row>11</xdr:row>
                    <xdr:rowOff>295275</xdr:rowOff>
                  </to>
                </anchor>
              </controlPr>
            </control>
          </mc:Choice>
        </mc:AlternateContent>
        <mc:AlternateContent xmlns:mc="http://schemas.openxmlformats.org/markup-compatibility/2006">
          <mc:Choice Requires="x14">
            <control shapeId="78850" r:id="rId5" name="Check Box 2">
              <controlPr defaultSize="0" autoFill="0" autoLine="0" autoPict="0">
                <anchor moveWithCells="1">
                  <from>
                    <xdr:col>0</xdr:col>
                    <xdr:colOff>561975</xdr:colOff>
                    <xdr:row>11</xdr:row>
                    <xdr:rowOff>361950</xdr:rowOff>
                  </from>
                  <to>
                    <xdr:col>0</xdr:col>
                    <xdr:colOff>1485900</xdr:colOff>
                    <xdr:row>11</xdr:row>
                    <xdr:rowOff>495300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04" stopIfTrue="1" id="{87B00029-6C1D-42F3-BEC5-540010261EBD}">
            <xm:f>OR(AND($M$11=FALSE,$N$11=TRUE,$Q$11=FALSE,$R$11=TRUE),AND($M$11=TRUE,'Section 6| Source Class'!$M$11=TRUE,'Section 6| Source Class'!$O$11=TRUE),$O$11=TRUE)</xm:f>
            <x14:dxf>
              <fill>
                <patternFill patternType="darkUp"/>
              </fill>
            </x14:dxf>
          </x14:cfRule>
          <xm:sqref>A12</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tabColor rgb="FF002060"/>
    <pageSetUpPr fitToPage="1"/>
  </sheetPr>
  <dimension ref="A1:X188"/>
  <sheetViews>
    <sheetView showGridLines="0" zoomScaleNormal="100" workbookViewId="0">
      <selection sqref="A1:K1"/>
    </sheetView>
  </sheetViews>
  <sheetFormatPr defaultRowHeight="20.100000000000001" customHeight="1" x14ac:dyDescent="0.25"/>
  <cols>
    <col min="1" max="2" width="16.7109375" style="48" customWidth="1"/>
    <col min="3" max="5" width="19.28515625" style="48" customWidth="1"/>
    <col min="6" max="6" width="22.7109375" style="48" customWidth="1"/>
    <col min="7" max="10" width="9.140625" style="48" customWidth="1"/>
    <col min="11" max="11" width="23" style="48" customWidth="1"/>
    <col min="12" max="16" width="9.140625" style="48" customWidth="1"/>
    <col min="17" max="17" width="9.140625" style="48"/>
    <col min="18" max="18" width="9.140625" style="48" customWidth="1"/>
    <col min="19" max="16384" width="9.140625" style="48"/>
  </cols>
  <sheetData>
    <row r="1" spans="1:24" s="69" customFormat="1" ht="26.25" customHeight="1" thickBot="1" x14ac:dyDescent="0.3">
      <c r="A1" s="1315" t="s">
        <v>1845</v>
      </c>
      <c r="B1" s="1315"/>
      <c r="C1" s="1315"/>
      <c r="D1" s="1315"/>
      <c r="E1" s="1315"/>
      <c r="F1" s="1315"/>
      <c r="G1" s="1315"/>
      <c r="H1" s="1315"/>
      <c r="I1" s="1315"/>
      <c r="J1" s="1315"/>
      <c r="K1" s="1315"/>
      <c r="L1" s="79"/>
    </row>
    <row r="2" spans="1:24" s="68" customFormat="1" ht="35.1" customHeight="1" x14ac:dyDescent="0.25">
      <c r="A2" s="1187" t="s">
        <v>1846</v>
      </c>
      <c r="B2" s="1187"/>
      <c r="C2" s="1187"/>
      <c r="D2" s="1187"/>
      <c r="E2" s="1187"/>
      <c r="F2" s="1187"/>
      <c r="G2" s="1187"/>
      <c r="H2" s="1187"/>
      <c r="I2" s="1187"/>
      <c r="J2" s="1187"/>
      <c r="K2" s="1187"/>
    </row>
    <row r="3" spans="1:24" s="68" customFormat="1" ht="35.1" customHeight="1" x14ac:dyDescent="0.25">
      <c r="A3" s="1187" t="s">
        <v>1725</v>
      </c>
      <c r="B3" s="1187"/>
      <c r="C3" s="1187"/>
      <c r="D3" s="1187"/>
      <c r="E3" s="1187"/>
      <c r="F3" s="1187"/>
      <c r="G3" s="1187"/>
      <c r="H3" s="1187"/>
      <c r="I3" s="1187"/>
      <c r="J3" s="1187"/>
      <c r="K3" s="1187"/>
    </row>
    <row r="4" spans="1:24" s="160" customFormat="1" ht="9.9499999999999993" customHeight="1" x14ac:dyDescent="0.25">
      <c r="A4" s="1666"/>
      <c r="B4" s="1666"/>
      <c r="C4" s="1666"/>
      <c r="D4" s="1666"/>
      <c r="E4" s="1666"/>
      <c r="F4" s="1666"/>
      <c r="G4" s="1666"/>
      <c r="H4" s="1666"/>
      <c r="I4" s="1666"/>
      <c r="J4" s="1666"/>
      <c r="K4" s="1666"/>
    </row>
    <row r="5" spans="1:24" s="68" customFormat="1" ht="35.1" customHeight="1" thickBot="1" x14ac:dyDescent="0.3">
      <c r="A5" s="1292" t="s">
        <v>1724</v>
      </c>
      <c r="B5" s="1292"/>
      <c r="C5" s="1292"/>
      <c r="D5" s="1292"/>
      <c r="E5" s="1292"/>
      <c r="F5" s="1292"/>
      <c r="G5" s="1292"/>
      <c r="H5" s="1292"/>
      <c r="I5" s="1292"/>
      <c r="J5" s="1292"/>
      <c r="K5" s="1292"/>
      <c r="L5" s="1292"/>
    </row>
    <row r="6" spans="1:24" s="77" customFormat="1" ht="19.5" thickBot="1" x14ac:dyDescent="0.3">
      <c r="A6" s="1208" t="s">
        <v>1716</v>
      </c>
      <c r="B6" s="1208"/>
      <c r="C6" s="1208"/>
      <c r="D6" s="1208"/>
      <c r="E6" s="1208"/>
      <c r="F6" s="1208"/>
      <c r="G6" s="1208"/>
      <c r="H6" s="1208"/>
      <c r="I6" s="1208"/>
      <c r="J6" s="1208"/>
      <c r="K6" s="1208"/>
    </row>
    <row r="7" spans="1:24" ht="60" customHeight="1" x14ac:dyDescent="0.25">
      <c r="A7" s="1092"/>
      <c r="B7" s="1092"/>
      <c r="C7" s="1092"/>
      <c r="D7" s="1092"/>
      <c r="E7" s="1092"/>
      <c r="F7" s="1092"/>
    </row>
    <row r="8" spans="1:24" ht="24.95" customHeight="1" thickBot="1" x14ac:dyDescent="0.3">
      <c r="A8" s="989" t="s">
        <v>1847</v>
      </c>
      <c r="B8" s="989"/>
      <c r="C8" s="989"/>
      <c r="D8" s="989"/>
      <c r="E8" s="989"/>
      <c r="F8" s="989"/>
    </row>
    <row r="9" spans="1:24" ht="18" customHeight="1" x14ac:dyDescent="0.25">
      <c r="A9" s="1128" t="s">
        <v>1717</v>
      </c>
      <c r="B9" s="1699"/>
      <c r="C9" s="1700" t="str">
        <f>IF(ISBLANK('Section 9| Compliance Plan'!B16),"",'Section 9| Compliance Plan'!B16)</f>
        <v/>
      </c>
      <c r="D9" s="1701"/>
      <c r="E9" s="1701"/>
      <c r="F9" s="1702"/>
      <c r="G9" s="123"/>
      <c r="M9" s="80"/>
      <c r="N9" s="80"/>
      <c r="O9" s="80"/>
      <c r="Q9" s="80"/>
      <c r="R9" s="80"/>
      <c r="S9" s="80"/>
      <c r="T9" s="80"/>
      <c r="U9" s="80"/>
      <c r="V9" s="80"/>
      <c r="W9" s="80"/>
      <c r="X9" s="80"/>
    </row>
    <row r="10" spans="1:24" ht="18" customHeight="1" x14ac:dyDescent="0.25">
      <c r="A10" s="1136" t="s">
        <v>1718</v>
      </c>
      <c r="B10" s="1683"/>
      <c r="C10" s="1684" t="str">
        <f>IF(ISBLANK('Section 9| Compliance Plan'!A16),"",'Section 9| Compliance Plan'!A16)</f>
        <v/>
      </c>
      <c r="D10" s="1685"/>
      <c r="E10" s="1685"/>
      <c r="F10" s="1686"/>
      <c r="G10" s="123"/>
      <c r="M10" s="80"/>
      <c r="N10" s="80"/>
      <c r="O10" s="80"/>
      <c r="Q10" s="80"/>
      <c r="R10" s="80"/>
      <c r="S10" s="80"/>
      <c r="T10" s="80"/>
      <c r="U10" s="80"/>
      <c r="V10" s="80"/>
      <c r="W10" s="80"/>
      <c r="X10" s="80"/>
    </row>
    <row r="11" spans="1:24" ht="18" customHeight="1" x14ac:dyDescent="0.25">
      <c r="A11" s="1687" t="s">
        <v>1719</v>
      </c>
      <c r="B11" s="1688"/>
      <c r="C11" s="1688"/>
      <c r="D11" s="1688"/>
      <c r="E11" s="1688"/>
      <c r="F11" s="1689"/>
      <c r="G11" s="123"/>
      <c r="M11" s="80"/>
      <c r="N11" s="80"/>
      <c r="O11" s="80"/>
      <c r="Q11" s="80"/>
      <c r="R11" s="80"/>
      <c r="S11" s="80"/>
      <c r="T11" s="80"/>
      <c r="U11" s="80"/>
      <c r="V11" s="80"/>
      <c r="W11" s="80"/>
      <c r="X11" s="80"/>
    </row>
    <row r="12" spans="1:24" ht="65.099999999999994" customHeight="1" x14ac:dyDescent="0.25">
      <c r="A12" s="1690"/>
      <c r="B12" s="1691"/>
      <c r="C12" s="1691"/>
      <c r="D12" s="1691"/>
      <c r="E12" s="1691"/>
      <c r="F12" s="1692"/>
      <c r="G12" s="123"/>
      <c r="M12" s="80"/>
      <c r="N12" s="80"/>
      <c r="O12" s="80"/>
      <c r="Q12" s="80"/>
      <c r="R12" s="80"/>
      <c r="S12" s="80"/>
      <c r="T12" s="80"/>
      <c r="U12" s="80"/>
      <c r="V12" s="80"/>
      <c r="W12" s="80"/>
      <c r="X12" s="80"/>
    </row>
    <row r="13" spans="1:24" ht="18" customHeight="1" x14ac:dyDescent="0.25">
      <c r="A13" s="1687" t="s">
        <v>1720</v>
      </c>
      <c r="B13" s="1688"/>
      <c r="C13" s="1688"/>
      <c r="D13" s="1688"/>
      <c r="E13" s="1688"/>
      <c r="F13" s="1689"/>
      <c r="G13" s="123"/>
      <c r="M13" s="80"/>
      <c r="N13" s="80"/>
      <c r="O13" s="80"/>
      <c r="Q13" s="80"/>
      <c r="R13" s="80"/>
      <c r="S13" s="80"/>
      <c r="T13" s="80"/>
      <c r="U13" s="80"/>
      <c r="V13" s="80"/>
      <c r="W13" s="80"/>
      <c r="X13" s="80"/>
    </row>
    <row r="14" spans="1:24" ht="18" customHeight="1" x14ac:dyDescent="0.25">
      <c r="A14" s="1693" t="s">
        <v>1721</v>
      </c>
      <c r="B14" s="1694"/>
      <c r="C14" s="1694"/>
      <c r="D14" s="1694"/>
      <c r="E14" s="1695"/>
      <c r="F14" s="173" t="s">
        <v>1722</v>
      </c>
      <c r="G14" s="123"/>
      <c r="M14" s="80"/>
      <c r="N14" s="80"/>
      <c r="O14" s="80"/>
      <c r="Q14" s="80"/>
      <c r="R14" s="80"/>
      <c r="S14" s="80"/>
      <c r="T14" s="80"/>
      <c r="U14" s="80"/>
      <c r="V14" s="80"/>
      <c r="W14" s="80"/>
      <c r="X14" s="80"/>
    </row>
    <row r="15" spans="1:24" ht="18" customHeight="1" x14ac:dyDescent="0.25">
      <c r="A15" s="1696"/>
      <c r="B15" s="1673"/>
      <c r="C15" s="1673"/>
      <c r="D15" s="1673"/>
      <c r="E15" s="1672"/>
      <c r="F15" s="170"/>
      <c r="G15" s="123"/>
      <c r="M15" s="80"/>
      <c r="N15" s="80"/>
      <c r="O15" s="80"/>
      <c r="Q15" s="80"/>
      <c r="R15" s="80"/>
      <c r="S15" s="80"/>
      <c r="T15" s="80"/>
      <c r="U15" s="80"/>
      <c r="V15" s="80"/>
      <c r="W15" s="80"/>
      <c r="X15" s="80"/>
    </row>
    <row r="16" spans="1:24" ht="18" customHeight="1" x14ac:dyDescent="0.25">
      <c r="A16" s="1697"/>
      <c r="B16" s="1677"/>
      <c r="C16" s="1677"/>
      <c r="D16" s="1677"/>
      <c r="E16" s="1676"/>
      <c r="F16" s="171"/>
      <c r="G16" s="123"/>
      <c r="M16" s="80"/>
      <c r="N16" s="80"/>
      <c r="O16" s="80"/>
      <c r="Q16" s="80"/>
      <c r="R16" s="80"/>
      <c r="S16" s="80"/>
      <c r="T16" s="80"/>
      <c r="U16" s="80"/>
      <c r="V16" s="80"/>
      <c r="W16" s="80"/>
      <c r="X16" s="80"/>
    </row>
    <row r="17" spans="1:24" ht="18" customHeight="1" x14ac:dyDescent="0.25">
      <c r="A17" s="1697"/>
      <c r="B17" s="1677"/>
      <c r="C17" s="1677"/>
      <c r="D17" s="1677"/>
      <c r="E17" s="1676"/>
      <c r="F17" s="171"/>
      <c r="G17" s="123"/>
      <c r="M17" s="80"/>
      <c r="N17" s="80"/>
      <c r="O17" s="80"/>
      <c r="Q17" s="80"/>
      <c r="R17" s="80"/>
      <c r="S17" s="80"/>
      <c r="T17" s="80"/>
      <c r="U17" s="80"/>
      <c r="V17" s="80"/>
      <c r="W17" s="80"/>
      <c r="X17" s="80"/>
    </row>
    <row r="18" spans="1:24" ht="18" customHeight="1" x14ac:dyDescent="0.25">
      <c r="A18" s="1697"/>
      <c r="B18" s="1677"/>
      <c r="C18" s="1677"/>
      <c r="D18" s="1677"/>
      <c r="E18" s="1676"/>
      <c r="F18" s="171"/>
      <c r="G18" s="123"/>
      <c r="M18" s="80"/>
      <c r="N18" s="80"/>
      <c r="O18" s="80"/>
      <c r="Q18" s="80"/>
      <c r="R18" s="80"/>
      <c r="S18" s="80"/>
      <c r="T18" s="80"/>
      <c r="U18" s="80"/>
      <c r="V18" s="80"/>
      <c r="W18" s="80"/>
      <c r="X18" s="80"/>
    </row>
    <row r="19" spans="1:24" ht="18" customHeight="1" x14ac:dyDescent="0.25">
      <c r="A19" s="1697"/>
      <c r="B19" s="1677"/>
      <c r="C19" s="1677"/>
      <c r="D19" s="1677"/>
      <c r="E19" s="1676"/>
      <c r="F19" s="171"/>
      <c r="G19" s="123"/>
      <c r="M19" s="80"/>
      <c r="N19" s="80"/>
      <c r="O19" s="80"/>
      <c r="Q19" s="80"/>
      <c r="R19" s="80"/>
      <c r="S19" s="80"/>
      <c r="T19" s="80"/>
      <c r="U19" s="80"/>
      <c r="V19" s="80"/>
      <c r="W19" s="80"/>
      <c r="X19" s="80"/>
    </row>
    <row r="20" spans="1:24" ht="18" customHeight="1" thickBot="1" x14ac:dyDescent="0.3">
      <c r="A20" s="1698"/>
      <c r="B20" s="1681"/>
      <c r="C20" s="1681"/>
      <c r="D20" s="1681"/>
      <c r="E20" s="1680"/>
      <c r="F20" s="172"/>
      <c r="G20" s="123"/>
      <c r="M20" s="80"/>
      <c r="N20" s="80"/>
      <c r="O20" s="80"/>
      <c r="Q20" s="80"/>
      <c r="R20" s="80"/>
      <c r="S20" s="80"/>
      <c r="T20" s="80"/>
      <c r="U20" s="80"/>
      <c r="V20" s="80"/>
      <c r="W20" s="80"/>
      <c r="X20" s="80"/>
    </row>
    <row r="21" spans="1:24" ht="18" customHeight="1" x14ac:dyDescent="0.25">
      <c r="A21" s="1128" t="s">
        <v>1717</v>
      </c>
      <c r="B21" s="1699"/>
      <c r="C21" s="1700" t="str">
        <f>IF(ISBLANK('Section 9| Compliance Plan'!B17),"",'Section 9| Compliance Plan'!B17)</f>
        <v/>
      </c>
      <c r="D21" s="1701"/>
      <c r="E21" s="1701"/>
      <c r="F21" s="1702"/>
      <c r="G21" s="123"/>
      <c r="M21" s="80"/>
      <c r="N21" s="80"/>
      <c r="O21" s="80"/>
      <c r="Q21" s="80"/>
      <c r="R21" s="80"/>
      <c r="S21" s="80"/>
      <c r="T21" s="80"/>
      <c r="U21" s="80"/>
      <c r="V21" s="80"/>
      <c r="W21" s="80"/>
      <c r="X21" s="80"/>
    </row>
    <row r="22" spans="1:24" ht="18" customHeight="1" x14ac:dyDescent="0.25">
      <c r="A22" s="1136" t="s">
        <v>1718</v>
      </c>
      <c r="B22" s="1683"/>
      <c r="C22" s="1684" t="str">
        <f>IF(ISBLANK('Section 9| Compliance Plan'!A17),"",'Section 9| Compliance Plan'!A17)</f>
        <v/>
      </c>
      <c r="D22" s="1685"/>
      <c r="E22" s="1685"/>
      <c r="F22" s="1686"/>
      <c r="G22" s="123"/>
      <c r="M22" s="80"/>
      <c r="N22" s="80"/>
      <c r="O22" s="80"/>
      <c r="Q22" s="80"/>
      <c r="R22" s="80"/>
      <c r="S22" s="80"/>
      <c r="T22" s="80"/>
      <c r="U22" s="80"/>
      <c r="V22" s="80"/>
      <c r="W22" s="80"/>
      <c r="X22" s="80"/>
    </row>
    <row r="23" spans="1:24" ht="18" customHeight="1" x14ac:dyDescent="0.25">
      <c r="A23" s="1687" t="s">
        <v>1719</v>
      </c>
      <c r="B23" s="1688"/>
      <c r="C23" s="1688"/>
      <c r="D23" s="1688"/>
      <c r="E23" s="1688"/>
      <c r="F23" s="1689"/>
      <c r="G23" s="123"/>
      <c r="M23" s="80"/>
      <c r="N23" s="80"/>
      <c r="O23" s="80"/>
      <c r="Q23" s="80"/>
      <c r="R23" s="80"/>
      <c r="S23" s="80"/>
      <c r="T23" s="80"/>
      <c r="U23" s="80"/>
      <c r="V23" s="80"/>
      <c r="W23" s="80"/>
      <c r="X23" s="80"/>
    </row>
    <row r="24" spans="1:24" ht="65.099999999999994" customHeight="1" x14ac:dyDescent="0.25">
      <c r="A24" s="1690"/>
      <c r="B24" s="1691"/>
      <c r="C24" s="1691"/>
      <c r="D24" s="1691"/>
      <c r="E24" s="1691"/>
      <c r="F24" s="1692"/>
      <c r="G24" s="123"/>
      <c r="M24" s="80"/>
      <c r="N24" s="80"/>
      <c r="O24" s="80"/>
      <c r="Q24" s="80"/>
      <c r="R24" s="80"/>
      <c r="S24" s="80"/>
      <c r="T24" s="80"/>
      <c r="U24" s="80"/>
      <c r="V24" s="80"/>
      <c r="W24" s="80"/>
      <c r="X24" s="80"/>
    </row>
    <row r="25" spans="1:24" ht="18" customHeight="1" x14ac:dyDescent="0.25">
      <c r="A25" s="1687" t="s">
        <v>1720</v>
      </c>
      <c r="B25" s="1688"/>
      <c r="C25" s="1688"/>
      <c r="D25" s="1688"/>
      <c r="E25" s="1688"/>
      <c r="F25" s="1689"/>
      <c r="G25" s="123"/>
      <c r="M25" s="80"/>
      <c r="N25" s="80"/>
      <c r="O25" s="80"/>
      <c r="Q25" s="80"/>
      <c r="R25" s="80"/>
      <c r="S25" s="80"/>
      <c r="T25" s="80"/>
      <c r="U25" s="80"/>
      <c r="V25" s="80"/>
      <c r="W25" s="80"/>
      <c r="X25" s="80"/>
    </row>
    <row r="26" spans="1:24" ht="18" customHeight="1" x14ac:dyDescent="0.25">
      <c r="A26" s="1693" t="s">
        <v>1721</v>
      </c>
      <c r="B26" s="1694"/>
      <c r="C26" s="1694"/>
      <c r="D26" s="1694"/>
      <c r="E26" s="1695"/>
      <c r="F26" s="173" t="s">
        <v>1722</v>
      </c>
      <c r="G26" s="123"/>
      <c r="M26" s="80"/>
      <c r="N26" s="80"/>
      <c r="O26" s="80"/>
      <c r="Q26" s="80"/>
      <c r="R26" s="80"/>
      <c r="S26" s="80"/>
      <c r="T26" s="80"/>
      <c r="U26" s="80"/>
      <c r="V26" s="80"/>
      <c r="W26" s="80"/>
      <c r="X26" s="80"/>
    </row>
    <row r="27" spans="1:24" ht="18" customHeight="1" x14ac:dyDescent="0.25">
      <c r="A27" s="1696"/>
      <c r="B27" s="1673"/>
      <c r="C27" s="1673"/>
      <c r="D27" s="1673"/>
      <c r="E27" s="1672"/>
      <c r="F27" s="170"/>
      <c r="G27" s="123"/>
      <c r="M27" s="80"/>
      <c r="N27" s="80"/>
      <c r="O27" s="80"/>
      <c r="Q27" s="80"/>
      <c r="R27" s="80"/>
      <c r="S27" s="80"/>
      <c r="T27" s="80"/>
      <c r="U27" s="80"/>
      <c r="V27" s="80"/>
      <c r="W27" s="80"/>
      <c r="X27" s="80"/>
    </row>
    <row r="28" spans="1:24" ht="18" customHeight="1" x14ac:dyDescent="0.25">
      <c r="A28" s="1697"/>
      <c r="B28" s="1677"/>
      <c r="C28" s="1677"/>
      <c r="D28" s="1677"/>
      <c r="E28" s="1676"/>
      <c r="F28" s="171"/>
      <c r="G28" s="123"/>
      <c r="M28" s="80"/>
      <c r="N28" s="80"/>
      <c r="O28" s="80"/>
      <c r="Q28" s="80"/>
      <c r="R28" s="80"/>
      <c r="S28" s="80"/>
      <c r="T28" s="80"/>
      <c r="U28" s="80"/>
      <c r="V28" s="80"/>
      <c r="W28" s="80"/>
      <c r="X28" s="80"/>
    </row>
    <row r="29" spans="1:24" ht="18" customHeight="1" x14ac:dyDescent="0.25">
      <c r="A29" s="1697"/>
      <c r="B29" s="1677"/>
      <c r="C29" s="1677"/>
      <c r="D29" s="1677"/>
      <c r="E29" s="1676"/>
      <c r="F29" s="171"/>
      <c r="G29" s="123"/>
      <c r="M29" s="80"/>
      <c r="N29" s="80"/>
      <c r="O29" s="80"/>
      <c r="Q29" s="80"/>
      <c r="R29" s="80"/>
      <c r="S29" s="80"/>
      <c r="T29" s="80"/>
      <c r="U29" s="80"/>
      <c r="V29" s="80"/>
      <c r="W29" s="80"/>
      <c r="X29" s="80"/>
    </row>
    <row r="30" spans="1:24" ht="18" customHeight="1" x14ac:dyDescent="0.25">
      <c r="A30" s="1697"/>
      <c r="B30" s="1677"/>
      <c r="C30" s="1677"/>
      <c r="D30" s="1677"/>
      <c r="E30" s="1676"/>
      <c r="F30" s="171"/>
      <c r="G30" s="123"/>
      <c r="M30" s="80"/>
      <c r="N30" s="80"/>
      <c r="O30" s="80"/>
      <c r="Q30" s="80"/>
      <c r="R30" s="80"/>
      <c r="S30" s="80"/>
      <c r="T30" s="80"/>
      <c r="U30" s="80"/>
      <c r="V30" s="80"/>
      <c r="W30" s="80"/>
      <c r="X30" s="80"/>
    </row>
    <row r="31" spans="1:24" ht="18" customHeight="1" x14ac:dyDescent="0.25">
      <c r="A31" s="1697"/>
      <c r="B31" s="1677"/>
      <c r="C31" s="1677"/>
      <c r="D31" s="1677"/>
      <c r="E31" s="1676"/>
      <c r="F31" s="171"/>
      <c r="G31" s="123"/>
      <c r="M31" s="80"/>
      <c r="N31" s="80"/>
      <c r="O31" s="80"/>
      <c r="Q31" s="80"/>
      <c r="R31" s="80"/>
      <c r="S31" s="80"/>
      <c r="T31" s="80"/>
      <c r="U31" s="80"/>
      <c r="V31" s="80"/>
      <c r="W31" s="80"/>
      <c r="X31" s="80"/>
    </row>
    <row r="32" spans="1:24" ht="18" customHeight="1" thickBot="1" x14ac:dyDescent="0.3">
      <c r="A32" s="1698"/>
      <c r="B32" s="1681"/>
      <c r="C32" s="1681"/>
      <c r="D32" s="1681"/>
      <c r="E32" s="1680"/>
      <c r="F32" s="172"/>
      <c r="G32" s="123"/>
      <c r="M32" s="80"/>
      <c r="N32" s="80"/>
      <c r="O32" s="80"/>
      <c r="Q32" s="80"/>
      <c r="R32" s="80"/>
      <c r="S32" s="80"/>
      <c r="T32" s="80"/>
      <c r="U32" s="80"/>
      <c r="V32" s="80"/>
      <c r="W32" s="80"/>
      <c r="X32" s="80"/>
    </row>
    <row r="33" spans="1:24" ht="18" customHeight="1" x14ac:dyDescent="0.25">
      <c r="A33" s="1128" t="s">
        <v>1717</v>
      </c>
      <c r="B33" s="1699"/>
      <c r="C33" s="1700" t="str">
        <f>IF(ISBLANK('Section 9| Compliance Plan'!B18),"",'Section 9| Compliance Plan'!B18)</f>
        <v/>
      </c>
      <c r="D33" s="1701"/>
      <c r="E33" s="1701"/>
      <c r="F33" s="1702"/>
      <c r="G33" s="123"/>
      <c r="M33" s="80"/>
      <c r="N33" s="80"/>
      <c r="O33" s="80"/>
      <c r="Q33" s="80"/>
      <c r="R33" s="80"/>
      <c r="S33" s="80"/>
      <c r="T33" s="80"/>
      <c r="U33" s="80"/>
      <c r="V33" s="80"/>
      <c r="W33" s="80"/>
      <c r="X33" s="80"/>
    </row>
    <row r="34" spans="1:24" ht="18" customHeight="1" x14ac:dyDescent="0.25">
      <c r="A34" s="1136" t="s">
        <v>1718</v>
      </c>
      <c r="B34" s="1683"/>
      <c r="C34" s="1684" t="str">
        <f>IF(ISBLANK('Section 9| Compliance Plan'!A18),"",'Section 9| Compliance Plan'!A18)</f>
        <v/>
      </c>
      <c r="D34" s="1685"/>
      <c r="E34" s="1685"/>
      <c r="F34" s="1686"/>
      <c r="G34" s="123"/>
      <c r="M34" s="80"/>
      <c r="N34" s="80"/>
      <c r="O34" s="80"/>
      <c r="Q34" s="80"/>
      <c r="R34" s="80"/>
      <c r="S34" s="80"/>
      <c r="T34" s="80"/>
      <c r="U34" s="80"/>
      <c r="V34" s="80"/>
      <c r="W34" s="80"/>
      <c r="X34" s="80"/>
    </row>
    <row r="35" spans="1:24" ht="18" customHeight="1" x14ac:dyDescent="0.25">
      <c r="A35" s="1687" t="s">
        <v>1719</v>
      </c>
      <c r="B35" s="1688"/>
      <c r="C35" s="1688"/>
      <c r="D35" s="1688"/>
      <c r="E35" s="1688"/>
      <c r="F35" s="1689"/>
      <c r="G35" s="123"/>
      <c r="M35" s="80"/>
      <c r="N35" s="80"/>
      <c r="O35" s="80"/>
      <c r="Q35" s="80"/>
      <c r="R35" s="80"/>
      <c r="S35" s="80"/>
      <c r="T35" s="80"/>
      <c r="U35" s="80"/>
      <c r="V35" s="80"/>
      <c r="W35" s="80"/>
      <c r="X35" s="80"/>
    </row>
    <row r="36" spans="1:24" ht="65.099999999999994" customHeight="1" x14ac:dyDescent="0.25">
      <c r="A36" s="1690"/>
      <c r="B36" s="1691"/>
      <c r="C36" s="1691"/>
      <c r="D36" s="1691"/>
      <c r="E36" s="1691"/>
      <c r="F36" s="1692"/>
      <c r="G36" s="123"/>
      <c r="M36" s="80"/>
      <c r="N36" s="80"/>
      <c r="O36" s="80"/>
      <c r="Q36" s="80"/>
      <c r="R36" s="80"/>
      <c r="S36" s="80"/>
      <c r="T36" s="80"/>
      <c r="U36" s="80"/>
      <c r="V36" s="80"/>
      <c r="W36" s="80"/>
      <c r="X36" s="80"/>
    </row>
    <row r="37" spans="1:24" ht="18" customHeight="1" x14ac:dyDescent="0.25">
      <c r="A37" s="1687" t="s">
        <v>1720</v>
      </c>
      <c r="B37" s="1688"/>
      <c r="C37" s="1688"/>
      <c r="D37" s="1688"/>
      <c r="E37" s="1688"/>
      <c r="F37" s="1689"/>
      <c r="G37" s="123"/>
      <c r="M37" s="80"/>
      <c r="N37" s="80"/>
      <c r="O37" s="80"/>
      <c r="Q37" s="80"/>
      <c r="R37" s="80"/>
      <c r="S37" s="80"/>
      <c r="T37" s="80"/>
      <c r="U37" s="80"/>
      <c r="V37" s="80"/>
      <c r="W37" s="80"/>
      <c r="X37" s="80"/>
    </row>
    <row r="38" spans="1:24" ht="18" customHeight="1" x14ac:dyDescent="0.25">
      <c r="A38" s="1693" t="s">
        <v>1721</v>
      </c>
      <c r="B38" s="1694"/>
      <c r="C38" s="1694"/>
      <c r="D38" s="1694"/>
      <c r="E38" s="1695"/>
      <c r="F38" s="173" t="s">
        <v>1722</v>
      </c>
      <c r="G38" s="123"/>
      <c r="M38" s="80"/>
      <c r="N38" s="80"/>
      <c r="O38" s="80"/>
      <c r="Q38" s="80"/>
      <c r="R38" s="80"/>
      <c r="S38" s="80"/>
      <c r="T38" s="80"/>
      <c r="U38" s="80"/>
      <c r="V38" s="80"/>
      <c r="W38" s="80"/>
      <c r="X38" s="80"/>
    </row>
    <row r="39" spans="1:24" ht="18" customHeight="1" x14ac:dyDescent="0.25">
      <c r="A39" s="1696"/>
      <c r="B39" s="1673"/>
      <c r="C39" s="1673"/>
      <c r="D39" s="1673"/>
      <c r="E39" s="1672"/>
      <c r="F39" s="170"/>
      <c r="G39" s="123"/>
      <c r="M39" s="80"/>
      <c r="N39" s="80"/>
      <c r="O39" s="80"/>
      <c r="Q39" s="80"/>
      <c r="R39" s="80"/>
      <c r="S39" s="80"/>
      <c r="T39" s="80"/>
      <c r="U39" s="80"/>
      <c r="V39" s="80"/>
      <c r="W39" s="80"/>
      <c r="X39" s="80"/>
    </row>
    <row r="40" spans="1:24" ht="18" customHeight="1" x14ac:dyDescent="0.25">
      <c r="A40" s="1697"/>
      <c r="B40" s="1677"/>
      <c r="C40" s="1677"/>
      <c r="D40" s="1677"/>
      <c r="E40" s="1676"/>
      <c r="F40" s="171"/>
      <c r="G40" s="123"/>
      <c r="M40" s="80"/>
      <c r="N40" s="80"/>
      <c r="O40" s="80"/>
      <c r="Q40" s="80"/>
      <c r="R40" s="80"/>
      <c r="S40" s="80"/>
      <c r="T40" s="80"/>
      <c r="U40" s="80"/>
      <c r="V40" s="80"/>
      <c r="W40" s="80"/>
      <c r="X40" s="80"/>
    </row>
    <row r="41" spans="1:24" ht="18" customHeight="1" x14ac:dyDescent="0.25">
      <c r="A41" s="1697"/>
      <c r="B41" s="1677"/>
      <c r="C41" s="1677"/>
      <c r="D41" s="1677"/>
      <c r="E41" s="1676"/>
      <c r="F41" s="171"/>
      <c r="G41" s="123"/>
      <c r="M41" s="80"/>
      <c r="N41" s="80"/>
      <c r="O41" s="80"/>
      <c r="Q41" s="80"/>
      <c r="R41" s="80"/>
      <c r="S41" s="80"/>
      <c r="T41" s="80"/>
      <c r="U41" s="80"/>
      <c r="V41" s="80"/>
      <c r="W41" s="80"/>
      <c r="X41" s="80"/>
    </row>
    <row r="42" spans="1:24" ht="18" customHeight="1" x14ac:dyDescent="0.25">
      <c r="A42" s="1697"/>
      <c r="B42" s="1677"/>
      <c r="C42" s="1677"/>
      <c r="D42" s="1677"/>
      <c r="E42" s="1676"/>
      <c r="F42" s="171"/>
      <c r="G42" s="123"/>
      <c r="M42" s="80"/>
      <c r="N42" s="80"/>
      <c r="O42" s="80"/>
      <c r="Q42" s="80"/>
      <c r="R42" s="80"/>
      <c r="S42" s="80"/>
      <c r="T42" s="80"/>
      <c r="U42" s="80"/>
      <c r="V42" s="80"/>
      <c r="W42" s="80"/>
      <c r="X42" s="80"/>
    </row>
    <row r="43" spans="1:24" ht="18" customHeight="1" x14ac:dyDescent="0.25">
      <c r="A43" s="1697"/>
      <c r="B43" s="1677"/>
      <c r="C43" s="1677"/>
      <c r="D43" s="1677"/>
      <c r="E43" s="1676"/>
      <c r="F43" s="171"/>
      <c r="G43" s="123"/>
      <c r="M43" s="80"/>
      <c r="N43" s="80"/>
      <c r="O43" s="80"/>
      <c r="Q43" s="80"/>
      <c r="R43" s="80"/>
      <c r="S43" s="80"/>
      <c r="T43" s="80"/>
      <c r="U43" s="80"/>
      <c r="V43" s="80"/>
      <c r="W43" s="80"/>
      <c r="X43" s="80"/>
    </row>
    <row r="44" spans="1:24" ht="18" customHeight="1" thickBot="1" x14ac:dyDescent="0.3">
      <c r="A44" s="1698"/>
      <c r="B44" s="1681"/>
      <c r="C44" s="1681"/>
      <c r="D44" s="1681"/>
      <c r="E44" s="1680"/>
      <c r="F44" s="172"/>
      <c r="G44" s="123"/>
      <c r="M44" s="80"/>
      <c r="N44" s="80"/>
      <c r="O44" s="80"/>
      <c r="Q44" s="80"/>
      <c r="R44" s="80"/>
      <c r="S44" s="80"/>
      <c r="T44" s="80"/>
      <c r="U44" s="80"/>
      <c r="V44" s="80"/>
      <c r="W44" s="80"/>
      <c r="X44" s="80"/>
    </row>
    <row r="45" spans="1:24" ht="18" customHeight="1" x14ac:dyDescent="0.25">
      <c r="A45" s="1128" t="s">
        <v>1717</v>
      </c>
      <c r="B45" s="1699"/>
      <c r="C45" s="1700" t="str">
        <f>IF(ISBLANK('Section 9| Compliance Plan'!B19),"",'Section 9| Compliance Plan'!B19)</f>
        <v/>
      </c>
      <c r="D45" s="1701"/>
      <c r="E45" s="1701"/>
      <c r="F45" s="1702"/>
      <c r="G45" s="123"/>
      <c r="M45" s="80"/>
      <c r="N45" s="80"/>
      <c r="O45" s="80"/>
      <c r="Q45" s="80"/>
      <c r="R45" s="80"/>
      <c r="S45" s="80"/>
      <c r="T45" s="80"/>
      <c r="U45" s="80"/>
      <c r="V45" s="80"/>
      <c r="W45" s="80"/>
      <c r="X45" s="80"/>
    </row>
    <row r="46" spans="1:24" ht="18" customHeight="1" x14ac:dyDescent="0.25">
      <c r="A46" s="1136" t="s">
        <v>1718</v>
      </c>
      <c r="B46" s="1683"/>
      <c r="C46" s="1684" t="str">
        <f>IF(ISBLANK('Section 9| Compliance Plan'!A19),"",'Section 9| Compliance Plan'!A19)</f>
        <v/>
      </c>
      <c r="D46" s="1685"/>
      <c r="E46" s="1685"/>
      <c r="F46" s="1686"/>
      <c r="G46" s="123"/>
      <c r="M46" s="80"/>
      <c r="N46" s="80"/>
      <c r="O46" s="80"/>
      <c r="Q46" s="80"/>
      <c r="R46" s="80"/>
      <c r="S46" s="80"/>
      <c r="T46" s="80"/>
      <c r="U46" s="80"/>
      <c r="V46" s="80"/>
      <c r="W46" s="80"/>
      <c r="X46" s="80"/>
    </row>
    <row r="47" spans="1:24" ht="18" customHeight="1" x14ac:dyDescent="0.25">
      <c r="A47" s="1687" t="s">
        <v>1719</v>
      </c>
      <c r="B47" s="1688"/>
      <c r="C47" s="1688"/>
      <c r="D47" s="1688"/>
      <c r="E47" s="1688"/>
      <c r="F47" s="1689"/>
      <c r="G47" s="123"/>
      <c r="M47" s="80"/>
      <c r="N47" s="80"/>
      <c r="O47" s="80"/>
      <c r="Q47" s="80"/>
      <c r="R47" s="80"/>
      <c r="S47" s="80"/>
      <c r="T47" s="80"/>
      <c r="U47" s="80"/>
      <c r="V47" s="80"/>
      <c r="W47" s="80"/>
      <c r="X47" s="80"/>
    </row>
    <row r="48" spans="1:24" ht="65.099999999999994" customHeight="1" x14ac:dyDescent="0.25">
      <c r="A48" s="1690"/>
      <c r="B48" s="1691"/>
      <c r="C48" s="1691"/>
      <c r="D48" s="1691"/>
      <c r="E48" s="1691"/>
      <c r="F48" s="1692"/>
      <c r="G48" s="123"/>
      <c r="M48" s="80"/>
      <c r="N48" s="80"/>
      <c r="O48" s="80"/>
      <c r="Q48" s="80"/>
      <c r="R48" s="80"/>
      <c r="S48" s="80"/>
      <c r="T48" s="80"/>
      <c r="U48" s="80"/>
      <c r="V48" s="80"/>
      <c r="W48" s="80"/>
      <c r="X48" s="80"/>
    </row>
    <row r="49" spans="1:24" ht="18" customHeight="1" x14ac:dyDescent="0.25">
      <c r="A49" s="1687" t="s">
        <v>1720</v>
      </c>
      <c r="B49" s="1688"/>
      <c r="C49" s="1688"/>
      <c r="D49" s="1688"/>
      <c r="E49" s="1688"/>
      <c r="F49" s="1689"/>
      <c r="G49" s="123"/>
      <c r="M49" s="80"/>
      <c r="N49" s="80"/>
      <c r="O49" s="80"/>
      <c r="Q49" s="80"/>
      <c r="R49" s="80"/>
      <c r="S49" s="80"/>
      <c r="T49" s="80"/>
      <c r="U49" s="80"/>
      <c r="V49" s="80"/>
      <c r="W49" s="80"/>
      <c r="X49" s="80"/>
    </row>
    <row r="50" spans="1:24" ht="18" customHeight="1" x14ac:dyDescent="0.25">
      <c r="A50" s="1693" t="s">
        <v>1721</v>
      </c>
      <c r="B50" s="1694"/>
      <c r="C50" s="1694"/>
      <c r="D50" s="1694"/>
      <c r="E50" s="1695"/>
      <c r="F50" s="173" t="s">
        <v>1722</v>
      </c>
      <c r="G50" s="123"/>
      <c r="M50" s="80"/>
      <c r="N50" s="80"/>
      <c r="O50" s="80"/>
      <c r="Q50" s="80"/>
      <c r="R50" s="80"/>
      <c r="S50" s="80"/>
      <c r="T50" s="80"/>
      <c r="U50" s="80"/>
      <c r="V50" s="80"/>
      <c r="W50" s="80"/>
      <c r="X50" s="80"/>
    </row>
    <row r="51" spans="1:24" ht="18" customHeight="1" x14ac:dyDescent="0.25">
      <c r="A51" s="1696"/>
      <c r="B51" s="1673"/>
      <c r="C51" s="1673"/>
      <c r="D51" s="1673"/>
      <c r="E51" s="1672"/>
      <c r="F51" s="170"/>
      <c r="G51" s="123"/>
      <c r="M51" s="80"/>
      <c r="N51" s="80"/>
      <c r="O51" s="80"/>
      <c r="Q51" s="80"/>
      <c r="R51" s="80"/>
      <c r="S51" s="80"/>
      <c r="T51" s="80"/>
      <c r="U51" s="80"/>
      <c r="V51" s="80"/>
      <c r="W51" s="80"/>
      <c r="X51" s="80"/>
    </row>
    <row r="52" spans="1:24" ht="18" customHeight="1" x14ac:dyDescent="0.25">
      <c r="A52" s="1697"/>
      <c r="B52" s="1677"/>
      <c r="C52" s="1677"/>
      <c r="D52" s="1677"/>
      <c r="E52" s="1676"/>
      <c r="F52" s="171"/>
      <c r="G52" s="123"/>
      <c r="M52" s="80"/>
      <c r="N52" s="80"/>
      <c r="O52" s="80"/>
      <c r="Q52" s="80"/>
      <c r="R52" s="80"/>
      <c r="S52" s="80"/>
      <c r="T52" s="80"/>
      <c r="U52" s="80"/>
      <c r="V52" s="80"/>
      <c r="W52" s="80"/>
      <c r="X52" s="80"/>
    </row>
    <row r="53" spans="1:24" ht="18" customHeight="1" x14ac:dyDescent="0.25">
      <c r="A53" s="1697"/>
      <c r="B53" s="1677"/>
      <c r="C53" s="1677"/>
      <c r="D53" s="1677"/>
      <c r="E53" s="1676"/>
      <c r="F53" s="171"/>
      <c r="G53" s="123"/>
      <c r="M53" s="80"/>
      <c r="N53" s="80"/>
      <c r="O53" s="80"/>
      <c r="Q53" s="80"/>
      <c r="R53" s="80"/>
      <c r="S53" s="80"/>
      <c r="T53" s="80"/>
      <c r="U53" s="80"/>
      <c r="V53" s="80"/>
      <c r="W53" s="80"/>
      <c r="X53" s="80"/>
    </row>
    <row r="54" spans="1:24" ht="18" customHeight="1" x14ac:dyDescent="0.25">
      <c r="A54" s="1697"/>
      <c r="B54" s="1677"/>
      <c r="C54" s="1677"/>
      <c r="D54" s="1677"/>
      <c r="E54" s="1676"/>
      <c r="F54" s="171"/>
      <c r="G54" s="123"/>
      <c r="M54" s="80"/>
      <c r="N54" s="80"/>
      <c r="O54" s="80"/>
      <c r="Q54" s="80"/>
      <c r="R54" s="80"/>
      <c r="S54" s="80"/>
      <c r="T54" s="80"/>
      <c r="U54" s="80"/>
      <c r="V54" s="80"/>
      <c r="W54" s="80"/>
      <c r="X54" s="80"/>
    </row>
    <row r="55" spans="1:24" ht="18" customHeight="1" x14ac:dyDescent="0.25">
      <c r="A55" s="1697"/>
      <c r="B55" s="1677"/>
      <c r="C55" s="1677"/>
      <c r="D55" s="1677"/>
      <c r="E55" s="1676"/>
      <c r="F55" s="171"/>
      <c r="G55" s="123"/>
      <c r="M55" s="80"/>
      <c r="N55" s="80"/>
      <c r="O55" s="80"/>
      <c r="Q55" s="80"/>
      <c r="R55" s="80"/>
      <c r="S55" s="80"/>
      <c r="T55" s="80"/>
      <c r="U55" s="80"/>
      <c r="V55" s="80"/>
      <c r="W55" s="80"/>
      <c r="X55" s="80"/>
    </row>
    <row r="56" spans="1:24" ht="18" customHeight="1" thickBot="1" x14ac:dyDescent="0.3">
      <c r="A56" s="1698"/>
      <c r="B56" s="1681"/>
      <c r="C56" s="1681"/>
      <c r="D56" s="1681"/>
      <c r="E56" s="1680"/>
      <c r="F56" s="172"/>
      <c r="G56" s="123"/>
      <c r="M56" s="80"/>
      <c r="N56" s="80"/>
      <c r="O56" s="80"/>
      <c r="Q56" s="80"/>
      <c r="R56" s="80"/>
      <c r="S56" s="80"/>
      <c r="T56" s="80"/>
      <c r="U56" s="80"/>
      <c r="V56" s="80"/>
      <c r="W56" s="80"/>
      <c r="X56" s="80"/>
    </row>
    <row r="57" spans="1:24" ht="18" customHeight="1" x14ac:dyDescent="0.25">
      <c r="A57" s="1128" t="s">
        <v>1717</v>
      </c>
      <c r="B57" s="1699"/>
      <c r="C57" s="1700" t="str">
        <f>IF(ISBLANK('Section 9| Compliance Plan'!B20),"",'Section 9| Compliance Plan'!B20)</f>
        <v/>
      </c>
      <c r="D57" s="1701"/>
      <c r="E57" s="1701"/>
      <c r="F57" s="1702"/>
      <c r="G57" s="123"/>
      <c r="M57" s="80"/>
      <c r="N57" s="80"/>
      <c r="O57" s="80"/>
      <c r="Q57" s="80"/>
      <c r="R57" s="80"/>
      <c r="S57" s="80"/>
      <c r="T57" s="80"/>
      <c r="U57" s="80"/>
      <c r="V57" s="80"/>
      <c r="W57" s="80"/>
      <c r="X57" s="80"/>
    </row>
    <row r="58" spans="1:24" ht="18" customHeight="1" x14ac:dyDescent="0.25">
      <c r="A58" s="1136" t="s">
        <v>1718</v>
      </c>
      <c r="B58" s="1683"/>
      <c r="C58" s="1684" t="str">
        <f>IF(ISBLANK('Section 9| Compliance Plan'!A20),"",'Section 9| Compliance Plan'!A20)</f>
        <v/>
      </c>
      <c r="D58" s="1685"/>
      <c r="E58" s="1685"/>
      <c r="F58" s="1686"/>
      <c r="G58" s="123"/>
      <c r="M58" s="80"/>
      <c r="N58" s="80"/>
      <c r="O58" s="80"/>
      <c r="Q58" s="80"/>
      <c r="R58" s="80"/>
      <c r="S58" s="80"/>
      <c r="T58" s="80"/>
      <c r="U58" s="80"/>
      <c r="V58" s="80"/>
      <c r="W58" s="80"/>
      <c r="X58" s="80"/>
    </row>
    <row r="59" spans="1:24" ht="18" customHeight="1" x14ac:dyDescent="0.25">
      <c r="A59" s="1687" t="s">
        <v>1719</v>
      </c>
      <c r="B59" s="1688"/>
      <c r="C59" s="1688"/>
      <c r="D59" s="1688"/>
      <c r="E59" s="1688"/>
      <c r="F59" s="1689"/>
      <c r="G59" s="123"/>
      <c r="M59" s="80"/>
      <c r="N59" s="80"/>
      <c r="O59" s="80"/>
      <c r="Q59" s="80"/>
      <c r="R59" s="80"/>
      <c r="S59" s="80"/>
      <c r="T59" s="80"/>
      <c r="U59" s="80"/>
      <c r="V59" s="80"/>
      <c r="W59" s="80"/>
      <c r="X59" s="80"/>
    </row>
    <row r="60" spans="1:24" ht="65.099999999999994" customHeight="1" x14ac:dyDescent="0.25">
      <c r="A60" s="1690"/>
      <c r="B60" s="1691"/>
      <c r="C60" s="1691"/>
      <c r="D60" s="1691"/>
      <c r="E60" s="1691"/>
      <c r="F60" s="1692"/>
      <c r="G60" s="123"/>
      <c r="M60" s="80"/>
      <c r="N60" s="80"/>
      <c r="O60" s="80"/>
      <c r="Q60" s="80"/>
      <c r="R60" s="80"/>
      <c r="S60" s="80"/>
      <c r="T60" s="80"/>
      <c r="U60" s="80"/>
      <c r="V60" s="80"/>
      <c r="W60" s="80"/>
      <c r="X60" s="80"/>
    </row>
    <row r="61" spans="1:24" ht="18" customHeight="1" x14ac:dyDescent="0.25">
      <c r="A61" s="1687" t="s">
        <v>1720</v>
      </c>
      <c r="B61" s="1688"/>
      <c r="C61" s="1688"/>
      <c r="D61" s="1688"/>
      <c r="E61" s="1688"/>
      <c r="F61" s="1689"/>
      <c r="G61" s="123"/>
      <c r="M61" s="80"/>
      <c r="N61" s="80"/>
      <c r="O61" s="80"/>
      <c r="Q61" s="80"/>
      <c r="R61" s="80"/>
      <c r="S61" s="80"/>
      <c r="T61" s="80"/>
      <c r="U61" s="80"/>
      <c r="V61" s="80"/>
      <c r="W61" s="80"/>
      <c r="X61" s="80"/>
    </row>
    <row r="62" spans="1:24" ht="18" customHeight="1" x14ac:dyDescent="0.25">
      <c r="A62" s="1693" t="s">
        <v>1721</v>
      </c>
      <c r="B62" s="1694"/>
      <c r="C62" s="1694"/>
      <c r="D62" s="1694"/>
      <c r="E62" s="1695"/>
      <c r="F62" s="173" t="s">
        <v>1722</v>
      </c>
      <c r="G62" s="123"/>
      <c r="M62" s="80"/>
      <c r="N62" s="80"/>
      <c r="O62" s="80"/>
      <c r="Q62" s="80"/>
      <c r="R62" s="80"/>
      <c r="S62" s="80"/>
      <c r="T62" s="80"/>
      <c r="U62" s="80"/>
      <c r="V62" s="80"/>
      <c r="W62" s="80"/>
      <c r="X62" s="80"/>
    </row>
    <row r="63" spans="1:24" ht="18" customHeight="1" x14ac:dyDescent="0.25">
      <c r="A63" s="1696"/>
      <c r="B63" s="1673"/>
      <c r="C63" s="1673"/>
      <c r="D63" s="1673"/>
      <c r="E63" s="1672"/>
      <c r="F63" s="170"/>
      <c r="G63" s="123"/>
      <c r="M63" s="80"/>
      <c r="N63" s="80"/>
      <c r="O63" s="80"/>
      <c r="Q63" s="80"/>
      <c r="R63" s="80"/>
      <c r="S63" s="80"/>
      <c r="T63" s="80"/>
      <c r="U63" s="80"/>
      <c r="V63" s="80"/>
      <c r="W63" s="80"/>
      <c r="X63" s="80"/>
    </row>
    <row r="64" spans="1:24" ht="18" customHeight="1" x14ac:dyDescent="0.25">
      <c r="A64" s="1697"/>
      <c r="B64" s="1677"/>
      <c r="C64" s="1677"/>
      <c r="D64" s="1677"/>
      <c r="E64" s="1676"/>
      <c r="F64" s="171"/>
      <c r="G64" s="123"/>
      <c r="M64" s="80"/>
      <c r="N64" s="80"/>
      <c r="O64" s="80"/>
      <c r="Q64" s="80"/>
      <c r="R64" s="80"/>
      <c r="S64" s="80"/>
      <c r="T64" s="80"/>
      <c r="U64" s="80"/>
      <c r="V64" s="80"/>
      <c r="W64" s="80"/>
      <c r="X64" s="80"/>
    </row>
    <row r="65" spans="1:24" ht="18" customHeight="1" x14ac:dyDescent="0.25">
      <c r="A65" s="1697"/>
      <c r="B65" s="1677"/>
      <c r="C65" s="1677"/>
      <c r="D65" s="1677"/>
      <c r="E65" s="1676"/>
      <c r="F65" s="171"/>
      <c r="G65" s="123"/>
      <c r="M65" s="80"/>
      <c r="N65" s="80"/>
      <c r="O65" s="80"/>
      <c r="Q65" s="80"/>
      <c r="R65" s="80"/>
      <c r="S65" s="80"/>
      <c r="T65" s="80"/>
      <c r="U65" s="80"/>
      <c r="V65" s="80"/>
      <c r="W65" s="80"/>
      <c r="X65" s="80"/>
    </row>
    <row r="66" spans="1:24" ht="18" customHeight="1" x14ac:dyDescent="0.25">
      <c r="A66" s="1697"/>
      <c r="B66" s="1677"/>
      <c r="C66" s="1677"/>
      <c r="D66" s="1677"/>
      <c r="E66" s="1676"/>
      <c r="F66" s="171"/>
      <c r="G66" s="123"/>
      <c r="M66" s="80"/>
      <c r="N66" s="80"/>
      <c r="O66" s="80"/>
      <c r="Q66" s="80"/>
      <c r="R66" s="80"/>
      <c r="S66" s="80"/>
      <c r="T66" s="80"/>
      <c r="U66" s="80"/>
      <c r="V66" s="80"/>
      <c r="W66" s="80"/>
      <c r="X66" s="80"/>
    </row>
    <row r="67" spans="1:24" ht="18" customHeight="1" x14ac:dyDescent="0.25">
      <c r="A67" s="1697"/>
      <c r="B67" s="1677"/>
      <c r="C67" s="1677"/>
      <c r="D67" s="1677"/>
      <c r="E67" s="1676"/>
      <c r="F67" s="171"/>
      <c r="G67" s="123"/>
      <c r="M67" s="80"/>
      <c r="N67" s="80"/>
      <c r="O67" s="80"/>
      <c r="Q67" s="80"/>
      <c r="R67" s="80"/>
      <c r="S67" s="80"/>
      <c r="T67" s="80"/>
      <c r="U67" s="80"/>
      <c r="V67" s="80"/>
      <c r="W67" s="80"/>
      <c r="X67" s="80"/>
    </row>
    <row r="68" spans="1:24" ht="18" customHeight="1" thickBot="1" x14ac:dyDescent="0.3">
      <c r="A68" s="1698"/>
      <c r="B68" s="1681"/>
      <c r="C68" s="1681"/>
      <c r="D68" s="1681"/>
      <c r="E68" s="1680"/>
      <c r="F68" s="172"/>
      <c r="G68" s="123"/>
      <c r="M68" s="80"/>
      <c r="N68" s="80"/>
      <c r="O68" s="80"/>
      <c r="Q68" s="80"/>
      <c r="R68" s="80"/>
      <c r="S68" s="80"/>
      <c r="T68" s="80"/>
      <c r="U68" s="80"/>
      <c r="V68" s="80"/>
      <c r="W68" s="80"/>
      <c r="X68" s="80"/>
    </row>
    <row r="69" spans="1:24" ht="18" customHeight="1" x14ac:dyDescent="0.25">
      <c r="A69" s="1128" t="s">
        <v>1717</v>
      </c>
      <c r="B69" s="1699"/>
      <c r="C69" s="1700" t="str">
        <f>IF(ISBLANK('Section 9| Compliance Plan'!B21),"",'Section 9| Compliance Plan'!B21)</f>
        <v/>
      </c>
      <c r="D69" s="1701"/>
      <c r="E69" s="1701"/>
      <c r="F69" s="1702"/>
      <c r="G69" s="123"/>
      <c r="M69" s="80"/>
      <c r="N69" s="80"/>
      <c r="O69" s="80"/>
      <c r="Q69" s="80"/>
      <c r="R69" s="80"/>
      <c r="S69" s="80"/>
      <c r="T69" s="80"/>
      <c r="U69" s="80"/>
      <c r="V69" s="80"/>
      <c r="W69" s="80"/>
      <c r="X69" s="80"/>
    </row>
    <row r="70" spans="1:24" ht="18" customHeight="1" x14ac:dyDescent="0.25">
      <c r="A70" s="1136" t="s">
        <v>1718</v>
      </c>
      <c r="B70" s="1683"/>
      <c r="C70" s="1684" t="str">
        <f>IF(ISBLANK('Section 9| Compliance Plan'!A21),"",'Section 9| Compliance Plan'!A21)</f>
        <v/>
      </c>
      <c r="D70" s="1685"/>
      <c r="E70" s="1685"/>
      <c r="F70" s="1686"/>
      <c r="G70" s="123"/>
      <c r="M70" s="80"/>
      <c r="N70" s="80"/>
      <c r="O70" s="80"/>
      <c r="Q70" s="80"/>
      <c r="R70" s="80"/>
      <c r="S70" s="80"/>
      <c r="T70" s="80"/>
      <c r="U70" s="80"/>
      <c r="V70" s="80"/>
      <c r="W70" s="80"/>
      <c r="X70" s="80"/>
    </row>
    <row r="71" spans="1:24" ht="18" customHeight="1" x14ac:dyDescent="0.25">
      <c r="A71" s="1687" t="s">
        <v>1719</v>
      </c>
      <c r="B71" s="1688"/>
      <c r="C71" s="1688"/>
      <c r="D71" s="1688"/>
      <c r="E71" s="1688"/>
      <c r="F71" s="1689"/>
      <c r="G71" s="123"/>
      <c r="M71" s="80"/>
      <c r="N71" s="80"/>
      <c r="O71" s="80"/>
      <c r="Q71" s="80"/>
      <c r="R71" s="80"/>
      <c r="S71" s="80"/>
      <c r="T71" s="80"/>
      <c r="U71" s="80"/>
      <c r="V71" s="80"/>
      <c r="W71" s="80"/>
      <c r="X71" s="80"/>
    </row>
    <row r="72" spans="1:24" ht="65.099999999999994" customHeight="1" x14ac:dyDescent="0.25">
      <c r="A72" s="1690"/>
      <c r="B72" s="1691"/>
      <c r="C72" s="1691"/>
      <c r="D72" s="1691"/>
      <c r="E72" s="1691"/>
      <c r="F72" s="1692"/>
      <c r="G72" s="123"/>
      <c r="M72" s="80"/>
      <c r="N72" s="80"/>
      <c r="O72" s="80"/>
      <c r="Q72" s="80"/>
      <c r="R72" s="80"/>
      <c r="S72" s="80"/>
      <c r="T72" s="80"/>
      <c r="U72" s="80"/>
      <c r="V72" s="80"/>
      <c r="W72" s="80"/>
      <c r="X72" s="80"/>
    </row>
    <row r="73" spans="1:24" ht="18" customHeight="1" x14ac:dyDescent="0.25">
      <c r="A73" s="1687" t="s">
        <v>1720</v>
      </c>
      <c r="B73" s="1688"/>
      <c r="C73" s="1688"/>
      <c r="D73" s="1688"/>
      <c r="E73" s="1688"/>
      <c r="F73" s="1689"/>
      <c r="G73" s="123"/>
      <c r="M73" s="80"/>
      <c r="N73" s="80"/>
      <c r="O73" s="80"/>
      <c r="Q73" s="80"/>
      <c r="R73" s="80"/>
      <c r="S73" s="80"/>
      <c r="T73" s="80"/>
      <c r="U73" s="80"/>
      <c r="V73" s="80"/>
      <c r="W73" s="80"/>
      <c r="X73" s="80"/>
    </row>
    <row r="74" spans="1:24" ht="18" customHeight="1" x14ac:dyDescent="0.25">
      <c r="A74" s="1693" t="s">
        <v>1721</v>
      </c>
      <c r="B74" s="1694"/>
      <c r="C74" s="1694"/>
      <c r="D74" s="1694"/>
      <c r="E74" s="1695"/>
      <c r="F74" s="173" t="s">
        <v>1722</v>
      </c>
      <c r="G74" s="123"/>
      <c r="M74" s="80"/>
      <c r="N74" s="80"/>
      <c r="O74" s="80"/>
      <c r="Q74" s="80"/>
      <c r="R74" s="80"/>
      <c r="S74" s="80"/>
      <c r="T74" s="80"/>
      <c r="U74" s="80"/>
      <c r="V74" s="80"/>
      <c r="W74" s="80"/>
      <c r="X74" s="80"/>
    </row>
    <row r="75" spans="1:24" ht="18" customHeight="1" x14ac:dyDescent="0.25">
      <c r="A75" s="1696"/>
      <c r="B75" s="1673"/>
      <c r="C75" s="1673"/>
      <c r="D75" s="1673"/>
      <c r="E75" s="1672"/>
      <c r="F75" s="170"/>
      <c r="G75" s="123"/>
      <c r="M75" s="80"/>
      <c r="N75" s="80"/>
      <c r="O75" s="80"/>
      <c r="Q75" s="80"/>
      <c r="R75" s="80"/>
      <c r="S75" s="80"/>
      <c r="T75" s="80"/>
      <c r="U75" s="80"/>
      <c r="V75" s="80"/>
      <c r="W75" s="80"/>
      <c r="X75" s="80"/>
    </row>
    <row r="76" spans="1:24" ht="18" customHeight="1" x14ac:dyDescent="0.25">
      <c r="A76" s="1697"/>
      <c r="B76" s="1677"/>
      <c r="C76" s="1677"/>
      <c r="D76" s="1677"/>
      <c r="E76" s="1676"/>
      <c r="F76" s="171"/>
      <c r="G76" s="123"/>
      <c r="M76" s="80"/>
      <c r="N76" s="80"/>
      <c r="O76" s="80"/>
      <c r="Q76" s="80"/>
      <c r="R76" s="80"/>
      <c r="S76" s="80"/>
      <c r="T76" s="80"/>
      <c r="U76" s="80"/>
      <c r="V76" s="80"/>
      <c r="W76" s="80"/>
      <c r="X76" s="80"/>
    </row>
    <row r="77" spans="1:24" ht="18" customHeight="1" x14ac:dyDescent="0.25">
      <c r="A77" s="1697"/>
      <c r="B77" s="1677"/>
      <c r="C77" s="1677"/>
      <c r="D77" s="1677"/>
      <c r="E77" s="1676"/>
      <c r="F77" s="171"/>
      <c r="G77" s="123"/>
      <c r="M77" s="80"/>
      <c r="N77" s="80"/>
      <c r="O77" s="80"/>
      <c r="Q77" s="80"/>
      <c r="R77" s="80"/>
      <c r="S77" s="80"/>
      <c r="T77" s="80"/>
      <c r="U77" s="80"/>
      <c r="V77" s="80"/>
      <c r="W77" s="80"/>
      <c r="X77" s="80"/>
    </row>
    <row r="78" spans="1:24" ht="18" customHeight="1" x14ac:dyDescent="0.25">
      <c r="A78" s="1697"/>
      <c r="B78" s="1677"/>
      <c r="C78" s="1677"/>
      <c r="D78" s="1677"/>
      <c r="E78" s="1676"/>
      <c r="F78" s="171"/>
      <c r="G78" s="123"/>
      <c r="M78" s="80"/>
      <c r="N78" s="80"/>
      <c r="O78" s="80"/>
      <c r="Q78" s="80"/>
      <c r="R78" s="80"/>
      <c r="S78" s="80"/>
      <c r="T78" s="80"/>
      <c r="U78" s="80"/>
      <c r="V78" s="80"/>
      <c r="W78" s="80"/>
      <c r="X78" s="80"/>
    </row>
    <row r="79" spans="1:24" ht="18" customHeight="1" x14ac:dyDescent="0.25">
      <c r="A79" s="1697"/>
      <c r="B79" s="1677"/>
      <c r="C79" s="1677"/>
      <c r="D79" s="1677"/>
      <c r="E79" s="1676"/>
      <c r="F79" s="171"/>
      <c r="G79" s="123"/>
      <c r="M79" s="80"/>
      <c r="N79" s="80"/>
      <c r="O79" s="80"/>
      <c r="Q79" s="80"/>
      <c r="R79" s="80"/>
      <c r="S79" s="80"/>
      <c r="T79" s="80"/>
      <c r="U79" s="80"/>
      <c r="V79" s="80"/>
      <c r="W79" s="80"/>
      <c r="X79" s="80"/>
    </row>
    <row r="80" spans="1:24" ht="18" customHeight="1" thickBot="1" x14ac:dyDescent="0.3">
      <c r="A80" s="1698"/>
      <c r="B80" s="1681"/>
      <c r="C80" s="1681"/>
      <c r="D80" s="1681"/>
      <c r="E80" s="1680"/>
      <c r="F80" s="172"/>
      <c r="G80" s="123"/>
      <c r="M80" s="80"/>
      <c r="N80" s="80"/>
      <c r="O80" s="80"/>
      <c r="Q80" s="80"/>
      <c r="R80" s="80"/>
      <c r="S80" s="80"/>
      <c r="T80" s="80"/>
      <c r="U80" s="80"/>
      <c r="V80" s="80"/>
      <c r="W80" s="80"/>
      <c r="X80" s="80"/>
    </row>
    <row r="81" spans="1:24" ht="18" customHeight="1" x14ac:dyDescent="0.25">
      <c r="A81" s="1128" t="s">
        <v>1717</v>
      </c>
      <c r="B81" s="1699"/>
      <c r="C81" s="1700" t="str">
        <f>IF(ISBLANK('Section 9| Compliance Plan'!B22),"",'Section 9| Compliance Plan'!B22)</f>
        <v/>
      </c>
      <c r="D81" s="1701"/>
      <c r="E81" s="1701"/>
      <c r="F81" s="1702"/>
      <c r="G81" s="123"/>
      <c r="M81" s="80"/>
      <c r="N81" s="80"/>
      <c r="O81" s="80"/>
      <c r="Q81" s="80"/>
      <c r="R81" s="80"/>
      <c r="S81" s="80"/>
      <c r="T81" s="80"/>
      <c r="U81" s="80"/>
      <c r="V81" s="80"/>
      <c r="W81" s="80"/>
      <c r="X81" s="80"/>
    </row>
    <row r="82" spans="1:24" ht="18" customHeight="1" x14ac:dyDescent="0.25">
      <c r="A82" s="1136" t="s">
        <v>1718</v>
      </c>
      <c r="B82" s="1683"/>
      <c r="C82" s="1684" t="str">
        <f>IF(ISBLANK('Section 9| Compliance Plan'!A22),"",'Section 9| Compliance Plan'!A22)</f>
        <v/>
      </c>
      <c r="D82" s="1685"/>
      <c r="E82" s="1685"/>
      <c r="F82" s="1686"/>
      <c r="G82" s="123"/>
      <c r="M82" s="80"/>
      <c r="N82" s="80"/>
      <c r="O82" s="80"/>
      <c r="Q82" s="80"/>
      <c r="R82" s="80"/>
      <c r="S82" s="80"/>
      <c r="T82" s="80"/>
      <c r="U82" s="80"/>
      <c r="V82" s="80"/>
      <c r="W82" s="80"/>
      <c r="X82" s="80"/>
    </row>
    <row r="83" spans="1:24" ht="18" customHeight="1" x14ac:dyDescent="0.25">
      <c r="A83" s="1687" t="s">
        <v>1719</v>
      </c>
      <c r="B83" s="1688"/>
      <c r="C83" s="1688"/>
      <c r="D83" s="1688"/>
      <c r="E83" s="1688"/>
      <c r="F83" s="1689"/>
      <c r="G83" s="123"/>
      <c r="M83" s="80"/>
      <c r="N83" s="80"/>
      <c r="O83" s="80"/>
      <c r="Q83" s="80"/>
      <c r="R83" s="80"/>
      <c r="S83" s="80"/>
      <c r="T83" s="80"/>
      <c r="U83" s="80"/>
      <c r="V83" s="80"/>
      <c r="W83" s="80"/>
      <c r="X83" s="80"/>
    </row>
    <row r="84" spans="1:24" ht="65.099999999999994" customHeight="1" x14ac:dyDescent="0.25">
      <c r="A84" s="1690"/>
      <c r="B84" s="1691"/>
      <c r="C84" s="1691"/>
      <c r="D84" s="1691"/>
      <c r="E84" s="1691"/>
      <c r="F84" s="1692"/>
      <c r="G84" s="123"/>
      <c r="M84" s="80"/>
      <c r="N84" s="80"/>
      <c r="O84" s="80"/>
      <c r="Q84" s="80"/>
      <c r="R84" s="80"/>
      <c r="S84" s="80"/>
      <c r="T84" s="80"/>
      <c r="U84" s="80"/>
      <c r="V84" s="80"/>
      <c r="W84" s="80"/>
      <c r="X84" s="80"/>
    </row>
    <row r="85" spans="1:24" ht="18" customHeight="1" x14ac:dyDescent="0.25">
      <c r="A85" s="1687" t="s">
        <v>1720</v>
      </c>
      <c r="B85" s="1688"/>
      <c r="C85" s="1688"/>
      <c r="D85" s="1688"/>
      <c r="E85" s="1688"/>
      <c r="F85" s="1689"/>
      <c r="G85" s="123"/>
      <c r="M85" s="80"/>
      <c r="N85" s="80"/>
      <c r="O85" s="80"/>
      <c r="Q85" s="80"/>
      <c r="R85" s="80"/>
      <c r="S85" s="80"/>
      <c r="T85" s="80"/>
      <c r="U85" s="80"/>
      <c r="V85" s="80"/>
      <c r="W85" s="80"/>
      <c r="X85" s="80"/>
    </row>
    <row r="86" spans="1:24" ht="18" customHeight="1" x14ac:dyDescent="0.25">
      <c r="A86" s="1693" t="s">
        <v>1721</v>
      </c>
      <c r="B86" s="1694"/>
      <c r="C86" s="1694"/>
      <c r="D86" s="1694"/>
      <c r="E86" s="1695"/>
      <c r="F86" s="173" t="s">
        <v>1722</v>
      </c>
      <c r="G86" s="123"/>
      <c r="M86" s="80"/>
      <c r="N86" s="80"/>
      <c r="O86" s="80"/>
      <c r="Q86" s="80"/>
      <c r="R86" s="80"/>
      <c r="S86" s="80"/>
      <c r="T86" s="80"/>
      <c r="U86" s="80"/>
      <c r="V86" s="80"/>
      <c r="W86" s="80"/>
      <c r="X86" s="80"/>
    </row>
    <row r="87" spans="1:24" ht="18" customHeight="1" x14ac:dyDescent="0.25">
      <c r="A87" s="1696"/>
      <c r="B87" s="1673"/>
      <c r="C87" s="1673"/>
      <c r="D87" s="1673"/>
      <c r="E87" s="1672"/>
      <c r="F87" s="170"/>
      <c r="G87" s="123"/>
      <c r="M87" s="80"/>
      <c r="N87" s="80"/>
      <c r="O87" s="80"/>
      <c r="Q87" s="80"/>
      <c r="R87" s="80"/>
      <c r="S87" s="80"/>
      <c r="T87" s="80"/>
      <c r="U87" s="80"/>
      <c r="V87" s="80"/>
      <c r="W87" s="80"/>
      <c r="X87" s="80"/>
    </row>
    <row r="88" spans="1:24" ht="18" customHeight="1" x14ac:dyDescent="0.25">
      <c r="A88" s="1697"/>
      <c r="B88" s="1677"/>
      <c r="C88" s="1677"/>
      <c r="D88" s="1677"/>
      <c r="E88" s="1676"/>
      <c r="F88" s="171"/>
      <c r="G88" s="123"/>
      <c r="M88" s="80"/>
      <c r="N88" s="80"/>
      <c r="O88" s="80"/>
      <c r="Q88" s="80"/>
      <c r="R88" s="80"/>
      <c r="S88" s="80"/>
      <c r="T88" s="80"/>
      <c r="U88" s="80"/>
      <c r="V88" s="80"/>
      <c r="W88" s="80"/>
      <c r="X88" s="80"/>
    </row>
    <row r="89" spans="1:24" ht="18" customHeight="1" x14ac:dyDescent="0.25">
      <c r="A89" s="1697"/>
      <c r="B89" s="1677"/>
      <c r="C89" s="1677"/>
      <c r="D89" s="1677"/>
      <c r="E89" s="1676"/>
      <c r="F89" s="171"/>
      <c r="G89" s="123"/>
      <c r="M89" s="80"/>
      <c r="N89" s="80"/>
      <c r="O89" s="80"/>
      <c r="Q89" s="80"/>
      <c r="R89" s="80"/>
      <c r="S89" s="80"/>
      <c r="T89" s="80"/>
      <c r="U89" s="80"/>
      <c r="V89" s="80"/>
      <c r="W89" s="80"/>
      <c r="X89" s="80"/>
    </row>
    <row r="90" spans="1:24" ht="18" customHeight="1" x14ac:dyDescent="0.25">
      <c r="A90" s="1697"/>
      <c r="B90" s="1677"/>
      <c r="C90" s="1677"/>
      <c r="D90" s="1677"/>
      <c r="E90" s="1676"/>
      <c r="F90" s="171"/>
      <c r="G90" s="123"/>
      <c r="M90" s="80"/>
      <c r="N90" s="80"/>
      <c r="O90" s="80"/>
      <c r="Q90" s="80"/>
      <c r="R90" s="80"/>
      <c r="S90" s="80"/>
      <c r="T90" s="80"/>
      <c r="U90" s="80"/>
      <c r="V90" s="80"/>
      <c r="W90" s="80"/>
      <c r="X90" s="80"/>
    </row>
    <row r="91" spans="1:24" ht="18" customHeight="1" x14ac:dyDescent="0.25">
      <c r="A91" s="1697"/>
      <c r="B91" s="1677"/>
      <c r="C91" s="1677"/>
      <c r="D91" s="1677"/>
      <c r="E91" s="1676"/>
      <c r="F91" s="171"/>
      <c r="G91" s="123"/>
      <c r="M91" s="80"/>
      <c r="N91" s="80"/>
      <c r="O91" s="80"/>
      <c r="Q91" s="80"/>
      <c r="R91" s="80"/>
      <c r="S91" s="80"/>
      <c r="T91" s="80"/>
      <c r="U91" s="80"/>
      <c r="V91" s="80"/>
      <c r="W91" s="80"/>
      <c r="X91" s="80"/>
    </row>
    <row r="92" spans="1:24" ht="18" customHeight="1" thickBot="1" x14ac:dyDescent="0.3">
      <c r="A92" s="1698"/>
      <c r="B92" s="1681"/>
      <c r="C92" s="1681"/>
      <c r="D92" s="1681"/>
      <c r="E92" s="1680"/>
      <c r="F92" s="172"/>
      <c r="G92" s="123"/>
      <c r="M92" s="80"/>
      <c r="N92" s="80"/>
      <c r="O92" s="80"/>
      <c r="Q92" s="80"/>
      <c r="R92" s="80"/>
      <c r="S92" s="80"/>
      <c r="T92" s="80"/>
      <c r="U92" s="80"/>
      <c r="V92" s="80"/>
      <c r="W92" s="80"/>
      <c r="X92" s="80"/>
    </row>
    <row r="93" spans="1:24" ht="18" customHeight="1" x14ac:dyDescent="0.25">
      <c r="A93" s="1128" t="s">
        <v>1717</v>
      </c>
      <c r="B93" s="1699"/>
      <c r="C93" s="1700" t="str">
        <f>IF(ISBLANK('Section 9| Compliance Plan'!B23),"",'Section 9| Compliance Plan'!B23)</f>
        <v/>
      </c>
      <c r="D93" s="1701"/>
      <c r="E93" s="1701"/>
      <c r="F93" s="1702"/>
      <c r="G93" s="123"/>
      <c r="M93" s="80"/>
      <c r="N93" s="80"/>
      <c r="O93" s="80"/>
      <c r="Q93" s="80"/>
      <c r="R93" s="80"/>
      <c r="S93" s="80"/>
      <c r="T93" s="80"/>
      <c r="U93" s="80"/>
      <c r="V93" s="80"/>
      <c r="W93" s="80"/>
      <c r="X93" s="80"/>
    </row>
    <row r="94" spans="1:24" ht="18" customHeight="1" x14ac:dyDescent="0.25">
      <c r="A94" s="1136" t="s">
        <v>1718</v>
      </c>
      <c r="B94" s="1683"/>
      <c r="C94" s="1684" t="str">
        <f>IF(ISBLANK('Section 9| Compliance Plan'!A23),"",'Section 9| Compliance Plan'!A23)</f>
        <v/>
      </c>
      <c r="D94" s="1685"/>
      <c r="E94" s="1685"/>
      <c r="F94" s="1686"/>
      <c r="G94" s="123"/>
      <c r="M94" s="80"/>
      <c r="N94" s="80"/>
      <c r="O94" s="80"/>
      <c r="Q94" s="80"/>
      <c r="R94" s="80"/>
      <c r="S94" s="80"/>
      <c r="T94" s="80"/>
      <c r="U94" s="80"/>
      <c r="V94" s="80"/>
      <c r="W94" s="80"/>
      <c r="X94" s="80"/>
    </row>
    <row r="95" spans="1:24" ht="18" customHeight="1" x14ac:dyDescent="0.25">
      <c r="A95" s="1687" t="s">
        <v>1719</v>
      </c>
      <c r="B95" s="1688"/>
      <c r="C95" s="1688"/>
      <c r="D95" s="1688"/>
      <c r="E95" s="1688"/>
      <c r="F95" s="1689"/>
      <c r="G95" s="123"/>
      <c r="M95" s="80"/>
      <c r="N95" s="80"/>
      <c r="O95" s="80"/>
      <c r="Q95" s="80"/>
      <c r="R95" s="80"/>
      <c r="S95" s="80"/>
      <c r="T95" s="80"/>
      <c r="U95" s="80"/>
      <c r="V95" s="80"/>
      <c r="W95" s="80"/>
      <c r="X95" s="80"/>
    </row>
    <row r="96" spans="1:24" ht="65.099999999999994" customHeight="1" x14ac:dyDescent="0.25">
      <c r="A96" s="1690"/>
      <c r="B96" s="1691"/>
      <c r="C96" s="1691"/>
      <c r="D96" s="1691"/>
      <c r="E96" s="1691"/>
      <c r="F96" s="1692"/>
      <c r="G96" s="123"/>
      <c r="M96" s="80"/>
      <c r="N96" s="80"/>
      <c r="O96" s="80"/>
      <c r="Q96" s="80"/>
      <c r="R96" s="80"/>
      <c r="S96" s="80"/>
      <c r="T96" s="80"/>
      <c r="U96" s="80"/>
      <c r="V96" s="80"/>
      <c r="W96" s="80"/>
      <c r="X96" s="80"/>
    </row>
    <row r="97" spans="1:24" ht="18" customHeight="1" x14ac:dyDescent="0.25">
      <c r="A97" s="1687" t="s">
        <v>1720</v>
      </c>
      <c r="B97" s="1688"/>
      <c r="C97" s="1688"/>
      <c r="D97" s="1688"/>
      <c r="E97" s="1688"/>
      <c r="F97" s="1689"/>
      <c r="G97" s="123"/>
      <c r="M97" s="80"/>
      <c r="N97" s="80"/>
      <c r="O97" s="80"/>
      <c r="Q97" s="80"/>
      <c r="R97" s="80"/>
      <c r="S97" s="80"/>
      <c r="T97" s="80"/>
      <c r="U97" s="80"/>
      <c r="V97" s="80"/>
      <c r="W97" s="80"/>
      <c r="X97" s="80"/>
    </row>
    <row r="98" spans="1:24" ht="18" customHeight="1" x14ac:dyDescent="0.25">
      <c r="A98" s="1693" t="s">
        <v>1721</v>
      </c>
      <c r="B98" s="1694"/>
      <c r="C98" s="1694"/>
      <c r="D98" s="1694"/>
      <c r="E98" s="1695"/>
      <c r="F98" s="173" t="s">
        <v>1722</v>
      </c>
      <c r="G98" s="123"/>
      <c r="M98" s="80"/>
      <c r="N98" s="80"/>
      <c r="O98" s="80"/>
      <c r="Q98" s="80"/>
      <c r="R98" s="80"/>
      <c r="S98" s="80"/>
      <c r="T98" s="80"/>
      <c r="U98" s="80"/>
      <c r="V98" s="80"/>
      <c r="W98" s="80"/>
      <c r="X98" s="80"/>
    </row>
    <row r="99" spans="1:24" ht="18" customHeight="1" x14ac:dyDescent="0.25">
      <c r="A99" s="1696"/>
      <c r="B99" s="1673"/>
      <c r="C99" s="1673"/>
      <c r="D99" s="1673"/>
      <c r="E99" s="1672"/>
      <c r="F99" s="170"/>
      <c r="G99" s="123"/>
      <c r="M99" s="80"/>
      <c r="N99" s="80"/>
      <c r="O99" s="80"/>
      <c r="Q99" s="80"/>
      <c r="R99" s="80"/>
      <c r="S99" s="80"/>
      <c r="T99" s="80"/>
      <c r="U99" s="80"/>
      <c r="V99" s="80"/>
      <c r="W99" s="80"/>
      <c r="X99" s="80"/>
    </row>
    <row r="100" spans="1:24" ht="18" customHeight="1" x14ac:dyDescent="0.25">
      <c r="A100" s="1697"/>
      <c r="B100" s="1677"/>
      <c r="C100" s="1677"/>
      <c r="D100" s="1677"/>
      <c r="E100" s="1676"/>
      <c r="F100" s="171"/>
      <c r="G100" s="123"/>
      <c r="M100" s="80"/>
      <c r="N100" s="80"/>
      <c r="O100" s="80"/>
      <c r="Q100" s="80"/>
      <c r="R100" s="80"/>
      <c r="S100" s="80"/>
      <c r="T100" s="80"/>
      <c r="U100" s="80"/>
      <c r="V100" s="80"/>
      <c r="W100" s="80"/>
      <c r="X100" s="80"/>
    </row>
    <row r="101" spans="1:24" ht="18" customHeight="1" x14ac:dyDescent="0.25">
      <c r="A101" s="1697"/>
      <c r="B101" s="1677"/>
      <c r="C101" s="1677"/>
      <c r="D101" s="1677"/>
      <c r="E101" s="1676"/>
      <c r="F101" s="171"/>
      <c r="G101" s="123"/>
      <c r="M101" s="80"/>
      <c r="N101" s="80"/>
      <c r="O101" s="80"/>
      <c r="Q101" s="80"/>
      <c r="R101" s="80"/>
      <c r="S101" s="80"/>
      <c r="T101" s="80"/>
      <c r="U101" s="80"/>
      <c r="V101" s="80"/>
      <c r="W101" s="80"/>
      <c r="X101" s="80"/>
    </row>
    <row r="102" spans="1:24" ht="18" customHeight="1" x14ac:dyDescent="0.25">
      <c r="A102" s="1697"/>
      <c r="B102" s="1677"/>
      <c r="C102" s="1677"/>
      <c r="D102" s="1677"/>
      <c r="E102" s="1676"/>
      <c r="F102" s="171"/>
      <c r="G102" s="123"/>
      <c r="M102" s="80"/>
      <c r="N102" s="80"/>
      <c r="O102" s="80"/>
      <c r="Q102" s="80"/>
      <c r="R102" s="80"/>
      <c r="S102" s="80"/>
      <c r="T102" s="80"/>
      <c r="U102" s="80"/>
      <c r="V102" s="80"/>
      <c r="W102" s="80"/>
      <c r="X102" s="80"/>
    </row>
    <row r="103" spans="1:24" ht="18" customHeight="1" x14ac:dyDescent="0.25">
      <c r="A103" s="1697"/>
      <c r="B103" s="1677"/>
      <c r="C103" s="1677"/>
      <c r="D103" s="1677"/>
      <c r="E103" s="1676"/>
      <c r="F103" s="171"/>
      <c r="G103" s="123"/>
      <c r="M103" s="80"/>
      <c r="N103" s="80"/>
      <c r="O103" s="80"/>
      <c r="Q103" s="80"/>
      <c r="R103" s="80"/>
      <c r="S103" s="80"/>
      <c r="T103" s="80"/>
      <c r="U103" s="80"/>
      <c r="V103" s="80"/>
      <c r="W103" s="80"/>
      <c r="X103" s="80"/>
    </row>
    <row r="104" spans="1:24" ht="18" customHeight="1" thickBot="1" x14ac:dyDescent="0.3">
      <c r="A104" s="1698"/>
      <c r="B104" s="1681"/>
      <c r="C104" s="1681"/>
      <c r="D104" s="1681"/>
      <c r="E104" s="1680"/>
      <c r="F104" s="172"/>
      <c r="G104" s="123"/>
      <c r="M104" s="80"/>
      <c r="N104" s="80"/>
      <c r="O104" s="80"/>
      <c r="Q104" s="80"/>
      <c r="R104" s="80"/>
      <c r="S104" s="80"/>
      <c r="T104" s="80"/>
      <c r="U104" s="80"/>
      <c r="V104" s="80"/>
      <c r="W104" s="80"/>
      <c r="X104" s="80"/>
    </row>
    <row r="105" spans="1:24" ht="18" customHeight="1" x14ac:dyDescent="0.25">
      <c r="A105" s="1128" t="s">
        <v>1717</v>
      </c>
      <c r="B105" s="1699"/>
      <c r="C105" s="1700" t="str">
        <f>IF(ISBLANK('Section 9| Compliance Plan'!B24),"",'Section 9| Compliance Plan'!B24)</f>
        <v/>
      </c>
      <c r="D105" s="1701"/>
      <c r="E105" s="1701"/>
      <c r="F105" s="1702"/>
      <c r="G105" s="123"/>
      <c r="M105" s="80"/>
      <c r="N105" s="80"/>
      <c r="O105" s="80"/>
      <c r="Q105" s="80"/>
      <c r="R105" s="80"/>
      <c r="S105" s="80"/>
      <c r="T105" s="80"/>
      <c r="U105" s="80"/>
      <c r="V105" s="80"/>
      <c r="W105" s="80"/>
      <c r="X105" s="80"/>
    </row>
    <row r="106" spans="1:24" ht="18" customHeight="1" x14ac:dyDescent="0.25">
      <c r="A106" s="1136" t="s">
        <v>1718</v>
      </c>
      <c r="B106" s="1683"/>
      <c r="C106" s="1684" t="str">
        <f>IF(ISBLANK('Section 9| Compliance Plan'!A24),"",'Section 9| Compliance Plan'!A24)</f>
        <v/>
      </c>
      <c r="D106" s="1685"/>
      <c r="E106" s="1685"/>
      <c r="F106" s="1686"/>
      <c r="G106" s="123"/>
      <c r="M106" s="80"/>
      <c r="N106" s="80"/>
      <c r="O106" s="80"/>
      <c r="Q106" s="80"/>
      <c r="R106" s="80"/>
      <c r="S106" s="80"/>
      <c r="T106" s="80"/>
      <c r="U106" s="80"/>
      <c r="V106" s="80"/>
      <c r="W106" s="80"/>
      <c r="X106" s="80"/>
    </row>
    <row r="107" spans="1:24" ht="18" customHeight="1" x14ac:dyDescent="0.25">
      <c r="A107" s="1687" t="s">
        <v>1719</v>
      </c>
      <c r="B107" s="1688"/>
      <c r="C107" s="1688"/>
      <c r="D107" s="1688"/>
      <c r="E107" s="1688"/>
      <c r="F107" s="1689"/>
      <c r="G107" s="123"/>
      <c r="M107" s="80"/>
      <c r="N107" s="80"/>
      <c r="O107" s="80"/>
      <c r="Q107" s="80"/>
      <c r="R107" s="80"/>
      <c r="S107" s="80"/>
      <c r="T107" s="80"/>
      <c r="U107" s="80"/>
      <c r="V107" s="80"/>
      <c r="W107" s="80"/>
      <c r="X107" s="80"/>
    </row>
    <row r="108" spans="1:24" ht="65.099999999999994" customHeight="1" x14ac:dyDescent="0.25">
      <c r="A108" s="1690"/>
      <c r="B108" s="1691"/>
      <c r="C108" s="1691"/>
      <c r="D108" s="1691"/>
      <c r="E108" s="1691"/>
      <c r="F108" s="1692"/>
      <c r="G108" s="123"/>
      <c r="M108" s="80"/>
      <c r="N108" s="80"/>
      <c r="O108" s="80"/>
      <c r="Q108" s="80"/>
      <c r="R108" s="80"/>
      <c r="S108" s="80"/>
      <c r="T108" s="80"/>
      <c r="U108" s="80"/>
      <c r="V108" s="80"/>
      <c r="W108" s="80"/>
      <c r="X108" s="80"/>
    </row>
    <row r="109" spans="1:24" ht="18" customHeight="1" x14ac:dyDescent="0.25">
      <c r="A109" s="1687" t="s">
        <v>1720</v>
      </c>
      <c r="B109" s="1688"/>
      <c r="C109" s="1688"/>
      <c r="D109" s="1688"/>
      <c r="E109" s="1688"/>
      <c r="F109" s="1689"/>
      <c r="G109" s="123"/>
      <c r="M109" s="80"/>
      <c r="N109" s="80"/>
      <c r="O109" s="80"/>
      <c r="Q109" s="80"/>
      <c r="R109" s="80"/>
      <c r="S109" s="80"/>
      <c r="T109" s="80"/>
      <c r="U109" s="80"/>
      <c r="V109" s="80"/>
      <c r="W109" s="80"/>
      <c r="X109" s="80"/>
    </row>
    <row r="110" spans="1:24" ht="18" customHeight="1" x14ac:dyDescent="0.25">
      <c r="A110" s="1693" t="s">
        <v>1721</v>
      </c>
      <c r="B110" s="1694"/>
      <c r="C110" s="1694"/>
      <c r="D110" s="1694"/>
      <c r="E110" s="1695"/>
      <c r="F110" s="173" t="s">
        <v>1722</v>
      </c>
      <c r="G110" s="123"/>
      <c r="M110" s="80"/>
      <c r="N110" s="80"/>
      <c r="O110" s="80"/>
      <c r="Q110" s="80"/>
      <c r="R110" s="80"/>
      <c r="S110" s="80"/>
      <c r="T110" s="80"/>
      <c r="U110" s="80"/>
      <c r="V110" s="80"/>
      <c r="W110" s="80"/>
      <c r="X110" s="80"/>
    </row>
    <row r="111" spans="1:24" ht="18" customHeight="1" x14ac:dyDescent="0.25">
      <c r="A111" s="1696"/>
      <c r="B111" s="1673"/>
      <c r="C111" s="1673"/>
      <c r="D111" s="1673"/>
      <c r="E111" s="1672"/>
      <c r="F111" s="170"/>
      <c r="G111" s="123"/>
      <c r="M111" s="80"/>
      <c r="N111" s="80"/>
      <c r="O111" s="80"/>
      <c r="Q111" s="80"/>
      <c r="R111" s="80"/>
      <c r="S111" s="80"/>
      <c r="T111" s="80"/>
      <c r="U111" s="80"/>
      <c r="V111" s="80"/>
      <c r="W111" s="80"/>
      <c r="X111" s="80"/>
    </row>
    <row r="112" spans="1:24" ht="18" customHeight="1" x14ac:dyDescent="0.25">
      <c r="A112" s="1697"/>
      <c r="B112" s="1677"/>
      <c r="C112" s="1677"/>
      <c r="D112" s="1677"/>
      <c r="E112" s="1676"/>
      <c r="F112" s="171"/>
      <c r="G112" s="123"/>
      <c r="M112" s="80"/>
      <c r="N112" s="80"/>
      <c r="O112" s="80"/>
      <c r="Q112" s="80"/>
      <c r="R112" s="80"/>
      <c r="S112" s="80"/>
      <c r="T112" s="80"/>
      <c r="U112" s="80"/>
      <c r="V112" s="80"/>
      <c r="W112" s="80"/>
      <c r="X112" s="80"/>
    </row>
    <row r="113" spans="1:24" ht="18" customHeight="1" x14ac:dyDescent="0.25">
      <c r="A113" s="1697"/>
      <c r="B113" s="1677"/>
      <c r="C113" s="1677"/>
      <c r="D113" s="1677"/>
      <c r="E113" s="1676"/>
      <c r="F113" s="171"/>
      <c r="G113" s="123"/>
      <c r="M113" s="80"/>
      <c r="N113" s="80"/>
      <c r="O113" s="80"/>
      <c r="Q113" s="80"/>
      <c r="R113" s="80"/>
      <c r="S113" s="80"/>
      <c r="T113" s="80"/>
      <c r="U113" s="80"/>
      <c r="V113" s="80"/>
      <c r="W113" s="80"/>
      <c r="X113" s="80"/>
    </row>
    <row r="114" spans="1:24" ht="18" customHeight="1" x14ac:dyDescent="0.25">
      <c r="A114" s="1697"/>
      <c r="B114" s="1677"/>
      <c r="C114" s="1677"/>
      <c r="D114" s="1677"/>
      <c r="E114" s="1676"/>
      <c r="F114" s="171"/>
      <c r="G114" s="123"/>
      <c r="M114" s="80"/>
      <c r="N114" s="80"/>
      <c r="O114" s="80"/>
      <c r="Q114" s="80"/>
      <c r="R114" s="80"/>
      <c r="S114" s="80"/>
      <c r="T114" s="80"/>
      <c r="U114" s="80"/>
      <c r="V114" s="80"/>
      <c r="W114" s="80"/>
      <c r="X114" s="80"/>
    </row>
    <row r="115" spans="1:24" ht="18" customHeight="1" x14ac:dyDescent="0.25">
      <c r="A115" s="1697"/>
      <c r="B115" s="1677"/>
      <c r="C115" s="1677"/>
      <c r="D115" s="1677"/>
      <c r="E115" s="1676"/>
      <c r="F115" s="171"/>
      <c r="G115" s="123"/>
      <c r="M115" s="80"/>
      <c r="N115" s="80"/>
      <c r="O115" s="80"/>
      <c r="Q115" s="80"/>
      <c r="R115" s="80"/>
      <c r="S115" s="80"/>
      <c r="T115" s="80"/>
      <c r="U115" s="80"/>
      <c r="V115" s="80"/>
      <c r="W115" s="80"/>
      <c r="X115" s="80"/>
    </row>
    <row r="116" spans="1:24" ht="18" customHeight="1" thickBot="1" x14ac:dyDescent="0.3">
      <c r="A116" s="1698"/>
      <c r="B116" s="1681"/>
      <c r="C116" s="1681"/>
      <c r="D116" s="1681"/>
      <c r="E116" s="1680"/>
      <c r="F116" s="172"/>
      <c r="G116" s="123"/>
      <c r="M116" s="80"/>
      <c r="N116" s="80"/>
      <c r="O116" s="80"/>
      <c r="Q116" s="80"/>
      <c r="R116" s="80"/>
      <c r="S116" s="80"/>
      <c r="T116" s="80"/>
      <c r="U116" s="80"/>
      <c r="V116" s="80"/>
      <c r="W116" s="80"/>
      <c r="X116" s="80"/>
    </row>
    <row r="117" spans="1:24" ht="18" customHeight="1" x14ac:dyDescent="0.25">
      <c r="A117" s="1128" t="s">
        <v>1717</v>
      </c>
      <c r="B117" s="1699"/>
      <c r="C117" s="1700" t="str">
        <f>IF(ISBLANK('Section 9| Compliance Plan'!B25),"",'Section 9| Compliance Plan'!B25)</f>
        <v/>
      </c>
      <c r="D117" s="1701"/>
      <c r="E117" s="1701"/>
      <c r="F117" s="1702"/>
      <c r="G117" s="123"/>
      <c r="M117" s="80"/>
      <c r="N117" s="80"/>
      <c r="O117" s="80"/>
      <c r="Q117" s="80"/>
      <c r="R117" s="80"/>
      <c r="S117" s="80"/>
      <c r="T117" s="80"/>
      <c r="U117" s="80"/>
      <c r="V117" s="80"/>
      <c r="W117" s="80"/>
      <c r="X117" s="80"/>
    </row>
    <row r="118" spans="1:24" ht="18" customHeight="1" x14ac:dyDescent="0.25">
      <c r="A118" s="1136" t="s">
        <v>1718</v>
      </c>
      <c r="B118" s="1683"/>
      <c r="C118" s="1684" t="str">
        <f>IF(ISBLANK('Section 9| Compliance Plan'!A25),"",'Section 9| Compliance Plan'!A25)</f>
        <v/>
      </c>
      <c r="D118" s="1685"/>
      <c r="E118" s="1685"/>
      <c r="F118" s="1686"/>
      <c r="G118" s="123"/>
      <c r="M118" s="80"/>
      <c r="N118" s="80"/>
      <c r="O118" s="80"/>
      <c r="Q118" s="80"/>
      <c r="R118" s="80"/>
      <c r="S118" s="80"/>
      <c r="T118" s="80"/>
      <c r="U118" s="80"/>
      <c r="V118" s="80"/>
      <c r="W118" s="80"/>
      <c r="X118" s="80"/>
    </row>
    <row r="119" spans="1:24" ht="18" customHeight="1" x14ac:dyDescent="0.25">
      <c r="A119" s="1687" t="s">
        <v>1719</v>
      </c>
      <c r="B119" s="1688"/>
      <c r="C119" s="1688"/>
      <c r="D119" s="1688"/>
      <c r="E119" s="1688"/>
      <c r="F119" s="1689"/>
      <c r="G119" s="123"/>
      <c r="M119" s="80"/>
      <c r="N119" s="80"/>
      <c r="O119" s="80"/>
      <c r="Q119" s="80"/>
      <c r="R119" s="80"/>
      <c r="S119" s="80"/>
      <c r="T119" s="80"/>
      <c r="U119" s="80"/>
      <c r="V119" s="80"/>
      <c r="W119" s="80"/>
      <c r="X119" s="80"/>
    </row>
    <row r="120" spans="1:24" ht="65.099999999999994" customHeight="1" x14ac:dyDescent="0.25">
      <c r="A120" s="1690"/>
      <c r="B120" s="1691"/>
      <c r="C120" s="1691"/>
      <c r="D120" s="1691"/>
      <c r="E120" s="1691"/>
      <c r="F120" s="1692"/>
      <c r="G120" s="123"/>
      <c r="M120" s="80"/>
      <c r="N120" s="80"/>
      <c r="O120" s="80"/>
      <c r="Q120" s="80"/>
      <c r="R120" s="80"/>
      <c r="S120" s="80"/>
      <c r="T120" s="80"/>
      <c r="U120" s="80"/>
      <c r="V120" s="80"/>
      <c r="W120" s="80"/>
      <c r="X120" s="80"/>
    </row>
    <row r="121" spans="1:24" ht="18" customHeight="1" x14ac:dyDescent="0.25">
      <c r="A121" s="1687" t="s">
        <v>1720</v>
      </c>
      <c r="B121" s="1688"/>
      <c r="C121" s="1688"/>
      <c r="D121" s="1688"/>
      <c r="E121" s="1688"/>
      <c r="F121" s="1689"/>
      <c r="G121" s="123"/>
      <c r="M121" s="80"/>
      <c r="N121" s="80"/>
      <c r="O121" s="80"/>
      <c r="Q121" s="80"/>
      <c r="R121" s="80"/>
      <c r="S121" s="80"/>
      <c r="T121" s="80"/>
      <c r="U121" s="80"/>
      <c r="V121" s="80"/>
      <c r="W121" s="80"/>
      <c r="X121" s="80"/>
    </row>
    <row r="122" spans="1:24" ht="18" customHeight="1" x14ac:dyDescent="0.25">
      <c r="A122" s="1693" t="s">
        <v>1721</v>
      </c>
      <c r="B122" s="1694"/>
      <c r="C122" s="1694"/>
      <c r="D122" s="1694"/>
      <c r="E122" s="1695"/>
      <c r="F122" s="173" t="s">
        <v>1722</v>
      </c>
      <c r="G122" s="123"/>
      <c r="M122" s="80"/>
      <c r="N122" s="80"/>
      <c r="O122" s="80"/>
      <c r="Q122" s="80"/>
      <c r="R122" s="80"/>
      <c r="S122" s="80"/>
      <c r="T122" s="80"/>
      <c r="U122" s="80"/>
      <c r="V122" s="80"/>
      <c r="W122" s="80"/>
      <c r="X122" s="80"/>
    </row>
    <row r="123" spans="1:24" ht="18" customHeight="1" x14ac:dyDescent="0.25">
      <c r="A123" s="1696"/>
      <c r="B123" s="1673"/>
      <c r="C123" s="1673"/>
      <c r="D123" s="1673"/>
      <c r="E123" s="1672"/>
      <c r="F123" s="170"/>
      <c r="G123" s="123"/>
      <c r="M123" s="80"/>
      <c r="N123" s="80"/>
      <c r="O123" s="80"/>
      <c r="Q123" s="80"/>
      <c r="R123" s="80"/>
      <c r="S123" s="80"/>
      <c r="T123" s="80"/>
      <c r="U123" s="80"/>
      <c r="V123" s="80"/>
      <c r="W123" s="80"/>
      <c r="X123" s="80"/>
    </row>
    <row r="124" spans="1:24" ht="18" customHeight="1" x14ac:dyDescent="0.25">
      <c r="A124" s="1697"/>
      <c r="B124" s="1677"/>
      <c r="C124" s="1677"/>
      <c r="D124" s="1677"/>
      <c r="E124" s="1676"/>
      <c r="F124" s="171"/>
      <c r="G124" s="123"/>
      <c r="M124" s="80"/>
      <c r="N124" s="80"/>
      <c r="O124" s="80"/>
      <c r="Q124" s="80"/>
      <c r="R124" s="80"/>
      <c r="S124" s="80"/>
      <c r="T124" s="80"/>
      <c r="U124" s="80"/>
      <c r="V124" s="80"/>
      <c r="W124" s="80"/>
      <c r="X124" s="80"/>
    </row>
    <row r="125" spans="1:24" ht="18" customHeight="1" x14ac:dyDescent="0.25">
      <c r="A125" s="1697"/>
      <c r="B125" s="1677"/>
      <c r="C125" s="1677"/>
      <c r="D125" s="1677"/>
      <c r="E125" s="1676"/>
      <c r="F125" s="171"/>
      <c r="G125" s="123"/>
      <c r="M125" s="80"/>
      <c r="N125" s="80"/>
      <c r="O125" s="80"/>
      <c r="Q125" s="80"/>
      <c r="R125" s="80"/>
      <c r="S125" s="80"/>
      <c r="T125" s="80"/>
      <c r="U125" s="80"/>
      <c r="V125" s="80"/>
      <c r="W125" s="80"/>
      <c r="X125" s="80"/>
    </row>
    <row r="126" spans="1:24" ht="18" customHeight="1" x14ac:dyDescent="0.25">
      <c r="A126" s="1697"/>
      <c r="B126" s="1677"/>
      <c r="C126" s="1677"/>
      <c r="D126" s="1677"/>
      <c r="E126" s="1676"/>
      <c r="F126" s="171"/>
      <c r="G126" s="123"/>
      <c r="M126" s="80"/>
      <c r="N126" s="80"/>
      <c r="O126" s="80"/>
      <c r="Q126" s="80"/>
      <c r="R126" s="80"/>
      <c r="S126" s="80"/>
      <c r="T126" s="80"/>
      <c r="U126" s="80"/>
      <c r="V126" s="80"/>
      <c r="W126" s="80"/>
      <c r="X126" s="80"/>
    </row>
    <row r="127" spans="1:24" ht="18" customHeight="1" x14ac:dyDescent="0.25">
      <c r="A127" s="1697"/>
      <c r="B127" s="1677"/>
      <c r="C127" s="1677"/>
      <c r="D127" s="1677"/>
      <c r="E127" s="1676"/>
      <c r="F127" s="171"/>
      <c r="G127" s="123"/>
      <c r="M127" s="80"/>
      <c r="N127" s="80"/>
      <c r="O127" s="80"/>
      <c r="Q127" s="80"/>
      <c r="R127" s="80"/>
      <c r="S127" s="80"/>
      <c r="T127" s="80"/>
      <c r="U127" s="80"/>
      <c r="V127" s="80"/>
      <c r="W127" s="80"/>
      <c r="X127" s="80"/>
    </row>
    <row r="128" spans="1:24" ht="18" customHeight="1" thickBot="1" x14ac:dyDescent="0.3">
      <c r="A128" s="1698"/>
      <c r="B128" s="1681"/>
      <c r="C128" s="1681"/>
      <c r="D128" s="1681"/>
      <c r="E128" s="1680"/>
      <c r="F128" s="172"/>
      <c r="G128" s="123"/>
      <c r="M128" s="80"/>
      <c r="N128" s="80"/>
      <c r="O128" s="80"/>
      <c r="Q128" s="80"/>
      <c r="R128" s="80"/>
      <c r="S128" s="80"/>
      <c r="T128" s="80"/>
      <c r="U128" s="80"/>
      <c r="V128" s="80"/>
      <c r="W128" s="80"/>
      <c r="X128" s="80"/>
    </row>
    <row r="129" spans="1:24" ht="18" customHeight="1" x14ac:dyDescent="0.25">
      <c r="A129" s="1128" t="s">
        <v>1717</v>
      </c>
      <c r="B129" s="1699"/>
      <c r="C129" s="1700" t="str">
        <f>IF(ISBLANK('Section 9| Compliance Plan'!B26),"",'Section 9| Compliance Plan'!B26)</f>
        <v/>
      </c>
      <c r="D129" s="1701"/>
      <c r="E129" s="1701"/>
      <c r="F129" s="1702"/>
      <c r="G129" s="123"/>
      <c r="M129" s="80"/>
      <c r="N129" s="80"/>
      <c r="O129" s="80"/>
      <c r="Q129" s="80"/>
      <c r="R129" s="80"/>
      <c r="S129" s="80"/>
      <c r="T129" s="80"/>
      <c r="U129" s="80"/>
      <c r="V129" s="80"/>
      <c r="W129" s="80"/>
      <c r="X129" s="80"/>
    </row>
    <row r="130" spans="1:24" ht="18" customHeight="1" x14ac:dyDescent="0.25">
      <c r="A130" s="1136" t="s">
        <v>1718</v>
      </c>
      <c r="B130" s="1683"/>
      <c r="C130" s="1684" t="str">
        <f>IF(ISBLANK('Section 9| Compliance Plan'!A26),"",'Section 9| Compliance Plan'!A26)</f>
        <v/>
      </c>
      <c r="D130" s="1685"/>
      <c r="E130" s="1685"/>
      <c r="F130" s="1686"/>
      <c r="G130" s="123"/>
      <c r="M130" s="80"/>
      <c r="N130" s="80"/>
      <c r="O130" s="80"/>
      <c r="Q130" s="80"/>
      <c r="R130" s="80"/>
      <c r="S130" s="80"/>
      <c r="T130" s="80"/>
      <c r="U130" s="80"/>
      <c r="V130" s="80"/>
      <c r="W130" s="80"/>
      <c r="X130" s="80"/>
    </row>
    <row r="131" spans="1:24" ht="18" customHeight="1" x14ac:dyDescent="0.25">
      <c r="A131" s="1687" t="s">
        <v>1719</v>
      </c>
      <c r="B131" s="1688"/>
      <c r="C131" s="1688"/>
      <c r="D131" s="1688"/>
      <c r="E131" s="1688"/>
      <c r="F131" s="1689"/>
      <c r="G131" s="123"/>
      <c r="M131" s="80"/>
      <c r="N131" s="80"/>
      <c r="O131" s="80"/>
      <c r="Q131" s="80"/>
      <c r="R131" s="80"/>
      <c r="S131" s="80"/>
      <c r="T131" s="80"/>
      <c r="U131" s="80"/>
      <c r="V131" s="80"/>
      <c r="W131" s="80"/>
      <c r="X131" s="80"/>
    </row>
    <row r="132" spans="1:24" ht="65.099999999999994" customHeight="1" x14ac:dyDescent="0.25">
      <c r="A132" s="1690"/>
      <c r="B132" s="1691"/>
      <c r="C132" s="1691"/>
      <c r="D132" s="1691"/>
      <c r="E132" s="1691"/>
      <c r="F132" s="1692"/>
      <c r="G132" s="123"/>
      <c r="M132" s="80"/>
      <c r="N132" s="80"/>
      <c r="O132" s="80"/>
      <c r="Q132" s="80"/>
      <c r="R132" s="80"/>
      <c r="S132" s="80"/>
      <c r="T132" s="80"/>
      <c r="U132" s="80"/>
      <c r="V132" s="80"/>
      <c r="W132" s="80"/>
      <c r="X132" s="80"/>
    </row>
    <row r="133" spans="1:24" ht="18" customHeight="1" x14ac:dyDescent="0.25">
      <c r="A133" s="1687" t="s">
        <v>1720</v>
      </c>
      <c r="B133" s="1688"/>
      <c r="C133" s="1688"/>
      <c r="D133" s="1688"/>
      <c r="E133" s="1688"/>
      <c r="F133" s="1689"/>
      <c r="G133" s="123"/>
      <c r="M133" s="80"/>
      <c r="N133" s="80"/>
      <c r="O133" s="80"/>
      <c r="Q133" s="80"/>
      <c r="R133" s="80"/>
      <c r="S133" s="80"/>
      <c r="T133" s="80"/>
      <c r="U133" s="80"/>
      <c r="V133" s="80"/>
      <c r="W133" s="80"/>
      <c r="X133" s="80"/>
    </row>
    <row r="134" spans="1:24" ht="18" customHeight="1" x14ac:dyDescent="0.25">
      <c r="A134" s="1693" t="s">
        <v>1721</v>
      </c>
      <c r="B134" s="1694"/>
      <c r="C134" s="1694"/>
      <c r="D134" s="1694"/>
      <c r="E134" s="1695"/>
      <c r="F134" s="173" t="s">
        <v>1722</v>
      </c>
      <c r="G134" s="123"/>
      <c r="M134" s="80"/>
      <c r="N134" s="80"/>
      <c r="O134" s="80"/>
      <c r="Q134" s="80"/>
      <c r="R134" s="80"/>
      <c r="S134" s="80"/>
      <c r="T134" s="80"/>
      <c r="U134" s="80"/>
      <c r="V134" s="80"/>
      <c r="W134" s="80"/>
      <c r="X134" s="80"/>
    </row>
    <row r="135" spans="1:24" ht="18" customHeight="1" x14ac:dyDescent="0.25">
      <c r="A135" s="1696"/>
      <c r="B135" s="1673"/>
      <c r="C135" s="1673"/>
      <c r="D135" s="1673"/>
      <c r="E135" s="1672"/>
      <c r="F135" s="170"/>
      <c r="G135" s="123"/>
      <c r="M135" s="80"/>
      <c r="N135" s="80"/>
      <c r="O135" s="80"/>
      <c r="Q135" s="80"/>
      <c r="R135" s="80"/>
      <c r="S135" s="80"/>
      <c r="T135" s="80"/>
      <c r="U135" s="80"/>
      <c r="V135" s="80"/>
      <c r="W135" s="80"/>
      <c r="X135" s="80"/>
    </row>
    <row r="136" spans="1:24" ht="18" customHeight="1" x14ac:dyDescent="0.25">
      <c r="A136" s="1697"/>
      <c r="B136" s="1677"/>
      <c r="C136" s="1677"/>
      <c r="D136" s="1677"/>
      <c r="E136" s="1676"/>
      <c r="F136" s="171"/>
      <c r="G136" s="123"/>
      <c r="M136" s="80"/>
      <c r="N136" s="80"/>
      <c r="O136" s="80"/>
      <c r="Q136" s="80"/>
      <c r="R136" s="80"/>
      <c r="S136" s="80"/>
      <c r="T136" s="80"/>
      <c r="U136" s="80"/>
      <c r="V136" s="80"/>
      <c r="W136" s="80"/>
      <c r="X136" s="80"/>
    </row>
    <row r="137" spans="1:24" ht="18" customHeight="1" x14ac:dyDescent="0.25">
      <c r="A137" s="1697"/>
      <c r="B137" s="1677"/>
      <c r="C137" s="1677"/>
      <c r="D137" s="1677"/>
      <c r="E137" s="1676"/>
      <c r="F137" s="171"/>
      <c r="G137" s="123"/>
      <c r="M137" s="80"/>
      <c r="N137" s="80"/>
      <c r="O137" s="80"/>
      <c r="Q137" s="80"/>
      <c r="R137" s="80"/>
      <c r="S137" s="80"/>
      <c r="T137" s="80"/>
      <c r="U137" s="80"/>
      <c r="V137" s="80"/>
      <c r="W137" s="80"/>
      <c r="X137" s="80"/>
    </row>
    <row r="138" spans="1:24" ht="18" customHeight="1" x14ac:dyDescent="0.25">
      <c r="A138" s="1697"/>
      <c r="B138" s="1677"/>
      <c r="C138" s="1677"/>
      <c r="D138" s="1677"/>
      <c r="E138" s="1676"/>
      <c r="F138" s="171"/>
      <c r="G138" s="123"/>
      <c r="M138" s="80"/>
      <c r="N138" s="80"/>
      <c r="O138" s="80"/>
      <c r="Q138" s="80"/>
      <c r="R138" s="80"/>
      <c r="S138" s="80"/>
      <c r="T138" s="80"/>
      <c r="U138" s="80"/>
      <c r="V138" s="80"/>
      <c r="W138" s="80"/>
      <c r="X138" s="80"/>
    </row>
    <row r="139" spans="1:24" ht="18" customHeight="1" x14ac:dyDescent="0.25">
      <c r="A139" s="1697"/>
      <c r="B139" s="1677"/>
      <c r="C139" s="1677"/>
      <c r="D139" s="1677"/>
      <c r="E139" s="1676"/>
      <c r="F139" s="171"/>
      <c r="G139" s="123"/>
      <c r="M139" s="80"/>
      <c r="N139" s="80"/>
      <c r="O139" s="80"/>
      <c r="Q139" s="80"/>
      <c r="R139" s="80"/>
      <c r="S139" s="80"/>
      <c r="T139" s="80"/>
      <c r="U139" s="80"/>
      <c r="V139" s="80"/>
      <c r="W139" s="80"/>
      <c r="X139" s="80"/>
    </row>
    <row r="140" spans="1:24" ht="18" customHeight="1" thickBot="1" x14ac:dyDescent="0.3">
      <c r="A140" s="1698"/>
      <c r="B140" s="1681"/>
      <c r="C140" s="1681"/>
      <c r="D140" s="1681"/>
      <c r="E140" s="1680"/>
      <c r="F140" s="172"/>
      <c r="G140" s="123"/>
      <c r="M140" s="80"/>
      <c r="N140" s="80"/>
      <c r="O140" s="80"/>
      <c r="Q140" s="80"/>
      <c r="R140" s="80"/>
      <c r="S140" s="80"/>
      <c r="T140" s="80"/>
      <c r="U140" s="80"/>
      <c r="V140" s="80"/>
      <c r="W140" s="80"/>
      <c r="X140" s="80"/>
    </row>
    <row r="141" spans="1:24" ht="18" customHeight="1" x14ac:dyDescent="0.25">
      <c r="A141" s="1128" t="s">
        <v>1717</v>
      </c>
      <c r="B141" s="1699"/>
      <c r="C141" s="1700" t="str">
        <f>IF(ISBLANK('Section 9| Compliance Plan'!B27),"",'Section 9| Compliance Plan'!B27)</f>
        <v/>
      </c>
      <c r="D141" s="1701"/>
      <c r="E141" s="1701"/>
      <c r="F141" s="1702"/>
      <c r="G141" s="123"/>
      <c r="M141" s="80"/>
      <c r="N141" s="80"/>
      <c r="O141" s="80"/>
      <c r="Q141" s="80"/>
      <c r="R141" s="80"/>
      <c r="S141" s="80"/>
      <c r="T141" s="80"/>
      <c r="U141" s="80"/>
      <c r="V141" s="80"/>
      <c r="W141" s="80"/>
      <c r="X141" s="80"/>
    </row>
    <row r="142" spans="1:24" ht="18" customHeight="1" x14ac:dyDescent="0.25">
      <c r="A142" s="1136" t="s">
        <v>1718</v>
      </c>
      <c r="B142" s="1683"/>
      <c r="C142" s="1684" t="str">
        <f>IF(ISBLANK('Section 9| Compliance Plan'!A27),"",'Section 9| Compliance Plan'!A27)</f>
        <v/>
      </c>
      <c r="D142" s="1685"/>
      <c r="E142" s="1685"/>
      <c r="F142" s="1686"/>
      <c r="G142" s="123"/>
      <c r="M142" s="80"/>
      <c r="N142" s="80"/>
      <c r="O142" s="80"/>
      <c r="Q142" s="80"/>
      <c r="R142" s="80"/>
      <c r="S142" s="80"/>
      <c r="T142" s="80"/>
      <c r="U142" s="80"/>
      <c r="V142" s="80"/>
      <c r="W142" s="80"/>
      <c r="X142" s="80"/>
    </row>
    <row r="143" spans="1:24" ht="18" customHeight="1" x14ac:dyDescent="0.25">
      <c r="A143" s="1687" t="s">
        <v>1719</v>
      </c>
      <c r="B143" s="1688"/>
      <c r="C143" s="1688"/>
      <c r="D143" s="1688"/>
      <c r="E143" s="1688"/>
      <c r="F143" s="1689"/>
      <c r="G143" s="123"/>
      <c r="M143" s="80"/>
      <c r="N143" s="80"/>
      <c r="O143" s="80"/>
      <c r="Q143" s="80"/>
      <c r="R143" s="80"/>
      <c r="S143" s="80"/>
      <c r="T143" s="80"/>
      <c r="U143" s="80"/>
      <c r="V143" s="80"/>
      <c r="W143" s="80"/>
      <c r="X143" s="80"/>
    </row>
    <row r="144" spans="1:24" ht="65.099999999999994" customHeight="1" x14ac:dyDescent="0.25">
      <c r="A144" s="1690"/>
      <c r="B144" s="1691"/>
      <c r="C144" s="1691"/>
      <c r="D144" s="1691"/>
      <c r="E144" s="1691"/>
      <c r="F144" s="1692"/>
      <c r="G144" s="123"/>
      <c r="M144" s="80"/>
      <c r="N144" s="80"/>
      <c r="O144" s="80"/>
      <c r="Q144" s="80"/>
      <c r="R144" s="80"/>
      <c r="S144" s="80"/>
      <c r="T144" s="80"/>
      <c r="U144" s="80"/>
      <c r="V144" s="80"/>
      <c r="W144" s="80"/>
      <c r="X144" s="80"/>
    </row>
    <row r="145" spans="1:24" ht="18" customHeight="1" x14ac:dyDescent="0.25">
      <c r="A145" s="1687" t="s">
        <v>1720</v>
      </c>
      <c r="B145" s="1688"/>
      <c r="C145" s="1688"/>
      <c r="D145" s="1688"/>
      <c r="E145" s="1688"/>
      <c r="F145" s="1689"/>
      <c r="G145" s="123"/>
      <c r="M145" s="80"/>
      <c r="N145" s="80"/>
      <c r="O145" s="80"/>
      <c r="Q145" s="80"/>
      <c r="R145" s="80"/>
      <c r="S145" s="80"/>
      <c r="T145" s="80"/>
      <c r="U145" s="80"/>
      <c r="V145" s="80"/>
      <c r="W145" s="80"/>
      <c r="X145" s="80"/>
    </row>
    <row r="146" spans="1:24" ht="18" customHeight="1" x14ac:dyDescent="0.25">
      <c r="A146" s="1693" t="s">
        <v>1721</v>
      </c>
      <c r="B146" s="1694"/>
      <c r="C146" s="1694"/>
      <c r="D146" s="1694"/>
      <c r="E146" s="1695"/>
      <c r="F146" s="173" t="s">
        <v>1722</v>
      </c>
      <c r="G146" s="123"/>
      <c r="M146" s="80"/>
      <c r="N146" s="80"/>
      <c r="O146" s="80"/>
      <c r="Q146" s="80"/>
      <c r="R146" s="80"/>
      <c r="S146" s="80"/>
      <c r="T146" s="80"/>
      <c r="U146" s="80"/>
      <c r="V146" s="80"/>
      <c r="W146" s="80"/>
      <c r="X146" s="80"/>
    </row>
    <row r="147" spans="1:24" ht="18" customHeight="1" x14ac:dyDescent="0.25">
      <c r="A147" s="1696"/>
      <c r="B147" s="1673"/>
      <c r="C147" s="1673"/>
      <c r="D147" s="1673"/>
      <c r="E147" s="1672"/>
      <c r="F147" s="170"/>
      <c r="G147" s="123"/>
      <c r="M147" s="80"/>
      <c r="N147" s="80"/>
      <c r="O147" s="80"/>
      <c r="Q147" s="80"/>
      <c r="R147" s="80"/>
      <c r="S147" s="80"/>
      <c r="T147" s="80"/>
      <c r="U147" s="80"/>
      <c r="V147" s="80"/>
      <c r="W147" s="80"/>
      <c r="X147" s="80"/>
    </row>
    <row r="148" spans="1:24" ht="18" customHeight="1" x14ac:dyDescent="0.25">
      <c r="A148" s="1697"/>
      <c r="B148" s="1677"/>
      <c r="C148" s="1677"/>
      <c r="D148" s="1677"/>
      <c r="E148" s="1676"/>
      <c r="F148" s="171"/>
      <c r="G148" s="123"/>
      <c r="M148" s="80"/>
      <c r="N148" s="80"/>
      <c r="O148" s="80"/>
      <c r="Q148" s="80"/>
      <c r="R148" s="80"/>
      <c r="S148" s="80"/>
      <c r="T148" s="80"/>
      <c r="U148" s="80"/>
      <c r="V148" s="80"/>
      <c r="W148" s="80"/>
      <c r="X148" s="80"/>
    </row>
    <row r="149" spans="1:24" ht="18" customHeight="1" x14ac:dyDescent="0.25">
      <c r="A149" s="1697"/>
      <c r="B149" s="1677"/>
      <c r="C149" s="1677"/>
      <c r="D149" s="1677"/>
      <c r="E149" s="1676"/>
      <c r="F149" s="171"/>
      <c r="G149" s="123"/>
      <c r="M149" s="80"/>
      <c r="N149" s="80"/>
      <c r="O149" s="80"/>
      <c r="Q149" s="80"/>
      <c r="R149" s="80"/>
      <c r="S149" s="80"/>
      <c r="T149" s="80"/>
      <c r="U149" s="80"/>
      <c r="V149" s="80"/>
      <c r="W149" s="80"/>
      <c r="X149" s="80"/>
    </row>
    <row r="150" spans="1:24" ht="18" customHeight="1" x14ac:dyDescent="0.25">
      <c r="A150" s="1697"/>
      <c r="B150" s="1677"/>
      <c r="C150" s="1677"/>
      <c r="D150" s="1677"/>
      <c r="E150" s="1676"/>
      <c r="F150" s="171"/>
      <c r="G150" s="123"/>
      <c r="M150" s="80"/>
      <c r="N150" s="80"/>
      <c r="O150" s="80"/>
      <c r="Q150" s="80"/>
      <c r="R150" s="80"/>
      <c r="S150" s="80"/>
      <c r="T150" s="80"/>
      <c r="U150" s="80"/>
      <c r="V150" s="80"/>
      <c r="W150" s="80"/>
      <c r="X150" s="80"/>
    </row>
    <row r="151" spans="1:24" ht="18" customHeight="1" x14ac:dyDescent="0.25">
      <c r="A151" s="1697"/>
      <c r="B151" s="1677"/>
      <c r="C151" s="1677"/>
      <c r="D151" s="1677"/>
      <c r="E151" s="1676"/>
      <c r="F151" s="171"/>
      <c r="G151" s="123"/>
      <c r="M151" s="80"/>
      <c r="N151" s="80"/>
      <c r="O151" s="80"/>
      <c r="Q151" s="80"/>
      <c r="R151" s="80"/>
      <c r="S151" s="80"/>
      <c r="T151" s="80"/>
      <c r="U151" s="80"/>
      <c r="V151" s="80"/>
      <c r="W151" s="80"/>
      <c r="X151" s="80"/>
    </row>
    <row r="152" spans="1:24" ht="18" customHeight="1" thickBot="1" x14ac:dyDescent="0.3">
      <c r="A152" s="1698"/>
      <c r="B152" s="1681"/>
      <c r="C152" s="1681"/>
      <c r="D152" s="1681"/>
      <c r="E152" s="1680"/>
      <c r="F152" s="172"/>
      <c r="G152" s="123"/>
      <c r="M152" s="80"/>
      <c r="N152" s="80"/>
      <c r="O152" s="80"/>
      <c r="Q152" s="80"/>
      <c r="R152" s="80"/>
      <c r="S152" s="80"/>
      <c r="T152" s="80"/>
      <c r="U152" s="80"/>
      <c r="V152" s="80"/>
      <c r="W152" s="80"/>
      <c r="X152" s="80"/>
    </row>
    <row r="153" spans="1:24" ht="18" customHeight="1" x14ac:dyDescent="0.25">
      <c r="A153" s="1128" t="s">
        <v>1717</v>
      </c>
      <c r="B153" s="1699"/>
      <c r="C153" s="1700" t="str">
        <f>IF(ISBLANK('Section 9| Compliance Plan'!B28),"",'Section 9| Compliance Plan'!B28)</f>
        <v/>
      </c>
      <c r="D153" s="1701"/>
      <c r="E153" s="1701"/>
      <c r="F153" s="1702"/>
      <c r="G153" s="123"/>
      <c r="M153" s="80"/>
      <c r="N153" s="80"/>
      <c r="O153" s="80"/>
      <c r="Q153" s="80"/>
      <c r="R153" s="80"/>
      <c r="S153" s="80"/>
      <c r="T153" s="80"/>
      <c r="U153" s="80"/>
      <c r="V153" s="80"/>
      <c r="W153" s="80"/>
      <c r="X153" s="80"/>
    </row>
    <row r="154" spans="1:24" ht="18" customHeight="1" x14ac:dyDescent="0.25">
      <c r="A154" s="1136" t="s">
        <v>1718</v>
      </c>
      <c r="B154" s="1683"/>
      <c r="C154" s="1684" t="str">
        <f>IF(ISBLANK('Section 9| Compliance Plan'!A28),"",'Section 9| Compliance Plan'!A28)</f>
        <v/>
      </c>
      <c r="D154" s="1685"/>
      <c r="E154" s="1685"/>
      <c r="F154" s="1686"/>
      <c r="G154" s="123"/>
      <c r="M154" s="80"/>
      <c r="N154" s="80"/>
      <c r="O154" s="80"/>
      <c r="Q154" s="80"/>
      <c r="R154" s="80"/>
      <c r="S154" s="80"/>
      <c r="T154" s="80"/>
      <c r="U154" s="80"/>
      <c r="V154" s="80"/>
      <c r="W154" s="80"/>
      <c r="X154" s="80"/>
    </row>
    <row r="155" spans="1:24" ht="18" customHeight="1" x14ac:dyDescent="0.25">
      <c r="A155" s="1687" t="s">
        <v>1719</v>
      </c>
      <c r="B155" s="1688"/>
      <c r="C155" s="1688"/>
      <c r="D155" s="1688"/>
      <c r="E155" s="1688"/>
      <c r="F155" s="1689"/>
      <c r="G155" s="123"/>
      <c r="M155" s="80"/>
      <c r="N155" s="80"/>
      <c r="O155" s="80"/>
      <c r="Q155" s="80"/>
      <c r="R155" s="80"/>
      <c r="S155" s="80"/>
      <c r="T155" s="80"/>
      <c r="U155" s="80"/>
      <c r="V155" s="80"/>
      <c r="W155" s="80"/>
      <c r="X155" s="80"/>
    </row>
    <row r="156" spans="1:24" ht="65.099999999999994" customHeight="1" x14ac:dyDescent="0.25">
      <c r="A156" s="1690"/>
      <c r="B156" s="1691"/>
      <c r="C156" s="1691"/>
      <c r="D156" s="1691"/>
      <c r="E156" s="1691"/>
      <c r="F156" s="1692"/>
      <c r="G156" s="123"/>
      <c r="M156" s="80"/>
      <c r="N156" s="80"/>
      <c r="O156" s="80"/>
      <c r="Q156" s="80"/>
      <c r="R156" s="80"/>
      <c r="S156" s="80"/>
      <c r="T156" s="80"/>
      <c r="U156" s="80"/>
      <c r="V156" s="80"/>
      <c r="W156" s="80"/>
      <c r="X156" s="80"/>
    </row>
    <row r="157" spans="1:24" ht="18" customHeight="1" x14ac:dyDescent="0.25">
      <c r="A157" s="1687" t="s">
        <v>1720</v>
      </c>
      <c r="B157" s="1688"/>
      <c r="C157" s="1688"/>
      <c r="D157" s="1688"/>
      <c r="E157" s="1688"/>
      <c r="F157" s="1689"/>
      <c r="G157" s="123"/>
      <c r="M157" s="80"/>
      <c r="N157" s="80"/>
      <c r="O157" s="80"/>
      <c r="Q157" s="80"/>
      <c r="R157" s="80"/>
      <c r="S157" s="80"/>
      <c r="T157" s="80"/>
      <c r="U157" s="80"/>
      <c r="V157" s="80"/>
      <c r="W157" s="80"/>
      <c r="X157" s="80"/>
    </row>
    <row r="158" spans="1:24" ht="18" customHeight="1" x14ac:dyDescent="0.25">
      <c r="A158" s="1693" t="s">
        <v>1721</v>
      </c>
      <c r="B158" s="1694"/>
      <c r="C158" s="1694"/>
      <c r="D158" s="1694"/>
      <c r="E158" s="1695"/>
      <c r="F158" s="173" t="s">
        <v>1722</v>
      </c>
      <c r="G158" s="123"/>
      <c r="M158" s="80"/>
      <c r="N158" s="80"/>
      <c r="O158" s="80"/>
      <c r="Q158" s="80"/>
      <c r="R158" s="80"/>
      <c r="S158" s="80"/>
      <c r="T158" s="80"/>
      <c r="U158" s="80"/>
      <c r="V158" s="80"/>
      <c r="W158" s="80"/>
      <c r="X158" s="80"/>
    </row>
    <row r="159" spans="1:24" ht="18" customHeight="1" x14ac:dyDescent="0.25">
      <c r="A159" s="1696"/>
      <c r="B159" s="1673"/>
      <c r="C159" s="1673"/>
      <c r="D159" s="1673"/>
      <c r="E159" s="1672"/>
      <c r="F159" s="170"/>
      <c r="G159" s="123"/>
      <c r="M159" s="80"/>
      <c r="N159" s="80"/>
      <c r="O159" s="80"/>
      <c r="Q159" s="80"/>
      <c r="R159" s="80"/>
      <c r="S159" s="80"/>
      <c r="T159" s="80"/>
      <c r="U159" s="80"/>
      <c r="V159" s="80"/>
      <c r="W159" s="80"/>
      <c r="X159" s="80"/>
    </row>
    <row r="160" spans="1:24" ht="18" customHeight="1" x14ac:dyDescent="0.25">
      <c r="A160" s="1697"/>
      <c r="B160" s="1677"/>
      <c r="C160" s="1677"/>
      <c r="D160" s="1677"/>
      <c r="E160" s="1676"/>
      <c r="F160" s="171"/>
      <c r="G160" s="123"/>
      <c r="M160" s="80"/>
      <c r="N160" s="80"/>
      <c r="O160" s="80"/>
      <c r="Q160" s="80"/>
      <c r="R160" s="80"/>
      <c r="S160" s="80"/>
      <c r="T160" s="80"/>
      <c r="U160" s="80"/>
      <c r="V160" s="80"/>
      <c r="W160" s="80"/>
      <c r="X160" s="80"/>
    </row>
    <row r="161" spans="1:24" ht="18" customHeight="1" x14ac:dyDescent="0.25">
      <c r="A161" s="1697"/>
      <c r="B161" s="1677"/>
      <c r="C161" s="1677"/>
      <c r="D161" s="1677"/>
      <c r="E161" s="1676"/>
      <c r="F161" s="171"/>
      <c r="G161" s="123"/>
      <c r="M161" s="80"/>
      <c r="N161" s="80"/>
      <c r="O161" s="80"/>
      <c r="Q161" s="80"/>
      <c r="R161" s="80"/>
      <c r="S161" s="80"/>
      <c r="T161" s="80"/>
      <c r="U161" s="80"/>
      <c r="V161" s="80"/>
      <c r="W161" s="80"/>
      <c r="X161" s="80"/>
    </row>
    <row r="162" spans="1:24" ht="18" customHeight="1" x14ac:dyDescent="0.25">
      <c r="A162" s="1697"/>
      <c r="B162" s="1677"/>
      <c r="C162" s="1677"/>
      <c r="D162" s="1677"/>
      <c r="E162" s="1676"/>
      <c r="F162" s="171"/>
      <c r="G162" s="123"/>
      <c r="M162" s="80"/>
      <c r="N162" s="80"/>
      <c r="O162" s="80"/>
      <c r="Q162" s="80"/>
      <c r="R162" s="80"/>
      <c r="S162" s="80"/>
      <c r="T162" s="80"/>
      <c r="U162" s="80"/>
      <c r="V162" s="80"/>
      <c r="W162" s="80"/>
      <c r="X162" s="80"/>
    </row>
    <row r="163" spans="1:24" ht="18" customHeight="1" x14ac:dyDescent="0.25">
      <c r="A163" s="1697"/>
      <c r="B163" s="1677"/>
      <c r="C163" s="1677"/>
      <c r="D163" s="1677"/>
      <c r="E163" s="1676"/>
      <c r="F163" s="171"/>
      <c r="G163" s="123"/>
      <c r="M163" s="80"/>
      <c r="N163" s="80"/>
      <c r="O163" s="80"/>
      <c r="Q163" s="80"/>
      <c r="R163" s="80"/>
      <c r="S163" s="80"/>
      <c r="T163" s="80"/>
      <c r="U163" s="80"/>
      <c r="V163" s="80"/>
      <c r="W163" s="80"/>
      <c r="X163" s="80"/>
    </row>
    <row r="164" spans="1:24" ht="18" customHeight="1" thickBot="1" x14ac:dyDescent="0.3">
      <c r="A164" s="1698"/>
      <c r="B164" s="1681"/>
      <c r="C164" s="1681"/>
      <c r="D164" s="1681"/>
      <c r="E164" s="1680"/>
      <c r="F164" s="172"/>
      <c r="G164" s="123"/>
      <c r="M164" s="80"/>
      <c r="N164" s="80"/>
      <c r="O164" s="80"/>
      <c r="Q164" s="80"/>
      <c r="R164" s="80"/>
      <c r="S164" s="80"/>
      <c r="T164" s="80"/>
      <c r="U164" s="80"/>
      <c r="V164" s="80"/>
      <c r="W164" s="80"/>
      <c r="X164" s="80"/>
    </row>
    <row r="165" spans="1:24" ht="18" customHeight="1" x14ac:dyDescent="0.25">
      <c r="A165" s="1128" t="s">
        <v>1717</v>
      </c>
      <c r="B165" s="1699"/>
      <c r="C165" s="1700" t="str">
        <f>IF(ISBLANK('Section 9| Compliance Plan'!B29),"",'Section 9| Compliance Plan'!B29)</f>
        <v/>
      </c>
      <c r="D165" s="1701"/>
      <c r="E165" s="1701"/>
      <c r="F165" s="1702"/>
      <c r="G165" s="123"/>
      <c r="M165" s="80"/>
      <c r="N165" s="80"/>
      <c r="O165" s="80"/>
      <c r="Q165" s="80"/>
      <c r="R165" s="80"/>
      <c r="S165" s="80"/>
      <c r="T165" s="80"/>
      <c r="U165" s="80"/>
      <c r="V165" s="80"/>
      <c r="W165" s="80"/>
      <c r="X165" s="80"/>
    </row>
    <row r="166" spans="1:24" ht="18" customHeight="1" x14ac:dyDescent="0.25">
      <c r="A166" s="1136" t="s">
        <v>1718</v>
      </c>
      <c r="B166" s="1683"/>
      <c r="C166" s="1684" t="str">
        <f>IF(ISBLANK('Section 9| Compliance Plan'!A29),"",'Section 9| Compliance Plan'!A29)</f>
        <v/>
      </c>
      <c r="D166" s="1685"/>
      <c r="E166" s="1685"/>
      <c r="F166" s="1686"/>
      <c r="G166" s="123"/>
      <c r="M166" s="80"/>
      <c r="N166" s="80"/>
      <c r="O166" s="80"/>
      <c r="Q166" s="80"/>
      <c r="R166" s="80"/>
      <c r="S166" s="80"/>
      <c r="T166" s="80"/>
      <c r="U166" s="80"/>
      <c r="V166" s="80"/>
      <c r="W166" s="80"/>
      <c r="X166" s="80"/>
    </row>
    <row r="167" spans="1:24" ht="18" customHeight="1" x14ac:dyDescent="0.25">
      <c r="A167" s="1687" t="s">
        <v>1719</v>
      </c>
      <c r="B167" s="1688"/>
      <c r="C167" s="1688"/>
      <c r="D167" s="1688"/>
      <c r="E167" s="1688"/>
      <c r="F167" s="1689"/>
      <c r="G167" s="123"/>
      <c r="M167" s="80"/>
      <c r="N167" s="80"/>
      <c r="O167" s="80"/>
      <c r="Q167" s="80"/>
      <c r="R167" s="80"/>
      <c r="S167" s="80"/>
      <c r="T167" s="80"/>
      <c r="U167" s="80"/>
      <c r="V167" s="80"/>
      <c r="W167" s="80"/>
      <c r="X167" s="80"/>
    </row>
    <row r="168" spans="1:24" ht="65.099999999999994" customHeight="1" x14ac:dyDescent="0.25">
      <c r="A168" s="1690"/>
      <c r="B168" s="1691"/>
      <c r="C168" s="1691"/>
      <c r="D168" s="1691"/>
      <c r="E168" s="1691"/>
      <c r="F168" s="1692"/>
      <c r="G168" s="123"/>
      <c r="M168" s="80"/>
      <c r="N168" s="80"/>
      <c r="O168" s="80"/>
      <c r="Q168" s="80"/>
      <c r="R168" s="80"/>
      <c r="S168" s="80"/>
      <c r="T168" s="80"/>
      <c r="U168" s="80"/>
      <c r="V168" s="80"/>
      <c r="W168" s="80"/>
      <c r="X168" s="80"/>
    </row>
    <row r="169" spans="1:24" ht="18" customHeight="1" x14ac:dyDescent="0.25">
      <c r="A169" s="1687" t="s">
        <v>1720</v>
      </c>
      <c r="B169" s="1688"/>
      <c r="C169" s="1688"/>
      <c r="D169" s="1688"/>
      <c r="E169" s="1688"/>
      <c r="F169" s="1689"/>
      <c r="G169" s="123"/>
      <c r="M169" s="80"/>
      <c r="N169" s="80"/>
      <c r="O169" s="80"/>
      <c r="Q169" s="80"/>
      <c r="R169" s="80"/>
      <c r="S169" s="80"/>
      <c r="T169" s="80"/>
      <c r="U169" s="80"/>
      <c r="V169" s="80"/>
      <c r="W169" s="80"/>
      <c r="X169" s="80"/>
    </row>
    <row r="170" spans="1:24" ht="18" customHeight="1" x14ac:dyDescent="0.25">
      <c r="A170" s="1693" t="s">
        <v>1721</v>
      </c>
      <c r="B170" s="1694"/>
      <c r="C170" s="1694"/>
      <c r="D170" s="1694"/>
      <c r="E170" s="1695"/>
      <c r="F170" s="173" t="s">
        <v>1722</v>
      </c>
      <c r="G170" s="123"/>
      <c r="M170" s="80"/>
      <c r="N170" s="80"/>
      <c r="O170" s="80"/>
      <c r="Q170" s="80"/>
      <c r="R170" s="80"/>
      <c r="S170" s="80"/>
      <c r="T170" s="80"/>
      <c r="U170" s="80"/>
      <c r="V170" s="80"/>
      <c r="W170" s="80"/>
      <c r="X170" s="80"/>
    </row>
    <row r="171" spans="1:24" ht="18" customHeight="1" x14ac:dyDescent="0.25">
      <c r="A171" s="1696"/>
      <c r="B171" s="1673"/>
      <c r="C171" s="1673"/>
      <c r="D171" s="1673"/>
      <c r="E171" s="1672"/>
      <c r="F171" s="170"/>
      <c r="G171" s="123"/>
      <c r="M171" s="80"/>
      <c r="N171" s="80"/>
      <c r="O171" s="80"/>
      <c r="Q171" s="80"/>
      <c r="R171" s="80"/>
      <c r="S171" s="80"/>
      <c r="T171" s="80"/>
      <c r="U171" s="80"/>
      <c r="V171" s="80"/>
      <c r="W171" s="80"/>
      <c r="X171" s="80"/>
    </row>
    <row r="172" spans="1:24" ht="18" customHeight="1" x14ac:dyDescent="0.25">
      <c r="A172" s="1697"/>
      <c r="B172" s="1677"/>
      <c r="C172" s="1677"/>
      <c r="D172" s="1677"/>
      <c r="E172" s="1676"/>
      <c r="F172" s="171"/>
      <c r="G172" s="123"/>
      <c r="M172" s="80"/>
      <c r="N172" s="80"/>
      <c r="O172" s="80"/>
      <c r="Q172" s="80"/>
      <c r="R172" s="80"/>
      <c r="S172" s="80"/>
      <c r="T172" s="80"/>
      <c r="U172" s="80"/>
      <c r="V172" s="80"/>
      <c r="W172" s="80"/>
      <c r="X172" s="80"/>
    </row>
    <row r="173" spans="1:24" ht="18" customHeight="1" x14ac:dyDescent="0.25">
      <c r="A173" s="1697"/>
      <c r="B173" s="1677"/>
      <c r="C173" s="1677"/>
      <c r="D173" s="1677"/>
      <c r="E173" s="1676"/>
      <c r="F173" s="171"/>
      <c r="G173" s="123"/>
      <c r="M173" s="80"/>
      <c r="N173" s="80"/>
      <c r="O173" s="80"/>
      <c r="Q173" s="80"/>
      <c r="R173" s="80"/>
      <c r="S173" s="80"/>
      <c r="T173" s="80"/>
      <c r="U173" s="80"/>
      <c r="V173" s="80"/>
      <c r="W173" s="80"/>
      <c r="X173" s="80"/>
    </row>
    <row r="174" spans="1:24" ht="18" customHeight="1" x14ac:dyDescent="0.25">
      <c r="A174" s="1697"/>
      <c r="B174" s="1677"/>
      <c r="C174" s="1677"/>
      <c r="D174" s="1677"/>
      <c r="E174" s="1676"/>
      <c r="F174" s="171"/>
      <c r="G174" s="123"/>
      <c r="M174" s="80"/>
      <c r="N174" s="80"/>
      <c r="O174" s="80"/>
      <c r="Q174" s="80"/>
      <c r="R174" s="80"/>
      <c r="S174" s="80"/>
      <c r="T174" s="80"/>
      <c r="U174" s="80"/>
      <c r="V174" s="80"/>
      <c r="W174" s="80"/>
      <c r="X174" s="80"/>
    </row>
    <row r="175" spans="1:24" ht="18" customHeight="1" x14ac:dyDescent="0.25">
      <c r="A175" s="1697"/>
      <c r="B175" s="1677"/>
      <c r="C175" s="1677"/>
      <c r="D175" s="1677"/>
      <c r="E175" s="1676"/>
      <c r="F175" s="171"/>
      <c r="G175" s="123"/>
      <c r="M175" s="80"/>
      <c r="N175" s="80"/>
      <c r="O175" s="80"/>
      <c r="Q175" s="80"/>
      <c r="R175" s="80"/>
      <c r="S175" s="80"/>
      <c r="T175" s="80"/>
      <c r="U175" s="80"/>
      <c r="V175" s="80"/>
      <c r="W175" s="80"/>
      <c r="X175" s="80"/>
    </row>
    <row r="176" spans="1:24" ht="18" customHeight="1" thickBot="1" x14ac:dyDescent="0.3">
      <c r="A176" s="1698"/>
      <c r="B176" s="1681"/>
      <c r="C176" s="1681"/>
      <c r="D176" s="1681"/>
      <c r="E176" s="1680"/>
      <c r="F176" s="172"/>
      <c r="G176" s="123"/>
      <c r="M176" s="80"/>
      <c r="N176" s="80"/>
      <c r="O176" s="80"/>
      <c r="Q176" s="80"/>
      <c r="R176" s="80"/>
      <c r="S176" s="80"/>
      <c r="T176" s="80"/>
      <c r="U176" s="80"/>
      <c r="V176" s="80"/>
      <c r="W176" s="80"/>
      <c r="X176" s="80"/>
    </row>
    <row r="177" spans="1:24" ht="18" customHeight="1" x14ac:dyDescent="0.25">
      <c r="A177" s="1128" t="s">
        <v>1717</v>
      </c>
      <c r="B177" s="1699"/>
      <c r="C177" s="1700" t="str">
        <f>IF(ISBLANK('Section 9| Compliance Plan'!B30),"",'Section 9| Compliance Plan'!B30)</f>
        <v/>
      </c>
      <c r="D177" s="1701"/>
      <c r="E177" s="1701"/>
      <c r="F177" s="1702"/>
      <c r="G177" s="123"/>
      <c r="M177" s="80"/>
      <c r="N177" s="80"/>
      <c r="O177" s="80"/>
      <c r="Q177" s="80"/>
      <c r="R177" s="80"/>
      <c r="S177" s="80"/>
      <c r="T177" s="80"/>
      <c r="U177" s="80"/>
      <c r="V177" s="80"/>
      <c r="W177" s="80"/>
      <c r="X177" s="80"/>
    </row>
    <row r="178" spans="1:24" ht="18" customHeight="1" x14ac:dyDescent="0.25">
      <c r="A178" s="1136" t="s">
        <v>1718</v>
      </c>
      <c r="B178" s="1683"/>
      <c r="C178" s="1684" t="str">
        <f>IF(ISBLANK('Section 9| Compliance Plan'!A30),"",'Section 9| Compliance Plan'!A30)</f>
        <v/>
      </c>
      <c r="D178" s="1685"/>
      <c r="E178" s="1685"/>
      <c r="F178" s="1686"/>
      <c r="G178" s="123"/>
      <c r="M178" s="80"/>
      <c r="N178" s="80"/>
      <c r="O178" s="80"/>
      <c r="Q178" s="80"/>
      <c r="R178" s="80"/>
      <c r="S178" s="80"/>
      <c r="T178" s="80"/>
      <c r="U178" s="80"/>
      <c r="V178" s="80"/>
      <c r="W178" s="80"/>
      <c r="X178" s="80"/>
    </row>
    <row r="179" spans="1:24" ht="18" customHeight="1" x14ac:dyDescent="0.25">
      <c r="A179" s="1687" t="s">
        <v>1719</v>
      </c>
      <c r="B179" s="1688"/>
      <c r="C179" s="1688"/>
      <c r="D179" s="1688"/>
      <c r="E179" s="1688"/>
      <c r="F179" s="1689"/>
      <c r="G179" s="123"/>
      <c r="M179" s="80"/>
      <c r="N179" s="80"/>
      <c r="O179" s="80"/>
      <c r="Q179" s="80"/>
      <c r="R179" s="80"/>
      <c r="S179" s="80"/>
      <c r="T179" s="80"/>
      <c r="U179" s="80"/>
      <c r="V179" s="80"/>
      <c r="W179" s="80"/>
      <c r="X179" s="80"/>
    </row>
    <row r="180" spans="1:24" ht="65.099999999999994" customHeight="1" x14ac:dyDescent="0.25">
      <c r="A180" s="1690"/>
      <c r="B180" s="1691"/>
      <c r="C180" s="1691"/>
      <c r="D180" s="1691"/>
      <c r="E180" s="1691"/>
      <c r="F180" s="1692"/>
      <c r="G180" s="123"/>
      <c r="M180" s="80"/>
      <c r="N180" s="80"/>
      <c r="O180" s="80"/>
      <c r="Q180" s="80"/>
      <c r="R180" s="80"/>
      <c r="S180" s="80"/>
      <c r="T180" s="80"/>
      <c r="U180" s="80"/>
      <c r="V180" s="80"/>
      <c r="W180" s="80"/>
      <c r="X180" s="80"/>
    </row>
    <row r="181" spans="1:24" ht="18" customHeight="1" x14ac:dyDescent="0.25">
      <c r="A181" s="1687" t="s">
        <v>1720</v>
      </c>
      <c r="B181" s="1688"/>
      <c r="C181" s="1688"/>
      <c r="D181" s="1688"/>
      <c r="E181" s="1688"/>
      <c r="F181" s="1689"/>
      <c r="G181" s="123"/>
      <c r="M181" s="80"/>
      <c r="N181" s="80"/>
      <c r="O181" s="80"/>
      <c r="Q181" s="80"/>
      <c r="R181" s="80"/>
      <c r="S181" s="80"/>
      <c r="T181" s="80"/>
      <c r="U181" s="80"/>
      <c r="V181" s="80"/>
      <c r="W181" s="80"/>
      <c r="X181" s="80"/>
    </row>
    <row r="182" spans="1:24" ht="18" customHeight="1" x14ac:dyDescent="0.25">
      <c r="A182" s="1693" t="s">
        <v>1721</v>
      </c>
      <c r="B182" s="1694"/>
      <c r="C182" s="1694"/>
      <c r="D182" s="1694"/>
      <c r="E182" s="1695"/>
      <c r="F182" s="173" t="s">
        <v>1722</v>
      </c>
      <c r="G182" s="123"/>
      <c r="M182" s="80"/>
      <c r="N182" s="80"/>
      <c r="O182" s="80"/>
      <c r="Q182" s="80"/>
      <c r="R182" s="80"/>
      <c r="S182" s="80"/>
      <c r="T182" s="80"/>
      <c r="U182" s="80"/>
      <c r="V182" s="80"/>
      <c r="W182" s="80"/>
      <c r="X182" s="80"/>
    </row>
    <row r="183" spans="1:24" ht="18" customHeight="1" x14ac:dyDescent="0.25">
      <c r="A183" s="1696"/>
      <c r="B183" s="1673"/>
      <c r="C183" s="1673"/>
      <c r="D183" s="1673"/>
      <c r="E183" s="1672"/>
      <c r="F183" s="170"/>
      <c r="G183" s="123"/>
      <c r="M183" s="80"/>
      <c r="N183" s="80"/>
      <c r="O183" s="80"/>
      <c r="Q183" s="80"/>
      <c r="R183" s="80"/>
      <c r="S183" s="80"/>
      <c r="T183" s="80"/>
      <c r="U183" s="80"/>
      <c r="V183" s="80"/>
      <c r="W183" s="80"/>
      <c r="X183" s="80"/>
    </row>
    <row r="184" spans="1:24" ht="18" customHeight="1" x14ac:dyDescent="0.25">
      <c r="A184" s="1697"/>
      <c r="B184" s="1677"/>
      <c r="C184" s="1677"/>
      <c r="D184" s="1677"/>
      <c r="E184" s="1676"/>
      <c r="F184" s="171"/>
      <c r="G184" s="123"/>
      <c r="M184" s="80"/>
      <c r="N184" s="80"/>
      <c r="O184" s="80"/>
      <c r="Q184" s="80"/>
      <c r="R184" s="80"/>
      <c r="S184" s="80"/>
      <c r="T184" s="80"/>
      <c r="U184" s="80"/>
      <c r="V184" s="80"/>
      <c r="W184" s="80"/>
      <c r="X184" s="80"/>
    </row>
    <row r="185" spans="1:24" ht="18" customHeight="1" x14ac:dyDescent="0.25">
      <c r="A185" s="1697"/>
      <c r="B185" s="1677"/>
      <c r="C185" s="1677"/>
      <c r="D185" s="1677"/>
      <c r="E185" s="1676"/>
      <c r="F185" s="171"/>
      <c r="G185" s="123"/>
      <c r="M185" s="80"/>
      <c r="N185" s="80"/>
      <c r="O185" s="80"/>
      <c r="Q185" s="80"/>
      <c r="R185" s="80"/>
      <c r="S185" s="80"/>
      <c r="T185" s="80"/>
      <c r="U185" s="80"/>
      <c r="V185" s="80"/>
      <c r="W185" s="80"/>
      <c r="X185" s="80"/>
    </row>
    <row r="186" spans="1:24" ht="18" customHeight="1" x14ac:dyDescent="0.25">
      <c r="A186" s="1697"/>
      <c r="B186" s="1677"/>
      <c r="C186" s="1677"/>
      <c r="D186" s="1677"/>
      <c r="E186" s="1676"/>
      <c r="F186" s="171"/>
      <c r="G186" s="123"/>
      <c r="M186" s="80"/>
      <c r="N186" s="80"/>
      <c r="O186" s="80"/>
      <c r="Q186" s="80"/>
      <c r="R186" s="80"/>
      <c r="S186" s="80"/>
      <c r="T186" s="80"/>
      <c r="U186" s="80"/>
      <c r="V186" s="80"/>
      <c r="W186" s="80"/>
      <c r="X186" s="80"/>
    </row>
    <row r="187" spans="1:24" ht="18" customHeight="1" x14ac:dyDescent="0.25">
      <c r="A187" s="1697"/>
      <c r="B187" s="1677"/>
      <c r="C187" s="1677"/>
      <c r="D187" s="1677"/>
      <c r="E187" s="1676"/>
      <c r="F187" s="171"/>
      <c r="G187" s="123"/>
      <c r="M187" s="80"/>
      <c r="N187" s="80"/>
      <c r="O187" s="80"/>
      <c r="Q187" s="80"/>
      <c r="R187" s="80"/>
      <c r="S187" s="80"/>
      <c r="T187" s="80"/>
      <c r="U187" s="80"/>
      <c r="V187" s="80"/>
      <c r="W187" s="80"/>
      <c r="X187" s="80"/>
    </row>
    <row r="188" spans="1:24" ht="18" customHeight="1" thickBot="1" x14ac:dyDescent="0.3">
      <c r="A188" s="1698"/>
      <c r="B188" s="1681"/>
      <c r="C188" s="1681"/>
      <c r="D188" s="1681"/>
      <c r="E188" s="1680"/>
      <c r="F188" s="172"/>
      <c r="G188" s="123"/>
      <c r="M188" s="80"/>
      <c r="N188" s="80"/>
      <c r="O188" s="80"/>
      <c r="Q188" s="80"/>
      <c r="R188" s="80"/>
      <c r="S188" s="80"/>
      <c r="T188" s="80"/>
      <c r="U188" s="80"/>
      <c r="V188" s="80"/>
      <c r="W188" s="80"/>
      <c r="X188" s="80"/>
    </row>
  </sheetData>
  <sheetProtection algorithmName="SHA-512" hashValue="dJqbMAU92rfNZBDbJVgD3pIG6bFLhcySNv8mp/fSn48xWQslEZIZcpm1ihejy9MhVBA4VDU+PKnObmwpc3sN6g==" saltValue="OaT9f38r2D29UG1wKBi9qw==" spinCount="100000" sheet="1" objects="1" scenarios="1"/>
  <mergeCells count="218">
    <mergeCell ref="A186:E186"/>
    <mergeCell ref="A187:E187"/>
    <mergeCell ref="A188:E188"/>
    <mergeCell ref="A178:B178"/>
    <mergeCell ref="C178:F178"/>
    <mergeCell ref="A179:F179"/>
    <mergeCell ref="A180:F180"/>
    <mergeCell ref="A181:F181"/>
    <mergeCell ref="A182:E182"/>
    <mergeCell ref="A183:E183"/>
    <mergeCell ref="A184:E184"/>
    <mergeCell ref="A185:E185"/>
    <mergeCell ref="A169:F169"/>
    <mergeCell ref="A170:E170"/>
    <mergeCell ref="A171:E171"/>
    <mergeCell ref="A172:E172"/>
    <mergeCell ref="A173:E173"/>
    <mergeCell ref="A174:E174"/>
    <mergeCell ref="A175:E175"/>
    <mergeCell ref="A176:E176"/>
    <mergeCell ref="A177:B177"/>
    <mergeCell ref="C177:F177"/>
    <mergeCell ref="A162:E162"/>
    <mergeCell ref="A163:E163"/>
    <mergeCell ref="A164:E164"/>
    <mergeCell ref="A165:B165"/>
    <mergeCell ref="C165:F165"/>
    <mergeCell ref="A166:B166"/>
    <mergeCell ref="C166:F166"/>
    <mergeCell ref="A167:F167"/>
    <mergeCell ref="A168:F168"/>
    <mergeCell ref="A154:B154"/>
    <mergeCell ref="C154:F154"/>
    <mergeCell ref="A155:F155"/>
    <mergeCell ref="A156:F156"/>
    <mergeCell ref="A157:F157"/>
    <mergeCell ref="A158:E158"/>
    <mergeCell ref="A159:E159"/>
    <mergeCell ref="A160:E160"/>
    <mergeCell ref="A161:E161"/>
    <mergeCell ref="A145:F145"/>
    <mergeCell ref="A146:E146"/>
    <mergeCell ref="A147:E147"/>
    <mergeCell ref="A148:E148"/>
    <mergeCell ref="A149:E149"/>
    <mergeCell ref="A150:E150"/>
    <mergeCell ref="A151:E151"/>
    <mergeCell ref="A152:E152"/>
    <mergeCell ref="A153:B153"/>
    <mergeCell ref="C153:F153"/>
    <mergeCell ref="A138:E138"/>
    <mergeCell ref="A139:E139"/>
    <mergeCell ref="A140:E140"/>
    <mergeCell ref="A141:B141"/>
    <mergeCell ref="C141:F141"/>
    <mergeCell ref="A142:B142"/>
    <mergeCell ref="C142:F142"/>
    <mergeCell ref="A143:F143"/>
    <mergeCell ref="A144:F144"/>
    <mergeCell ref="A130:B130"/>
    <mergeCell ref="C130:F130"/>
    <mergeCell ref="A131:F131"/>
    <mergeCell ref="A132:F132"/>
    <mergeCell ref="A133:F133"/>
    <mergeCell ref="A134:E134"/>
    <mergeCell ref="A135:E135"/>
    <mergeCell ref="A136:E136"/>
    <mergeCell ref="A137:E137"/>
    <mergeCell ref="A121:F121"/>
    <mergeCell ref="A122:E122"/>
    <mergeCell ref="A123:E123"/>
    <mergeCell ref="A124:E124"/>
    <mergeCell ref="A125:E125"/>
    <mergeCell ref="A126:E126"/>
    <mergeCell ref="A127:E127"/>
    <mergeCell ref="A128:E128"/>
    <mergeCell ref="A129:B129"/>
    <mergeCell ref="C129:F129"/>
    <mergeCell ref="A1:K1"/>
    <mergeCell ref="A2:K2"/>
    <mergeCell ref="A3:K3"/>
    <mergeCell ref="A5:L5"/>
    <mergeCell ref="A4:K4"/>
    <mergeCell ref="A6:K6"/>
    <mergeCell ref="A7:F7"/>
    <mergeCell ref="A8:F8"/>
    <mergeCell ref="A21:B21"/>
    <mergeCell ref="C21:F21"/>
    <mergeCell ref="A10:B10"/>
    <mergeCell ref="A9:B9"/>
    <mergeCell ref="C10:F10"/>
    <mergeCell ref="C9:F9"/>
    <mergeCell ref="A12:F12"/>
    <mergeCell ref="A11:F11"/>
    <mergeCell ref="A13:F13"/>
    <mergeCell ref="A20:E20"/>
    <mergeCell ref="A19:E19"/>
    <mergeCell ref="A18:E18"/>
    <mergeCell ref="A17:E17"/>
    <mergeCell ref="A16:E16"/>
    <mergeCell ref="A15:E15"/>
    <mergeCell ref="A14:E14"/>
    <mergeCell ref="A22:B22"/>
    <mergeCell ref="C22:F22"/>
    <mergeCell ref="A23:F23"/>
    <mergeCell ref="A24:F24"/>
    <mergeCell ref="A25:F25"/>
    <mergeCell ref="A26:E26"/>
    <mergeCell ref="A27:E27"/>
    <mergeCell ref="A28:E28"/>
    <mergeCell ref="A29:E29"/>
    <mergeCell ref="A30:E30"/>
    <mergeCell ref="A31:E31"/>
    <mergeCell ref="A32:E32"/>
    <mergeCell ref="A33:B33"/>
    <mergeCell ref="C33:F33"/>
    <mergeCell ref="A34:B34"/>
    <mergeCell ref="C34:F34"/>
    <mergeCell ref="A35:F35"/>
    <mergeCell ref="A36:F36"/>
    <mergeCell ref="A37:F37"/>
    <mergeCell ref="A38:E38"/>
    <mergeCell ref="A39:E39"/>
    <mergeCell ref="A40:E40"/>
    <mergeCell ref="A41:E41"/>
    <mergeCell ref="A42:E42"/>
    <mergeCell ref="A43:E43"/>
    <mergeCell ref="A44:E44"/>
    <mergeCell ref="A45:B45"/>
    <mergeCell ref="C45:F45"/>
    <mergeCell ref="A46:B46"/>
    <mergeCell ref="C46:F46"/>
    <mergeCell ref="A47:F47"/>
    <mergeCell ref="A48:F48"/>
    <mergeCell ref="A49:F49"/>
    <mergeCell ref="A50:E50"/>
    <mergeCell ref="A51:E51"/>
    <mergeCell ref="A52:E52"/>
    <mergeCell ref="A53:E53"/>
    <mergeCell ref="A54:E54"/>
    <mergeCell ref="A55:E55"/>
    <mergeCell ref="A56:E56"/>
    <mergeCell ref="A57:B57"/>
    <mergeCell ref="C57:F57"/>
    <mergeCell ref="A58:B58"/>
    <mergeCell ref="C58:F58"/>
    <mergeCell ref="A59:F59"/>
    <mergeCell ref="A60:F60"/>
    <mergeCell ref="A61:F61"/>
    <mergeCell ref="A62:E62"/>
    <mergeCell ref="A63:E63"/>
    <mergeCell ref="A64:E64"/>
    <mergeCell ref="A65:E65"/>
    <mergeCell ref="A66:E66"/>
    <mergeCell ref="A67:E67"/>
    <mergeCell ref="A68:E68"/>
    <mergeCell ref="A69:B69"/>
    <mergeCell ref="C69:F69"/>
    <mergeCell ref="A70:B70"/>
    <mergeCell ref="C70:F70"/>
    <mergeCell ref="A71:F71"/>
    <mergeCell ref="A72:F72"/>
    <mergeCell ref="A73:F73"/>
    <mergeCell ref="A74:E74"/>
    <mergeCell ref="A75:E75"/>
    <mergeCell ref="A76:E76"/>
    <mergeCell ref="A77:E77"/>
    <mergeCell ref="A78:E78"/>
    <mergeCell ref="A79:E79"/>
    <mergeCell ref="A80:E80"/>
    <mergeCell ref="A81:B81"/>
    <mergeCell ref="C81:F81"/>
    <mergeCell ref="A82:B82"/>
    <mergeCell ref="C82:F82"/>
    <mergeCell ref="A83:F83"/>
    <mergeCell ref="A84:F84"/>
    <mergeCell ref="A85:F85"/>
    <mergeCell ref="A86:E86"/>
    <mergeCell ref="A87:E87"/>
    <mergeCell ref="A88:E88"/>
    <mergeCell ref="A89:E89"/>
    <mergeCell ref="A90:E90"/>
    <mergeCell ref="A91:E91"/>
    <mergeCell ref="A92:E92"/>
    <mergeCell ref="A93:B93"/>
    <mergeCell ref="C93:F93"/>
    <mergeCell ref="A94:B94"/>
    <mergeCell ref="C94:F94"/>
    <mergeCell ref="A95:F95"/>
    <mergeCell ref="A96:F96"/>
    <mergeCell ref="A97:F97"/>
    <mergeCell ref="A98:E98"/>
    <mergeCell ref="A99:E99"/>
    <mergeCell ref="A100:E100"/>
    <mergeCell ref="A101:E101"/>
    <mergeCell ref="A102:E102"/>
    <mergeCell ref="A103:E103"/>
    <mergeCell ref="A104:E104"/>
    <mergeCell ref="A105:B105"/>
    <mergeCell ref="C105:F105"/>
    <mergeCell ref="A106:B106"/>
    <mergeCell ref="C106:F106"/>
    <mergeCell ref="A107:F107"/>
    <mergeCell ref="A108:F108"/>
    <mergeCell ref="A118:B118"/>
    <mergeCell ref="C118:F118"/>
    <mergeCell ref="A119:F119"/>
    <mergeCell ref="A120:F120"/>
    <mergeCell ref="A109:F109"/>
    <mergeCell ref="A110:E110"/>
    <mergeCell ref="A111:E111"/>
    <mergeCell ref="A112:E112"/>
    <mergeCell ref="A113:E113"/>
    <mergeCell ref="A114:E114"/>
    <mergeCell ref="A115:E115"/>
    <mergeCell ref="A116:E116"/>
    <mergeCell ref="A117:B117"/>
    <mergeCell ref="C117:F117"/>
  </mergeCells>
  <conditionalFormatting sqref="A12:F12">
    <cfRule type="expression" dxfId="27" priority="47">
      <formula>AND(NOT(C9=""),NOT(C10=""),ISBLANK(A12))</formula>
    </cfRule>
  </conditionalFormatting>
  <conditionalFormatting sqref="A24:F24">
    <cfRule type="expression" dxfId="26" priority="14">
      <formula>AND(NOT(C21=""),NOT(C22=""),ISBLANK(A24))</formula>
    </cfRule>
  </conditionalFormatting>
  <conditionalFormatting sqref="A36:F36">
    <cfRule type="expression" dxfId="25" priority="13">
      <formula>AND(NOT(C33=""),NOT(C34=""),ISBLANK(A36))</formula>
    </cfRule>
  </conditionalFormatting>
  <conditionalFormatting sqref="A48:F48">
    <cfRule type="expression" dxfId="24" priority="12">
      <formula>AND(NOT(C45=""),NOT(C46=""),ISBLANK(A48))</formula>
    </cfRule>
  </conditionalFormatting>
  <conditionalFormatting sqref="A60:F60">
    <cfRule type="expression" dxfId="23" priority="11">
      <formula>AND(NOT(C57=""),NOT(C58=""),ISBLANK(A60))</formula>
    </cfRule>
  </conditionalFormatting>
  <conditionalFormatting sqref="A72:F72">
    <cfRule type="expression" dxfId="22" priority="10">
      <formula>AND(NOT(C69=""),NOT(C70=""),ISBLANK(A72))</formula>
    </cfRule>
  </conditionalFormatting>
  <conditionalFormatting sqref="A84:F84">
    <cfRule type="expression" dxfId="21" priority="9">
      <formula>AND(NOT(C81=""),NOT(C82=""),ISBLANK(A84))</formula>
    </cfRule>
  </conditionalFormatting>
  <conditionalFormatting sqref="A96:F96">
    <cfRule type="expression" dxfId="20" priority="8">
      <formula>AND(NOT(C93=""),NOT(C94=""),ISBLANK(A96))</formula>
    </cfRule>
  </conditionalFormatting>
  <conditionalFormatting sqref="A108:F108">
    <cfRule type="expression" dxfId="19" priority="7">
      <formula>AND(NOT(C105=""),NOT(C106=""),ISBLANK(A108))</formula>
    </cfRule>
  </conditionalFormatting>
  <conditionalFormatting sqref="A120:F120">
    <cfRule type="expression" dxfId="18" priority="6">
      <formula>AND(NOT(C117=""),NOT(C118=""),ISBLANK(A120))</formula>
    </cfRule>
  </conditionalFormatting>
  <conditionalFormatting sqref="A132:F132">
    <cfRule type="expression" dxfId="17" priority="5">
      <formula>AND(NOT(C129=""),NOT(C130=""),ISBLANK(A132))</formula>
    </cfRule>
  </conditionalFormatting>
  <conditionalFormatting sqref="A144:F144">
    <cfRule type="expression" dxfId="16" priority="4">
      <formula>AND(NOT(C141=""),NOT(C142=""),ISBLANK(A144))</formula>
    </cfRule>
  </conditionalFormatting>
  <conditionalFormatting sqref="A156:F156">
    <cfRule type="expression" dxfId="15" priority="3">
      <formula>AND(NOT(C153=""),NOT(C154=""),ISBLANK(A156))</formula>
    </cfRule>
  </conditionalFormatting>
  <conditionalFormatting sqref="A168:F168">
    <cfRule type="expression" dxfId="14" priority="2">
      <formula>AND(NOT(C165=""),NOT(C166=""),ISBLANK(A168))</formula>
    </cfRule>
  </conditionalFormatting>
  <conditionalFormatting sqref="A180:F180">
    <cfRule type="expression" dxfId="13" priority="1">
      <formula>AND(NOT(C177=""),NOT(C178=""),ISBLANK(A180))</formula>
    </cfRule>
  </conditionalFormatting>
  <printOptions horizontalCentered="1"/>
  <pageMargins left="0.5" right="0.5" top="0.5" bottom="0.5" header="0.3" footer="0.3"/>
  <pageSetup scale="83" fitToHeight="0" orientation="portrait" r:id="rId1"/>
  <headerFooter>
    <oddFooter xml:space="preserve">&amp;LRev. 7/2016&amp;C&amp;A&amp;RPage &amp;P </oddFooter>
  </headerFooter>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9">
    <tabColor rgb="FFFFFF00"/>
    <pageSetUpPr fitToPage="1"/>
  </sheetPr>
  <dimension ref="A1:X92"/>
  <sheetViews>
    <sheetView showGridLines="0" zoomScaleNormal="100" workbookViewId="0">
      <selection sqref="A1:H1"/>
    </sheetView>
  </sheetViews>
  <sheetFormatPr defaultRowHeight="20.100000000000001" customHeight="1" x14ac:dyDescent="0.25"/>
  <cols>
    <col min="1" max="3" width="18.28515625" style="48" customWidth="1"/>
    <col min="4" max="4" width="13.7109375" style="48" customWidth="1"/>
    <col min="5" max="5" width="38" style="48" customWidth="1"/>
    <col min="6" max="6" width="15.42578125" style="48" customWidth="1"/>
    <col min="7" max="7" width="56.140625" style="48" customWidth="1"/>
    <col min="8" max="8" width="6.7109375" style="48" customWidth="1"/>
    <col min="9" max="12" width="10.7109375" style="48" customWidth="1"/>
    <col min="13" max="16" width="9.140625" style="48" customWidth="1"/>
    <col min="17" max="17" width="9.140625" style="48"/>
    <col min="18" max="18" width="9.140625" style="48" customWidth="1"/>
    <col min="19" max="16384" width="9.140625" style="48"/>
  </cols>
  <sheetData>
    <row r="1" spans="1:24" s="69" customFormat="1" ht="26.25" customHeight="1" thickBot="1" x14ac:dyDescent="0.3">
      <c r="A1" s="1315" t="s">
        <v>1762</v>
      </c>
      <c r="B1" s="1315"/>
      <c r="C1" s="1315"/>
      <c r="D1" s="1315"/>
      <c r="E1" s="1315"/>
      <c r="F1" s="1315"/>
      <c r="G1" s="1315"/>
      <c r="H1" s="1315"/>
      <c r="I1" s="79"/>
      <c r="J1" s="79"/>
      <c r="K1" s="79"/>
      <c r="L1" s="79"/>
    </row>
    <row r="2" spans="1:24" s="160" customFormat="1" ht="35.1" customHeight="1" x14ac:dyDescent="0.25">
      <c r="A2" s="1448" t="s">
        <v>1850</v>
      </c>
      <c r="B2" s="1448"/>
      <c r="C2" s="1448"/>
      <c r="D2" s="1448"/>
      <c r="E2" s="1448"/>
      <c r="F2" s="1448"/>
      <c r="G2" s="1448"/>
      <c r="H2" s="163"/>
      <c r="I2" s="163"/>
      <c r="J2" s="163"/>
      <c r="K2" s="163"/>
      <c r="L2" s="163"/>
    </row>
    <row r="3" spans="1:24" s="160" customFormat="1" ht="20.100000000000001" customHeight="1" x14ac:dyDescent="0.25">
      <c r="A3" s="1703" t="s">
        <v>1763</v>
      </c>
      <c r="B3" s="1703"/>
      <c r="C3" s="1703"/>
      <c r="D3" s="1703"/>
      <c r="E3" s="1703"/>
      <c r="F3" s="1703"/>
      <c r="G3" s="1703"/>
      <c r="H3" s="219"/>
      <c r="I3" s="219"/>
      <c r="J3" s="219"/>
      <c r="K3" s="219"/>
      <c r="L3" s="219"/>
    </row>
    <row r="4" spans="1:24" s="160" customFormat="1" ht="20.100000000000001" customHeight="1" x14ac:dyDescent="0.25">
      <c r="A4" s="1703" t="s">
        <v>1764</v>
      </c>
      <c r="B4" s="1703"/>
      <c r="C4" s="1703"/>
      <c r="D4" s="1703"/>
      <c r="E4" s="1703"/>
      <c r="F4" s="1703"/>
      <c r="G4" s="1703"/>
      <c r="H4" s="219"/>
      <c r="I4" s="219"/>
      <c r="J4" s="219"/>
      <c r="K4" s="219"/>
      <c r="L4" s="219"/>
    </row>
    <row r="5" spans="1:24" s="160" customFormat="1" ht="35.1" customHeight="1" thickBot="1" x14ac:dyDescent="0.3">
      <c r="A5" s="1433" t="s">
        <v>1849</v>
      </c>
      <c r="B5" s="1433"/>
      <c r="C5" s="1433"/>
      <c r="D5" s="1433"/>
      <c r="E5" s="1433"/>
      <c r="F5" s="1433"/>
      <c r="G5" s="1433"/>
      <c r="H5" s="455"/>
      <c r="I5" s="213"/>
      <c r="J5" s="213"/>
      <c r="K5" s="213"/>
      <c r="L5" s="213"/>
    </row>
    <row r="6" spans="1:24" s="77" customFormat="1" ht="19.5" thickBot="1" x14ac:dyDescent="0.3">
      <c r="A6" s="1208" t="s">
        <v>1715</v>
      </c>
      <c r="B6" s="1208"/>
      <c r="C6" s="1208"/>
      <c r="D6" s="1208"/>
      <c r="E6" s="1208"/>
      <c r="F6" s="1208"/>
      <c r="G6" s="1208"/>
      <c r="H6" s="1208"/>
      <c r="I6" s="90"/>
      <c r="J6" s="90"/>
      <c r="K6" s="90"/>
      <c r="L6" s="90"/>
    </row>
    <row r="7" spans="1:24" ht="60" customHeight="1" x14ac:dyDescent="0.25">
      <c r="A7" s="1092"/>
      <c r="B7" s="1092"/>
      <c r="C7" s="1092"/>
      <c r="D7" s="1092"/>
      <c r="E7" s="1092"/>
      <c r="F7" s="1092"/>
    </row>
    <row r="8" spans="1:24" ht="24.95" customHeight="1" thickBot="1" x14ac:dyDescent="0.3">
      <c r="A8" s="989" t="s">
        <v>1761</v>
      </c>
      <c r="B8" s="989"/>
      <c r="C8" s="989"/>
      <c r="D8" s="989"/>
      <c r="E8" s="989"/>
      <c r="F8" s="989"/>
    </row>
    <row r="9" spans="1:24" ht="35.1" customHeight="1" thickBot="1" x14ac:dyDescent="0.3">
      <c r="A9" s="1724" t="s">
        <v>1772</v>
      </c>
      <c r="B9" s="1725"/>
      <c r="C9" s="1725"/>
      <c r="D9" s="221" t="s">
        <v>1789</v>
      </c>
      <c r="E9" s="222" t="s">
        <v>1773</v>
      </c>
      <c r="F9" s="223" t="s">
        <v>2532</v>
      </c>
      <c r="M9" s="80"/>
      <c r="N9" s="81" t="b">
        <v>0</v>
      </c>
      <c r="O9" s="81" t="b">
        <v>0</v>
      </c>
      <c r="Q9" s="124" t="b">
        <f>IF(OR(AND(N9=TRUE,O9=FALSE),AND(N9=FALSE,O9=TRUE)),TRUE,FALSE)</f>
        <v>0</v>
      </c>
      <c r="R9" s="124"/>
      <c r="S9" s="81" t="b">
        <v>0</v>
      </c>
      <c r="T9" s="81" t="b">
        <v>0</v>
      </c>
      <c r="U9" s="80"/>
      <c r="V9" s="124" t="b">
        <f>IF(OR(AND(S9=TRUE,T9=FALSE),AND(S9=FALSE,T9=TRUE)),TRUE,FALSE)</f>
        <v>0</v>
      </c>
      <c r="W9" s="80" t="b">
        <f>IF(AND(Q9=TRUE,V9=TRUE),TRUE,FALSE)</f>
        <v>0</v>
      </c>
      <c r="X9" s="80"/>
    </row>
    <row r="10" spans="1:24" ht="50.25" customHeight="1" thickBot="1" x14ac:dyDescent="0.3">
      <c r="A10" s="1635" t="str">
        <f>IF(OR(AND(N9=TRUE,Q9=TRUE,S9=TRUE,V9=TRUE),AND(O9=TRUE,Q9=TRUE)),"Continue with the remainder of the checklist.",IF(AND(N9=TRUE,Q9=TRUE,T9=TRUE,V9=TRUE),"Any pages not marked confidential will be considered open to the public.  Properly mark all forms you wish to remain confidential, then make necessary changes to answers provided above.",""))</f>
        <v/>
      </c>
      <c r="B10" s="1636"/>
      <c r="C10" s="1636"/>
      <c r="D10" s="1636"/>
      <c r="E10" s="1636"/>
      <c r="F10" s="1637"/>
    </row>
    <row r="11" spans="1:24" ht="35.1" customHeight="1" thickBot="1" x14ac:dyDescent="0.3">
      <c r="A11" s="1721" t="s">
        <v>1848</v>
      </c>
      <c r="B11" s="1722"/>
      <c r="C11" s="1722"/>
      <c r="D11" s="1722"/>
      <c r="E11" s="1723"/>
      <c r="F11" s="221" t="s">
        <v>1789</v>
      </c>
      <c r="M11" s="80"/>
      <c r="N11" s="81" t="b">
        <v>0</v>
      </c>
      <c r="O11" s="81" t="b">
        <v>0</v>
      </c>
      <c r="Q11" s="124" t="b">
        <f>IF(OR(AND(N11=TRUE,O11=FALSE),AND(N11=FALSE,O11=TRUE)),TRUE,FALSE)</f>
        <v>0</v>
      </c>
      <c r="R11" s="124"/>
      <c r="S11" s="80"/>
      <c r="T11" s="80"/>
      <c r="U11" s="80"/>
      <c r="V11" s="124"/>
      <c r="W11" s="80"/>
      <c r="X11" s="80"/>
    </row>
    <row r="12" spans="1:24" ht="50.25" customHeight="1" thickBot="1" x14ac:dyDescent="0.3">
      <c r="A12" s="1635" t="str">
        <f>IF(AND(N11=TRUE,Q11=TRUE),"You must submit the original signed operating permit application, as well as two (2) additional signed copies of the permit application.",IF(AND(O11=TRUE,Q11=TRUE),"Continue with the remainder of the checklist, and submit the original signed copy of the permit application when complete.",""))</f>
        <v/>
      </c>
      <c r="B12" s="1636"/>
      <c r="C12" s="1636"/>
      <c r="D12" s="1636"/>
      <c r="E12" s="1636"/>
      <c r="F12" s="1637"/>
    </row>
    <row r="13" spans="1:24" ht="50.1" customHeight="1" thickBot="1" x14ac:dyDescent="0.3">
      <c r="A13" s="1618" t="s">
        <v>1765</v>
      </c>
      <c r="B13" s="1619"/>
      <c r="C13" s="1619"/>
      <c r="D13" s="829" t="s">
        <v>1766</v>
      </c>
      <c r="E13" s="1620" t="s">
        <v>1767</v>
      </c>
      <c r="F13" s="1213"/>
      <c r="G13" s="107" t="s">
        <v>1771</v>
      </c>
      <c r="M13" s="124"/>
      <c r="N13" s="124" t="b">
        <f>IF(AND(W9=TRUE,Q11=TRUE),TRUE,FALSE)</f>
        <v>0</v>
      </c>
      <c r="O13" s="124"/>
      <c r="Q13" s="124"/>
      <c r="R13" s="124"/>
    </row>
    <row r="14" spans="1:24" ht="35.1" customHeight="1" x14ac:dyDescent="0.25">
      <c r="A14" s="1713" t="str">
        <f>PROPER('Section 1| General Information'!A9:F9)</f>
        <v>Section 1:  Administrative Information And Responsible Official Certification</v>
      </c>
      <c r="B14" s="1714"/>
      <c r="C14" s="1714"/>
      <c r="D14" s="157" t="s">
        <v>1787</v>
      </c>
      <c r="E14" s="1715"/>
      <c r="F14" s="1716"/>
      <c r="G14" s="216" t="str">
        <f>A14</f>
        <v>Section 1:  Administrative Information And Responsible Official Certification</v>
      </c>
      <c r="M14" s="124"/>
      <c r="N14" s="158" t="b">
        <v>0</v>
      </c>
      <c r="O14" s="158" t="b">
        <v>0</v>
      </c>
      <c r="Q14" s="124" t="b">
        <f>IF(OR(AND(N14=TRUE,O14=FALSE),AND(N14=FALSE,O14=TRUE)),TRUE,FALSE)</f>
        <v>0</v>
      </c>
      <c r="R14" s="124"/>
    </row>
    <row r="15" spans="1:24" ht="35.1" customHeight="1" x14ac:dyDescent="0.25">
      <c r="A15" s="1711" t="str">
        <f>PROPER('Section 2| Source Information'!A2:G2)</f>
        <v>Section 2:  Detailed Source Information</v>
      </c>
      <c r="B15" s="1712"/>
      <c r="C15" s="1712"/>
      <c r="D15" s="220" t="s">
        <v>1787</v>
      </c>
      <c r="E15" s="1709"/>
      <c r="F15" s="1710"/>
      <c r="G15" s="217" t="str">
        <f t="shared" ref="G15:G36" si="0">A15</f>
        <v>Section 2:  Detailed Source Information</v>
      </c>
      <c r="M15" s="80"/>
      <c r="N15" s="81" t="b">
        <v>0</v>
      </c>
      <c r="O15" s="81" t="b">
        <v>0</v>
      </c>
      <c r="Q15" s="124" t="b">
        <f t="shared" ref="Q15:Q33" si="1">IF(OR(AND(N15=TRUE,O15=FALSE),AND(N15=FALSE,O15=TRUE)),TRUE,FALSE)</f>
        <v>0</v>
      </c>
      <c r="R15" s="124"/>
      <c r="S15" s="80"/>
      <c r="T15" s="80"/>
      <c r="U15" s="80"/>
      <c r="V15" s="80"/>
      <c r="W15" s="80"/>
      <c r="X15" s="80"/>
    </row>
    <row r="16" spans="1:24" ht="35.1" customHeight="1" x14ac:dyDescent="0.25">
      <c r="A16" s="1711" t="str">
        <f>'Table 3-A| Emission Units'!A26</f>
        <v>Table 3-A:  Emission Unit Identification</v>
      </c>
      <c r="B16" s="1712"/>
      <c r="C16" s="1712"/>
      <c r="D16" s="220" t="s">
        <v>1787</v>
      </c>
      <c r="E16" s="1709"/>
      <c r="F16" s="1710"/>
      <c r="G16" s="217" t="str">
        <f t="shared" si="0"/>
        <v>Table 3-A:  Emission Unit Identification</v>
      </c>
      <c r="M16" s="80"/>
      <c r="N16" s="81" t="b">
        <v>0</v>
      </c>
      <c r="O16" s="81" t="b">
        <v>0</v>
      </c>
      <c r="Q16" s="124" t="b">
        <f t="shared" si="1"/>
        <v>0</v>
      </c>
      <c r="R16" s="124"/>
      <c r="S16" s="80"/>
      <c r="T16" s="80"/>
      <c r="U16" s="80"/>
      <c r="V16" s="80"/>
      <c r="W16" s="80"/>
      <c r="X16" s="80"/>
    </row>
    <row r="17" spans="1:24" ht="35.1" customHeight="1" x14ac:dyDescent="0.25">
      <c r="A17" s="1711" t="str">
        <f>'Table 3-B| Stack Info'!A34</f>
        <v>Table 3-B:  New/Modified/Reconstructed Stack / Release Point Information</v>
      </c>
      <c r="B17" s="1712"/>
      <c r="C17" s="1712"/>
      <c r="D17" s="220" t="s">
        <v>1787</v>
      </c>
      <c r="E17" s="1709"/>
      <c r="F17" s="1710"/>
      <c r="G17" s="217" t="str">
        <f t="shared" si="0"/>
        <v>Table 3-B:  New/Modified/Reconstructed Stack / Release Point Information</v>
      </c>
      <c r="M17" s="80"/>
      <c r="N17" s="81" t="b">
        <v>0</v>
      </c>
      <c r="O17" s="81" t="b">
        <v>0</v>
      </c>
      <c r="Q17" s="124" t="b">
        <f t="shared" si="1"/>
        <v>0</v>
      </c>
      <c r="R17" s="124"/>
      <c r="S17" s="80"/>
      <c r="T17" s="80"/>
      <c r="U17" s="80"/>
      <c r="V17" s="80"/>
      <c r="W17" s="80"/>
      <c r="X17" s="80"/>
    </row>
    <row r="18" spans="1:24" ht="35.1" customHeight="1" x14ac:dyDescent="0.25">
      <c r="A18" s="1711" t="str">
        <f>'Table 4-A| Insignificant List'!A11</f>
        <v>Table 4-A:  Insignificant Activities List</v>
      </c>
      <c r="B18" s="1712"/>
      <c r="C18" s="1712"/>
      <c r="D18" s="220" t="s">
        <v>1787</v>
      </c>
      <c r="E18" s="1709"/>
      <c r="F18" s="1710"/>
      <c r="G18" s="217" t="str">
        <f t="shared" si="0"/>
        <v>Table 4-A:  Insignificant Activities List</v>
      </c>
      <c r="M18" s="80"/>
      <c r="N18" s="81" t="b">
        <v>0</v>
      </c>
      <c r="O18" s="81" t="b">
        <v>0</v>
      </c>
      <c r="Q18" s="124" t="b">
        <f t="shared" si="1"/>
        <v>0</v>
      </c>
      <c r="R18" s="124"/>
      <c r="S18" s="80"/>
      <c r="T18" s="80"/>
      <c r="U18" s="80"/>
      <c r="V18" s="80"/>
      <c r="W18" s="80"/>
      <c r="X18" s="80"/>
    </row>
    <row r="19" spans="1:24" ht="35.1" customHeight="1" x14ac:dyDescent="0.25">
      <c r="A19" s="1711" t="str">
        <f>'Table 4-B| Oil Storage'!A7</f>
        <v>Table 4-B:  Insignificant Lubricating and Heavy Oil Storage Information</v>
      </c>
      <c r="B19" s="1712"/>
      <c r="C19" s="1712"/>
      <c r="D19" s="220" t="s">
        <v>1787</v>
      </c>
      <c r="E19" s="1709"/>
      <c r="F19" s="1710"/>
      <c r="G19" s="217" t="str">
        <f t="shared" si="0"/>
        <v>Table 4-B:  Insignificant Lubricating and Heavy Oil Storage Information</v>
      </c>
      <c r="M19" s="80"/>
      <c r="N19" s="81" t="b">
        <v>0</v>
      </c>
      <c r="O19" s="81" t="b">
        <v>0</v>
      </c>
      <c r="Q19" s="124" t="b">
        <f t="shared" si="1"/>
        <v>0</v>
      </c>
      <c r="R19" s="124"/>
      <c r="S19" s="80"/>
      <c r="T19" s="80"/>
      <c r="U19" s="80"/>
      <c r="V19" s="80"/>
      <c r="W19" s="80"/>
      <c r="X19" s="80"/>
    </row>
    <row r="20" spans="1:24" ht="35.1" customHeight="1" x14ac:dyDescent="0.25">
      <c r="A20" s="1711" t="str">
        <f>'Table 4-C| Cooling Towers'!A8</f>
        <v>Table 4-C:  Insignificant Cooling Towers</v>
      </c>
      <c r="B20" s="1712"/>
      <c r="C20" s="1712"/>
      <c r="D20" s="220" t="s">
        <v>1787</v>
      </c>
      <c r="E20" s="1709"/>
      <c r="F20" s="1710"/>
      <c r="G20" s="217" t="str">
        <f t="shared" si="0"/>
        <v>Table 4-C:  Insignificant Cooling Towers</v>
      </c>
      <c r="M20" s="80"/>
      <c r="N20" s="81" t="b">
        <v>0</v>
      </c>
      <c r="O20" s="81" t="b">
        <v>0</v>
      </c>
      <c r="Q20" s="124" t="b">
        <f t="shared" si="1"/>
        <v>0</v>
      </c>
      <c r="R20" s="124"/>
      <c r="S20" s="80"/>
      <c r="T20" s="80"/>
      <c r="U20" s="80"/>
      <c r="V20" s="80"/>
      <c r="W20" s="80"/>
      <c r="X20" s="80"/>
    </row>
    <row r="21" spans="1:24" ht="35.1" customHeight="1" x14ac:dyDescent="0.25">
      <c r="A21" s="1711" t="str">
        <f>'Table 5-A| Primary MPTE'!A75</f>
        <v>Table 5-A:  MPTE – Regulated Air Pollutant Emissions from Asphalt Plants and Other Equipment</v>
      </c>
      <c r="B21" s="1712"/>
      <c r="C21" s="1712"/>
      <c r="D21" s="220" t="s">
        <v>1787</v>
      </c>
      <c r="E21" s="1709"/>
      <c r="F21" s="1710"/>
      <c r="G21" s="217" t="str">
        <f t="shared" si="0"/>
        <v>Table 5-A:  MPTE – Regulated Air Pollutant Emissions from Asphalt Plants and Other Equipment</v>
      </c>
      <c r="M21" s="80"/>
      <c r="N21" s="81" t="b">
        <v>0</v>
      </c>
      <c r="O21" s="81" t="b">
        <v>0</v>
      </c>
      <c r="Q21" s="124" t="b">
        <f t="shared" si="1"/>
        <v>0</v>
      </c>
      <c r="R21" s="124"/>
      <c r="S21" s="80"/>
      <c r="T21" s="80"/>
      <c r="U21" s="80"/>
      <c r="V21" s="80"/>
      <c r="W21" s="80"/>
      <c r="X21" s="80"/>
    </row>
    <row r="22" spans="1:24" ht="35.1" customHeight="1" x14ac:dyDescent="0.25">
      <c r="A22" s="1711" t="str">
        <f>'Table 5-B| Reclaim MPTE'!A42</f>
        <v>Table 5-B:  MPTE – Regulated Air Pollutant Emissions from Rock / Concrete / Asphalt Crushing &amp; Screening Units</v>
      </c>
      <c r="B22" s="1712"/>
      <c r="C22" s="1712"/>
      <c r="D22" s="220" t="s">
        <v>1787</v>
      </c>
      <c r="E22" s="1709"/>
      <c r="F22" s="1710"/>
      <c r="G22" s="217" t="str">
        <f>A22</f>
        <v>Table 5-B:  MPTE – Regulated Air Pollutant Emissions from Rock / Concrete / Asphalt Crushing &amp; Screening Units</v>
      </c>
      <c r="M22" s="80"/>
      <c r="N22" s="81" t="b">
        <v>0</v>
      </c>
      <c r="O22" s="81" t="b">
        <v>0</v>
      </c>
      <c r="Q22" s="124" t="b">
        <f>IF(OR(AND(N22=TRUE,O22=FALSE),AND(N22=FALSE,O22=TRUE)),TRUE,FALSE)</f>
        <v>0</v>
      </c>
      <c r="R22" s="124"/>
      <c r="S22" s="80"/>
      <c r="T22" s="80"/>
      <c r="U22" s="80"/>
      <c r="V22" s="80"/>
      <c r="W22" s="80"/>
      <c r="X22" s="80"/>
    </row>
    <row r="23" spans="1:24" ht="35.1" customHeight="1" x14ac:dyDescent="0.25">
      <c r="A23" s="1711" t="str">
        <f>'Table 5-C| MPTE VOC'!A26</f>
        <v>Table 5-C:  MPTE – VOC Emissions from VOC-Containing Materials</v>
      </c>
      <c r="B23" s="1712"/>
      <c r="C23" s="1712"/>
      <c r="D23" s="220" t="s">
        <v>1787</v>
      </c>
      <c r="E23" s="1709"/>
      <c r="F23" s="1710"/>
      <c r="G23" s="217" t="str">
        <f t="shared" si="0"/>
        <v>Table 5-C:  MPTE – VOC Emissions from VOC-Containing Materials</v>
      </c>
      <c r="M23" s="80"/>
      <c r="N23" s="81" t="b">
        <v>0</v>
      </c>
      <c r="O23" s="81" t="b">
        <v>0</v>
      </c>
      <c r="Q23" s="124" t="b">
        <f t="shared" si="1"/>
        <v>0</v>
      </c>
      <c r="R23" s="124"/>
      <c r="S23" s="80"/>
      <c r="T23" s="80"/>
      <c r="U23" s="80"/>
      <c r="V23" s="80"/>
      <c r="W23" s="80"/>
      <c r="X23" s="80"/>
    </row>
    <row r="24" spans="1:24" ht="35.1" customHeight="1" x14ac:dyDescent="0.25">
      <c r="A24" s="1711" t="str">
        <f>'Table 5-D| MPTE HAP'!A34</f>
        <v>Table 5-D:  MPTE - HAP Emissions from HAP-Containing Materials</v>
      </c>
      <c r="B24" s="1712"/>
      <c r="C24" s="1712"/>
      <c r="D24" s="220" t="s">
        <v>1787</v>
      </c>
      <c r="E24" s="1709"/>
      <c r="F24" s="1710"/>
      <c r="G24" s="217" t="str">
        <f t="shared" si="0"/>
        <v>Table 5-D:  MPTE - HAP Emissions from HAP-Containing Materials</v>
      </c>
      <c r="M24" s="80"/>
      <c r="N24" s="81" t="b">
        <v>0</v>
      </c>
      <c r="O24" s="81" t="b">
        <v>0</v>
      </c>
      <c r="Q24" s="124" t="b">
        <f t="shared" si="1"/>
        <v>0</v>
      </c>
      <c r="R24" s="124"/>
      <c r="S24" s="80"/>
      <c r="T24" s="80"/>
      <c r="U24" s="80"/>
      <c r="V24" s="80"/>
      <c r="W24" s="80"/>
      <c r="X24" s="80"/>
    </row>
    <row r="25" spans="1:24" ht="35.1" customHeight="1" x14ac:dyDescent="0.25">
      <c r="A25" s="1711" t="str">
        <f>'Table 5-E| MPTE Thresholds'!A9</f>
        <v>Table 5-E:  Maximum Potential to Emit and Operating / Construction Permit Thresholds</v>
      </c>
      <c r="B25" s="1712"/>
      <c r="C25" s="1712"/>
      <c r="D25" s="220" t="s">
        <v>1787</v>
      </c>
      <c r="E25" s="1709"/>
      <c r="F25" s="1710"/>
      <c r="G25" s="217" t="str">
        <f t="shared" si="0"/>
        <v>Table 5-E:  Maximum Potential to Emit and Operating / Construction Permit Thresholds</v>
      </c>
      <c r="M25" s="80"/>
      <c r="N25" s="81" t="b">
        <v>0</v>
      </c>
      <c r="O25" s="81" t="b">
        <v>0</v>
      </c>
      <c r="Q25" s="124" t="b">
        <f t="shared" si="1"/>
        <v>0</v>
      </c>
      <c r="R25" s="124"/>
      <c r="S25" s="80"/>
      <c r="T25" s="80"/>
      <c r="U25" s="80"/>
      <c r="V25" s="80"/>
      <c r="W25" s="80"/>
      <c r="X25" s="80"/>
    </row>
    <row r="26" spans="1:24" ht="35.1" customHeight="1" x14ac:dyDescent="0.25">
      <c r="A26" s="1711" t="str">
        <f>PROPER('Section 6| Source Class'!A2)</f>
        <v>Section 6:  Source Class &amp; Permit Determination</v>
      </c>
      <c r="B26" s="1712"/>
      <c r="C26" s="1712"/>
      <c r="D26" s="220" t="s">
        <v>1787</v>
      </c>
      <c r="E26" s="1709"/>
      <c r="F26" s="1710"/>
      <c r="G26" s="217" t="str">
        <f t="shared" si="0"/>
        <v>Section 6:  Source Class &amp; Permit Determination</v>
      </c>
      <c r="M26" s="80"/>
      <c r="N26" s="81" t="b">
        <v>0</v>
      </c>
      <c r="O26" s="81" t="b">
        <v>0</v>
      </c>
      <c r="Q26" s="124" t="b">
        <f t="shared" si="1"/>
        <v>0</v>
      </c>
      <c r="R26" s="124"/>
      <c r="S26" s="80"/>
      <c r="T26" s="80"/>
      <c r="U26" s="80"/>
      <c r="V26" s="80"/>
      <c r="W26" s="80"/>
      <c r="X26" s="80"/>
    </row>
    <row r="27" spans="1:24" ht="35.1" customHeight="1" x14ac:dyDescent="0.25">
      <c r="A27" s="1711" t="str">
        <f>'Table 6-A| Controls &amp; Limits'!A17</f>
        <v>Part F:  Table 6-A – Source-Elected Throughput Limits and Emission Control Requirements</v>
      </c>
      <c r="B27" s="1712"/>
      <c r="C27" s="1712"/>
      <c r="D27" s="220" t="s">
        <v>1787</v>
      </c>
      <c r="E27" s="1709"/>
      <c r="F27" s="1710"/>
      <c r="G27" s="217" t="str">
        <f t="shared" si="0"/>
        <v>Part F:  Table 6-A – Source-Elected Throughput Limits and Emission Control Requirements</v>
      </c>
      <c r="M27" s="80"/>
      <c r="N27" s="81" t="b">
        <v>0</v>
      </c>
      <c r="O27" s="81" t="b">
        <v>0</v>
      </c>
      <c r="Q27" s="124" t="b">
        <f t="shared" si="1"/>
        <v>0</v>
      </c>
      <c r="R27" s="124"/>
      <c r="S27" s="80"/>
      <c r="T27" s="80"/>
      <c r="U27" s="80"/>
      <c r="V27" s="80"/>
      <c r="W27" s="80"/>
      <c r="X27" s="80"/>
    </row>
    <row r="28" spans="1:24" ht="35.1" customHeight="1" x14ac:dyDescent="0.25">
      <c r="A28" s="1706" t="str">
        <f>'Table 6-B| Emission Limits'!A20</f>
        <v>Part G:  Source-Elected Facility-Wide Emission Limits</v>
      </c>
      <c r="B28" s="1707"/>
      <c r="C28" s="1708"/>
      <c r="D28" s="220" t="s">
        <v>1787</v>
      </c>
      <c r="E28" s="1704"/>
      <c r="F28" s="1705"/>
      <c r="G28" s="217" t="str">
        <f>A28</f>
        <v>Part G:  Source-Elected Facility-Wide Emission Limits</v>
      </c>
      <c r="M28" s="80"/>
      <c r="N28" s="81" t="b">
        <v>0</v>
      </c>
      <c r="O28" s="81" t="b">
        <v>0</v>
      </c>
      <c r="Q28" s="124" t="b">
        <f t="shared" si="1"/>
        <v>0</v>
      </c>
      <c r="R28" s="124"/>
      <c r="S28" s="80"/>
      <c r="T28" s="80"/>
      <c r="U28" s="80"/>
      <c r="V28" s="80"/>
      <c r="W28" s="80"/>
      <c r="X28" s="80"/>
    </row>
    <row r="29" spans="1:24" ht="35.1" customHeight="1" x14ac:dyDescent="0.25">
      <c r="A29" s="1711" t="str">
        <f>'Table 7-A| Primary APTE'!A9</f>
        <v>Table 7-A:  APTE – Regulated Air Pollutant Emissions from Asphalt Plants and Other Units</v>
      </c>
      <c r="B29" s="1712"/>
      <c r="C29" s="1712"/>
      <c r="D29" s="220" t="s">
        <v>1787</v>
      </c>
      <c r="E29" s="1709"/>
      <c r="F29" s="1710"/>
      <c r="G29" s="217" t="str">
        <f t="shared" si="0"/>
        <v>Table 7-A:  APTE – Regulated Air Pollutant Emissions from Asphalt Plants and Other Units</v>
      </c>
      <c r="M29" s="80"/>
      <c r="N29" s="81" t="b">
        <v>0</v>
      </c>
      <c r="O29" s="81" t="b">
        <v>0</v>
      </c>
      <c r="Q29" s="124" t="b">
        <f t="shared" si="1"/>
        <v>0</v>
      </c>
      <c r="R29" s="124"/>
      <c r="S29" s="80"/>
      <c r="T29" s="80"/>
      <c r="U29" s="80"/>
      <c r="V29" s="80"/>
      <c r="W29" s="80"/>
      <c r="X29" s="80"/>
    </row>
    <row r="30" spans="1:24" ht="35.1" customHeight="1" x14ac:dyDescent="0.25">
      <c r="A30" s="1711" t="str">
        <f>'Table 7-B| Reclaim APTE'!A9</f>
        <v>Table 7-B:  APTE – Regulated Air Pollutant Emissions from Rock / Concrete / Asphalt Crushing &amp; Screening Units</v>
      </c>
      <c r="B30" s="1712"/>
      <c r="C30" s="1712"/>
      <c r="D30" s="220" t="s">
        <v>1787</v>
      </c>
      <c r="E30" s="1709"/>
      <c r="F30" s="1710"/>
      <c r="G30" s="217" t="str">
        <f>A30</f>
        <v>Table 7-B:  APTE – Regulated Air Pollutant Emissions from Rock / Concrete / Asphalt Crushing &amp; Screening Units</v>
      </c>
      <c r="M30" s="80"/>
      <c r="N30" s="81" t="b">
        <v>0</v>
      </c>
      <c r="O30" s="81" t="b">
        <v>0</v>
      </c>
      <c r="Q30" s="124" t="b">
        <f>IF(OR(AND(N30=TRUE,O30=FALSE),AND(N30=FALSE,O30=TRUE)),TRUE,FALSE)</f>
        <v>0</v>
      </c>
      <c r="R30" s="124"/>
      <c r="S30" s="80"/>
      <c r="T30" s="80"/>
      <c r="U30" s="80"/>
      <c r="V30" s="80"/>
      <c r="W30" s="80"/>
      <c r="X30" s="80"/>
    </row>
    <row r="31" spans="1:24" ht="35.1" customHeight="1" x14ac:dyDescent="0.25">
      <c r="A31" s="1711" t="str">
        <f>'Table 7-C| APTE VOC'!A19</f>
        <v>Table 7-C:  APTE – VOC Emissions from VOC-Containing Materials</v>
      </c>
      <c r="B31" s="1712"/>
      <c r="C31" s="1712"/>
      <c r="D31" s="220" t="s">
        <v>1787</v>
      </c>
      <c r="E31" s="1709"/>
      <c r="F31" s="1710"/>
      <c r="G31" s="217" t="str">
        <f t="shared" si="0"/>
        <v>Table 7-C:  APTE – VOC Emissions from VOC-Containing Materials</v>
      </c>
      <c r="M31" s="80"/>
      <c r="N31" s="81" t="b">
        <v>0</v>
      </c>
      <c r="O31" s="81" t="b">
        <v>0</v>
      </c>
      <c r="Q31" s="124" t="b">
        <f t="shared" si="1"/>
        <v>0</v>
      </c>
      <c r="R31" s="124"/>
      <c r="S31" s="80"/>
      <c r="T31" s="80"/>
      <c r="U31" s="80"/>
      <c r="V31" s="80"/>
      <c r="W31" s="80"/>
      <c r="X31" s="80"/>
    </row>
    <row r="32" spans="1:24" ht="35.1" customHeight="1" x14ac:dyDescent="0.25">
      <c r="A32" s="1711" t="str">
        <f>'Table 7-D| APTE HAP'!A25</f>
        <v>Table 7-D:  APTE – HAP Emissions from HAP-Containing Materials</v>
      </c>
      <c r="B32" s="1712"/>
      <c r="C32" s="1712"/>
      <c r="D32" s="220" t="s">
        <v>1787</v>
      </c>
      <c r="E32" s="1709"/>
      <c r="F32" s="1710"/>
      <c r="G32" s="217" t="str">
        <f t="shared" si="0"/>
        <v>Table 7-D:  APTE – HAP Emissions from HAP-Containing Materials</v>
      </c>
      <c r="M32" s="80"/>
      <c r="N32" s="81" t="b">
        <v>0</v>
      </c>
      <c r="O32" s="81" t="b">
        <v>0</v>
      </c>
      <c r="Q32" s="124" t="b">
        <f t="shared" si="1"/>
        <v>0</v>
      </c>
      <c r="R32" s="124"/>
      <c r="S32" s="80"/>
      <c r="T32" s="80"/>
      <c r="U32" s="80"/>
      <c r="V32" s="80"/>
      <c r="W32" s="80"/>
      <c r="X32" s="80"/>
    </row>
    <row r="33" spans="1:24" ht="35.1" customHeight="1" x14ac:dyDescent="0.25">
      <c r="A33" s="1711" t="str">
        <f>'Table 7-E| APTE Thresholds'!A10:F10</f>
        <v>Table 7-E:  Actual Potential to Emit and Operating / Construction Permit Thresholds</v>
      </c>
      <c r="B33" s="1712"/>
      <c r="C33" s="1712"/>
      <c r="D33" s="220" t="s">
        <v>1787</v>
      </c>
      <c r="E33" s="1709"/>
      <c r="F33" s="1710"/>
      <c r="G33" s="217" t="str">
        <f t="shared" si="0"/>
        <v>Table 7-E:  Actual Potential to Emit and Operating / Construction Permit Thresholds</v>
      </c>
      <c r="M33" s="80"/>
      <c r="N33" s="81" t="b">
        <v>0</v>
      </c>
      <c r="O33" s="81" t="b">
        <v>0</v>
      </c>
      <c r="Q33" s="124" t="b">
        <f t="shared" si="1"/>
        <v>0</v>
      </c>
      <c r="R33" s="124"/>
      <c r="S33" s="80"/>
      <c r="T33" s="80"/>
      <c r="U33" s="80"/>
      <c r="V33" s="80"/>
      <c r="W33" s="80"/>
      <c r="X33" s="80"/>
    </row>
    <row r="34" spans="1:24" ht="35.1" customHeight="1" x14ac:dyDescent="0.25">
      <c r="A34" s="1711" t="str">
        <f>PROPER('Section 8| Applicable Rules'!$A$21)</f>
        <v>Section 8:  Applicable Rules And Requirements</v>
      </c>
      <c r="B34" s="1712"/>
      <c r="C34" s="1712"/>
      <c r="D34" s="214" t="s">
        <v>1787</v>
      </c>
      <c r="E34" s="1709"/>
      <c r="F34" s="1710"/>
      <c r="G34" s="217" t="str">
        <f t="shared" si="0"/>
        <v>Section 8:  Applicable Rules And Requirements</v>
      </c>
      <c r="M34" s="80"/>
      <c r="N34" s="81" t="b">
        <v>0</v>
      </c>
      <c r="O34" s="81" t="b">
        <v>0</v>
      </c>
      <c r="Q34" s="124" t="b">
        <f>IF(OR(AND(N34=TRUE,O34=FALSE),AND(N34=FALSE,O34=TRUE)),TRUE,FALSE)</f>
        <v>0</v>
      </c>
      <c r="R34" s="124"/>
      <c r="S34" s="80"/>
      <c r="T34" s="80"/>
      <c r="U34" s="80"/>
      <c r="V34" s="80"/>
      <c r="W34" s="80"/>
      <c r="X34" s="80"/>
    </row>
    <row r="35" spans="1:24" ht="35.1" customHeight="1" x14ac:dyDescent="0.25">
      <c r="A35" s="1711" t="str">
        <f>PROPER('Section 9| Compliance Plan'!A9)</f>
        <v>Section 9:  Compliance Plan</v>
      </c>
      <c r="B35" s="1712"/>
      <c r="C35" s="1712"/>
      <c r="D35" s="214" t="s">
        <v>1787</v>
      </c>
      <c r="E35" s="1709"/>
      <c r="F35" s="1710"/>
      <c r="G35" s="217" t="str">
        <f t="shared" si="0"/>
        <v>Section 9:  Compliance Plan</v>
      </c>
      <c r="M35" s="80"/>
      <c r="N35" s="81" t="b">
        <v>0</v>
      </c>
      <c r="O35" s="81" t="b">
        <v>0</v>
      </c>
      <c r="Q35" s="124" t="b">
        <f>IF(OR(AND(N35=TRUE,O35=FALSE),AND(N35=FALSE,O35=TRUE)),TRUE,FALSE)</f>
        <v>0</v>
      </c>
      <c r="R35" s="124"/>
      <c r="S35" s="80"/>
      <c r="T35" s="80"/>
      <c r="U35" s="80"/>
      <c r="V35" s="80"/>
      <c r="W35" s="80"/>
      <c r="X35" s="80"/>
    </row>
    <row r="36" spans="1:24" ht="35.1" customHeight="1" thickBot="1" x14ac:dyDescent="0.3">
      <c r="A36" s="1717" t="str">
        <f>PROPER('Table 9-A| Compliance Schedule'!A8)</f>
        <v>Table 9-A:  Compliance Schedule</v>
      </c>
      <c r="B36" s="1718"/>
      <c r="C36" s="1718"/>
      <c r="D36" s="215" t="s">
        <v>1787</v>
      </c>
      <c r="E36" s="1719"/>
      <c r="F36" s="1720"/>
      <c r="G36" s="218" t="str">
        <f t="shared" si="0"/>
        <v>Table 9-A:  Compliance Schedule</v>
      </c>
      <c r="M36" s="80"/>
      <c r="N36" s="81" t="b">
        <v>0</v>
      </c>
      <c r="O36" s="81" t="b">
        <v>0</v>
      </c>
      <c r="Q36" s="124" t="b">
        <f>IF(OR(AND(N36=TRUE,O36=FALSE),AND(N36=FALSE,O36=TRUE)),TRUE,FALSE)</f>
        <v>0</v>
      </c>
      <c r="R36" s="124"/>
      <c r="S36" s="80"/>
      <c r="T36" s="80"/>
      <c r="U36" s="80"/>
      <c r="V36" s="80"/>
      <c r="W36" s="80"/>
      <c r="X36" s="80"/>
    </row>
    <row r="37" spans="1:24" ht="20.100000000000001" customHeight="1" x14ac:dyDescent="0.25">
      <c r="A37" s="50"/>
    </row>
    <row r="38" spans="1:24" ht="20.100000000000001" customHeight="1" x14ac:dyDescent="0.25">
      <c r="A38" s="50"/>
    </row>
    <row r="39" spans="1:24" ht="20.100000000000001" customHeight="1" x14ac:dyDescent="0.25">
      <c r="A39" s="50"/>
    </row>
    <row r="40" spans="1:24" ht="20.100000000000001" customHeight="1" x14ac:dyDescent="0.25">
      <c r="A40" s="50"/>
    </row>
    <row r="41" spans="1:24" ht="20.100000000000001" customHeight="1" x14ac:dyDescent="0.25">
      <c r="A41" s="50"/>
    </row>
    <row r="42" spans="1:24" ht="20.100000000000001" customHeight="1" x14ac:dyDescent="0.25">
      <c r="A42" s="50"/>
    </row>
    <row r="43" spans="1:24" ht="20.100000000000001" customHeight="1" x14ac:dyDescent="0.25">
      <c r="A43" s="50"/>
    </row>
    <row r="44" spans="1:24" ht="20.100000000000001" customHeight="1" x14ac:dyDescent="0.25">
      <c r="A44" s="50"/>
    </row>
    <row r="45" spans="1:24" ht="20.100000000000001" customHeight="1" x14ac:dyDescent="0.25">
      <c r="A45" s="50"/>
    </row>
    <row r="46" spans="1:24" ht="20.100000000000001" customHeight="1" x14ac:dyDescent="0.25">
      <c r="A46" s="50"/>
    </row>
    <row r="47" spans="1:24" ht="20.100000000000001" customHeight="1" x14ac:dyDescent="0.25">
      <c r="A47" s="50"/>
    </row>
    <row r="48" spans="1:24"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row r="92" spans="1:1" ht="20.100000000000001" customHeight="1" x14ac:dyDescent="0.25">
      <c r="A92" s="50"/>
    </row>
  </sheetData>
  <sheetProtection algorithmName="SHA-512" hashValue="PvfuDDyqnjHzRxg84aA38YBMvTTKFrVLKOXHEJkewDunWP9zM+1BAboSAgwZZF0ATnDy9kjN5Dj5wIRoQpDgyQ==" saltValue="Z8tYIyDF9d4Maq4M8y4qlQ==" spinCount="100000" sheet="1" objects="1" scenarios="1"/>
  <mergeCells count="60">
    <mergeCell ref="A30:C30"/>
    <mergeCell ref="E30:F30"/>
    <mergeCell ref="A22:C22"/>
    <mergeCell ref="E22:F22"/>
    <mergeCell ref="A18:C18"/>
    <mergeCell ref="A29:C29"/>
    <mergeCell ref="E29:F29"/>
    <mergeCell ref="A26:C26"/>
    <mergeCell ref="E26:F26"/>
    <mergeCell ref="A27:C27"/>
    <mergeCell ref="E27:F27"/>
    <mergeCell ref="E15:F15"/>
    <mergeCell ref="A16:C16"/>
    <mergeCell ref="E16:F16"/>
    <mergeCell ref="A17:C17"/>
    <mergeCell ref="E17:F17"/>
    <mergeCell ref="A1:H1"/>
    <mergeCell ref="A8:F8"/>
    <mergeCell ref="E25:F25"/>
    <mergeCell ref="E18:F18"/>
    <mergeCell ref="A19:C19"/>
    <mergeCell ref="E19:F19"/>
    <mergeCell ref="A20:C20"/>
    <mergeCell ref="E20:F20"/>
    <mergeCell ref="A10:F10"/>
    <mergeCell ref="A12:F12"/>
    <mergeCell ref="A11:E11"/>
    <mergeCell ref="A21:C21"/>
    <mergeCell ref="E21:F21"/>
    <mergeCell ref="A23:C23"/>
    <mergeCell ref="A9:C9"/>
    <mergeCell ref="A7:F7"/>
    <mergeCell ref="A31:C31"/>
    <mergeCell ref="E31:F31"/>
    <mergeCell ref="A32:C32"/>
    <mergeCell ref="E32:F32"/>
    <mergeCell ref="A36:C36"/>
    <mergeCell ref="E35:F35"/>
    <mergeCell ref="E36:F36"/>
    <mergeCell ref="A33:C33"/>
    <mergeCell ref="E33:F33"/>
    <mergeCell ref="A34:C34"/>
    <mergeCell ref="E34:F34"/>
    <mergeCell ref="A35:C35"/>
    <mergeCell ref="A3:G3"/>
    <mergeCell ref="A2:G2"/>
    <mergeCell ref="E28:F28"/>
    <mergeCell ref="A28:C28"/>
    <mergeCell ref="E23:F23"/>
    <mergeCell ref="A24:C24"/>
    <mergeCell ref="E24:F24"/>
    <mergeCell ref="A25:C25"/>
    <mergeCell ref="A6:H6"/>
    <mergeCell ref="A5:G5"/>
    <mergeCell ref="A4:G4"/>
    <mergeCell ref="A13:C13"/>
    <mergeCell ref="E13:F13"/>
    <mergeCell ref="A14:C14"/>
    <mergeCell ref="E14:F14"/>
    <mergeCell ref="A15:C15"/>
  </mergeCells>
  <conditionalFormatting sqref="A10:F10">
    <cfRule type="expression" dxfId="12" priority="8">
      <formula>AND(N9=TRUE,Q9=TRUE,T9=TRUE,V9=TRUE)</formula>
    </cfRule>
    <cfRule type="expression" dxfId="11" priority="12">
      <formula>W9=TRUE</formula>
    </cfRule>
  </conditionalFormatting>
  <conditionalFormatting sqref="A12:F12">
    <cfRule type="expression" dxfId="10" priority="7">
      <formula>Q11=TRUE</formula>
    </cfRule>
    <cfRule type="expression" dxfId="9" priority="9">
      <formula>AND(N11=TRUE,Q11=TRUE,T11=TRUE,V11=TRUE)</formula>
    </cfRule>
  </conditionalFormatting>
  <conditionalFormatting sqref="D9">
    <cfRule type="expression" dxfId="8" priority="555">
      <formula>Q9=FALSE</formula>
    </cfRule>
  </conditionalFormatting>
  <conditionalFormatting sqref="D14:D36">
    <cfRule type="expression" dxfId="7" priority="2">
      <formula>Q14=FALSE</formula>
    </cfRule>
  </conditionalFormatting>
  <conditionalFormatting sqref="E28">
    <cfRule type="expression" dxfId="6" priority="5">
      <formula>AND(Q28=TRUE,O28=TRUE,ISBLANK(E28))</formula>
    </cfRule>
  </conditionalFormatting>
  <conditionalFormatting sqref="E14:F27">
    <cfRule type="expression" dxfId="5" priority="1">
      <formula>AND(Q14=TRUE,O14=TRUE,ISBLANK(E14))</formula>
    </cfRule>
  </conditionalFormatting>
  <conditionalFormatting sqref="E29:F36">
    <cfRule type="expression" dxfId="4" priority="3">
      <formula>AND(Q29=TRUE,O29=TRUE,ISBLANK(E29))</formula>
    </cfRule>
  </conditionalFormatting>
  <conditionalFormatting sqref="F9">
    <cfRule type="expression" dxfId="3" priority="13">
      <formula>AND(Q9=TRUE,V9=FALSE)</formula>
    </cfRule>
  </conditionalFormatting>
  <conditionalFormatting sqref="F11">
    <cfRule type="expression" dxfId="2" priority="11">
      <formula>AND(W9=TRUE,NOT(T9=TRUE),Q11=FALSE)</formula>
    </cfRule>
  </conditionalFormatting>
  <hyperlinks>
    <hyperlink ref="G14" location="'Section 1| General Information'!A1" display="'Section 1| General Information'!A1" xr:uid="{00000000-0004-0000-1900-000000000000}"/>
    <hyperlink ref="G15" location="'Section 2| Source Information'!A1" display="'Section 2| Source Information'!A1" xr:uid="{00000000-0004-0000-1900-000001000000}"/>
    <hyperlink ref="G16" location="'Table 3-A| Emission Units'!A1" display="'Table 3-A| Emission Units'!A1" xr:uid="{00000000-0004-0000-1900-000002000000}"/>
    <hyperlink ref="G17" location="'Table 3-B| Stack Info'!A1" display="'Table 3-B| Stack Info'!A1" xr:uid="{00000000-0004-0000-1900-000003000000}"/>
    <hyperlink ref="G18" location="'Table 4-A| Insignificant List'!A1" display="'Table 4-A| Insignificant List'!A1" xr:uid="{00000000-0004-0000-1900-000004000000}"/>
    <hyperlink ref="G19" location="'Table 4-B| Oil Storage'!A1" display="'Table 4-B| Oil Storage'!A1" xr:uid="{00000000-0004-0000-1900-000005000000}"/>
    <hyperlink ref="G20" location="'Table 4-C| Cooling Towers'!A1" display="'Table 4-C| Cooling Towers'!A1" xr:uid="{00000000-0004-0000-1900-000006000000}"/>
    <hyperlink ref="G21" location="'Table 5-A| Primary MPTE'!A1" display="'Table 5-A| Primary MPTE'!A1" xr:uid="{00000000-0004-0000-1900-000007000000}"/>
    <hyperlink ref="G23" location="'Table 5-C| MPTE VOC'!A1" display="'Table 5-C| MPTE VOC'!A1" xr:uid="{00000000-0004-0000-1900-000008000000}"/>
    <hyperlink ref="G24" location="'Table 5-C| MPTE VOC'!A1" display="'Table 5-C| MPTE VOC'!A1" xr:uid="{00000000-0004-0000-1900-000009000000}"/>
    <hyperlink ref="G25" location="'Table 5-E| MPTE Thresholds'!A1" display="'Table 5-E| MPTE Thresholds'!A1" xr:uid="{00000000-0004-0000-1900-00000A000000}"/>
    <hyperlink ref="G26" location="'Section 6| Source Class'!A1" display="'Section 6| Source Class'!A1" xr:uid="{00000000-0004-0000-1900-00000B000000}"/>
    <hyperlink ref="G27" location="'Table 6-A| Controls &amp; Limits'!A1" display="'Table 6-A| Controls &amp; Limits'!A1" xr:uid="{00000000-0004-0000-1900-00000C000000}"/>
    <hyperlink ref="G29" location="'Table 7-A| Primary APTE'!A1" display="'Table 7-A| Primary APTE'!A1" xr:uid="{00000000-0004-0000-1900-00000D000000}"/>
    <hyperlink ref="G31" location="'Table 7-C| APTE VOC'!A1" display="'Table 7-C| APTE VOC'!A1" xr:uid="{00000000-0004-0000-1900-00000E000000}"/>
    <hyperlink ref="G32" location="'Table 7-D| APTE HAP'!A1" display="'Table 7-D| APTE HAP'!A1" xr:uid="{00000000-0004-0000-1900-00000F000000}"/>
    <hyperlink ref="G33" location="'Table 7-E| APTE Thresholds'!A1" display="'Table 7-E| APTE Thresholds'!A1" xr:uid="{00000000-0004-0000-1900-000010000000}"/>
    <hyperlink ref="G34" location="'Section 8| Applicable Rules'!A1" display="'Section 8| Applicable Rules'!A1" xr:uid="{00000000-0004-0000-1900-000011000000}"/>
    <hyperlink ref="G35" location="'Section 9| Compliance Plan'!A1" display="'Section 9| Compliance Plan'!A1" xr:uid="{00000000-0004-0000-1900-000012000000}"/>
    <hyperlink ref="G36" location="'Table 9-A| Compliance Schedule'!A1" display="'Table 9-A| Compliance Schedule'!A1" xr:uid="{00000000-0004-0000-1900-000013000000}"/>
    <hyperlink ref="G28" location="'Table 6-B| Emission Limits'!A1" display="'Table 6-B| Emission Limits'!A1" xr:uid="{00000000-0004-0000-1900-000014000000}"/>
    <hyperlink ref="G30" location="'Table 7-B| Reclaim APTE'!A1" display="'Table 7-B| Reclaim APTE'!A1" xr:uid="{00000000-0004-0000-1900-000015000000}"/>
    <hyperlink ref="G22" location="'Table 5-B| Reclaim MPTE'!A1" display="'Table 5-B| Reclaim MPTE'!A1" xr:uid="{00000000-0004-0000-1900-000016000000}"/>
  </hyperlinks>
  <printOptions horizontalCentered="1"/>
  <pageMargins left="0.5" right="0.5" top="0.5" bottom="0.5" header="0.3" footer="0.3"/>
  <pageSetup scale="78" fitToHeight="0" orientation="portrait" r:id="rId1"/>
  <headerFooter>
    <oddFooter>&amp;LRev. 7/2016&amp;C&amp;A&amp;RPage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3</xdr:col>
                    <xdr:colOff>9525</xdr:colOff>
                    <xdr:row>13</xdr:row>
                    <xdr:rowOff>28575</xdr:rowOff>
                  </from>
                  <to>
                    <xdr:col>3</xdr:col>
                    <xdr:colOff>685800</xdr:colOff>
                    <xdr:row>13</xdr:row>
                    <xdr:rowOff>238125</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3</xdr:col>
                    <xdr:colOff>9525</xdr:colOff>
                    <xdr:row>13</xdr:row>
                    <xdr:rowOff>219075</xdr:rowOff>
                  </from>
                  <to>
                    <xdr:col>3</xdr:col>
                    <xdr:colOff>685800</xdr:colOff>
                    <xdr:row>13</xdr:row>
                    <xdr:rowOff>428625</xdr:rowOff>
                  </to>
                </anchor>
              </controlPr>
            </control>
          </mc:Choice>
        </mc:AlternateContent>
        <mc:AlternateContent xmlns:mc="http://schemas.openxmlformats.org/markup-compatibility/2006">
          <mc:Choice Requires="x14">
            <control shapeId="87083" r:id="rId6" name="Check Box 43">
              <controlPr defaultSize="0" autoFill="0" autoLine="0" autoPict="0">
                <anchor moveWithCells="1">
                  <from>
                    <xdr:col>3</xdr:col>
                    <xdr:colOff>38100</xdr:colOff>
                    <xdr:row>8</xdr:row>
                    <xdr:rowOff>19050</xdr:rowOff>
                  </from>
                  <to>
                    <xdr:col>3</xdr:col>
                    <xdr:colOff>714375</xdr:colOff>
                    <xdr:row>8</xdr:row>
                    <xdr:rowOff>238125</xdr:rowOff>
                  </to>
                </anchor>
              </controlPr>
            </control>
          </mc:Choice>
        </mc:AlternateContent>
        <mc:AlternateContent xmlns:mc="http://schemas.openxmlformats.org/markup-compatibility/2006">
          <mc:Choice Requires="x14">
            <control shapeId="87084" r:id="rId7" name="Check Box 44">
              <controlPr defaultSize="0" autoFill="0" autoLine="0" autoPict="0">
                <anchor moveWithCells="1">
                  <from>
                    <xdr:col>3</xdr:col>
                    <xdr:colOff>38100</xdr:colOff>
                    <xdr:row>8</xdr:row>
                    <xdr:rowOff>209550</xdr:rowOff>
                  </from>
                  <to>
                    <xdr:col>3</xdr:col>
                    <xdr:colOff>714375</xdr:colOff>
                    <xdr:row>8</xdr:row>
                    <xdr:rowOff>428625</xdr:rowOff>
                  </to>
                </anchor>
              </controlPr>
            </control>
          </mc:Choice>
        </mc:AlternateContent>
        <mc:AlternateContent xmlns:mc="http://schemas.openxmlformats.org/markup-compatibility/2006">
          <mc:Choice Requires="x14">
            <control shapeId="87085" r:id="rId8" name="Check Box 45">
              <controlPr defaultSize="0" autoFill="0" autoLine="0" autoPict="0">
                <anchor moveWithCells="1">
                  <from>
                    <xdr:col>5</xdr:col>
                    <xdr:colOff>38100</xdr:colOff>
                    <xdr:row>8</xdr:row>
                    <xdr:rowOff>19050</xdr:rowOff>
                  </from>
                  <to>
                    <xdr:col>5</xdr:col>
                    <xdr:colOff>714375</xdr:colOff>
                    <xdr:row>8</xdr:row>
                    <xdr:rowOff>238125</xdr:rowOff>
                  </to>
                </anchor>
              </controlPr>
            </control>
          </mc:Choice>
        </mc:AlternateContent>
        <mc:AlternateContent xmlns:mc="http://schemas.openxmlformats.org/markup-compatibility/2006">
          <mc:Choice Requires="x14">
            <control shapeId="87086" r:id="rId9" name="Check Box 46">
              <controlPr defaultSize="0" autoFill="0" autoLine="0" autoPict="0">
                <anchor moveWithCells="1">
                  <from>
                    <xdr:col>5</xdr:col>
                    <xdr:colOff>38100</xdr:colOff>
                    <xdr:row>8</xdr:row>
                    <xdr:rowOff>209550</xdr:rowOff>
                  </from>
                  <to>
                    <xdr:col>5</xdr:col>
                    <xdr:colOff>714375</xdr:colOff>
                    <xdr:row>8</xdr:row>
                    <xdr:rowOff>428625</xdr:rowOff>
                  </to>
                </anchor>
              </controlPr>
            </control>
          </mc:Choice>
        </mc:AlternateContent>
        <mc:AlternateContent xmlns:mc="http://schemas.openxmlformats.org/markup-compatibility/2006">
          <mc:Choice Requires="x14">
            <control shapeId="87087" r:id="rId10" name="Check Box 47">
              <controlPr defaultSize="0" autoFill="0" autoLine="0" autoPict="0">
                <anchor moveWithCells="1">
                  <from>
                    <xdr:col>5</xdr:col>
                    <xdr:colOff>38100</xdr:colOff>
                    <xdr:row>10</xdr:row>
                    <xdr:rowOff>9525</xdr:rowOff>
                  </from>
                  <to>
                    <xdr:col>5</xdr:col>
                    <xdr:colOff>714375</xdr:colOff>
                    <xdr:row>10</xdr:row>
                    <xdr:rowOff>228600</xdr:rowOff>
                  </to>
                </anchor>
              </controlPr>
            </control>
          </mc:Choice>
        </mc:AlternateContent>
        <mc:AlternateContent xmlns:mc="http://schemas.openxmlformats.org/markup-compatibility/2006">
          <mc:Choice Requires="x14">
            <control shapeId="87088" r:id="rId11" name="Check Box 48">
              <controlPr defaultSize="0" autoFill="0" autoLine="0" autoPict="0">
                <anchor moveWithCells="1">
                  <from>
                    <xdr:col>5</xdr:col>
                    <xdr:colOff>38100</xdr:colOff>
                    <xdr:row>10</xdr:row>
                    <xdr:rowOff>200025</xdr:rowOff>
                  </from>
                  <to>
                    <xdr:col>5</xdr:col>
                    <xdr:colOff>714375</xdr:colOff>
                    <xdr:row>10</xdr:row>
                    <xdr:rowOff>419100</xdr:rowOff>
                  </to>
                </anchor>
              </controlPr>
            </control>
          </mc:Choice>
        </mc:AlternateContent>
        <mc:AlternateContent xmlns:mc="http://schemas.openxmlformats.org/markup-compatibility/2006">
          <mc:Choice Requires="x14">
            <control shapeId="87091" r:id="rId12" name="Check Box 51">
              <controlPr defaultSize="0" autoFill="0" autoLine="0" autoPict="0">
                <anchor moveWithCells="1">
                  <from>
                    <xdr:col>3</xdr:col>
                    <xdr:colOff>0</xdr:colOff>
                    <xdr:row>14</xdr:row>
                    <xdr:rowOff>28575</xdr:rowOff>
                  </from>
                  <to>
                    <xdr:col>3</xdr:col>
                    <xdr:colOff>676275</xdr:colOff>
                    <xdr:row>14</xdr:row>
                    <xdr:rowOff>238125</xdr:rowOff>
                  </to>
                </anchor>
              </controlPr>
            </control>
          </mc:Choice>
        </mc:AlternateContent>
        <mc:AlternateContent xmlns:mc="http://schemas.openxmlformats.org/markup-compatibility/2006">
          <mc:Choice Requires="x14">
            <control shapeId="87092" r:id="rId13" name="Check Box 52">
              <controlPr defaultSize="0" autoFill="0" autoLine="0" autoPict="0">
                <anchor moveWithCells="1">
                  <from>
                    <xdr:col>3</xdr:col>
                    <xdr:colOff>0</xdr:colOff>
                    <xdr:row>14</xdr:row>
                    <xdr:rowOff>219075</xdr:rowOff>
                  </from>
                  <to>
                    <xdr:col>3</xdr:col>
                    <xdr:colOff>676275</xdr:colOff>
                    <xdr:row>14</xdr:row>
                    <xdr:rowOff>428625</xdr:rowOff>
                  </to>
                </anchor>
              </controlPr>
            </control>
          </mc:Choice>
        </mc:AlternateContent>
        <mc:AlternateContent xmlns:mc="http://schemas.openxmlformats.org/markup-compatibility/2006">
          <mc:Choice Requires="x14">
            <control shapeId="87093" r:id="rId14" name="Check Box 53">
              <controlPr defaultSize="0" autoFill="0" autoLine="0" autoPict="0">
                <anchor moveWithCells="1">
                  <from>
                    <xdr:col>3</xdr:col>
                    <xdr:colOff>0</xdr:colOff>
                    <xdr:row>15</xdr:row>
                    <xdr:rowOff>28575</xdr:rowOff>
                  </from>
                  <to>
                    <xdr:col>3</xdr:col>
                    <xdr:colOff>676275</xdr:colOff>
                    <xdr:row>15</xdr:row>
                    <xdr:rowOff>238125</xdr:rowOff>
                  </to>
                </anchor>
              </controlPr>
            </control>
          </mc:Choice>
        </mc:AlternateContent>
        <mc:AlternateContent xmlns:mc="http://schemas.openxmlformats.org/markup-compatibility/2006">
          <mc:Choice Requires="x14">
            <control shapeId="87094" r:id="rId15" name="Check Box 54">
              <controlPr defaultSize="0" autoFill="0" autoLine="0" autoPict="0">
                <anchor moveWithCells="1">
                  <from>
                    <xdr:col>3</xdr:col>
                    <xdr:colOff>0</xdr:colOff>
                    <xdr:row>15</xdr:row>
                    <xdr:rowOff>219075</xdr:rowOff>
                  </from>
                  <to>
                    <xdr:col>3</xdr:col>
                    <xdr:colOff>676275</xdr:colOff>
                    <xdr:row>15</xdr:row>
                    <xdr:rowOff>428625</xdr:rowOff>
                  </to>
                </anchor>
              </controlPr>
            </control>
          </mc:Choice>
        </mc:AlternateContent>
        <mc:AlternateContent xmlns:mc="http://schemas.openxmlformats.org/markup-compatibility/2006">
          <mc:Choice Requires="x14">
            <control shapeId="87095" r:id="rId16" name="Check Box 55">
              <controlPr defaultSize="0" autoFill="0" autoLine="0" autoPict="0">
                <anchor moveWithCells="1">
                  <from>
                    <xdr:col>3</xdr:col>
                    <xdr:colOff>0</xdr:colOff>
                    <xdr:row>16</xdr:row>
                    <xdr:rowOff>28575</xdr:rowOff>
                  </from>
                  <to>
                    <xdr:col>3</xdr:col>
                    <xdr:colOff>676275</xdr:colOff>
                    <xdr:row>16</xdr:row>
                    <xdr:rowOff>238125</xdr:rowOff>
                  </to>
                </anchor>
              </controlPr>
            </control>
          </mc:Choice>
        </mc:AlternateContent>
        <mc:AlternateContent xmlns:mc="http://schemas.openxmlformats.org/markup-compatibility/2006">
          <mc:Choice Requires="x14">
            <control shapeId="87096" r:id="rId17" name="Check Box 56">
              <controlPr defaultSize="0" autoFill="0" autoLine="0" autoPict="0">
                <anchor moveWithCells="1">
                  <from>
                    <xdr:col>3</xdr:col>
                    <xdr:colOff>0</xdr:colOff>
                    <xdr:row>16</xdr:row>
                    <xdr:rowOff>219075</xdr:rowOff>
                  </from>
                  <to>
                    <xdr:col>3</xdr:col>
                    <xdr:colOff>676275</xdr:colOff>
                    <xdr:row>16</xdr:row>
                    <xdr:rowOff>428625</xdr:rowOff>
                  </to>
                </anchor>
              </controlPr>
            </control>
          </mc:Choice>
        </mc:AlternateContent>
        <mc:AlternateContent xmlns:mc="http://schemas.openxmlformats.org/markup-compatibility/2006">
          <mc:Choice Requires="x14">
            <control shapeId="87097" r:id="rId18" name="Check Box 57">
              <controlPr defaultSize="0" autoFill="0" autoLine="0" autoPict="0">
                <anchor moveWithCells="1">
                  <from>
                    <xdr:col>3</xdr:col>
                    <xdr:colOff>0</xdr:colOff>
                    <xdr:row>17</xdr:row>
                    <xdr:rowOff>28575</xdr:rowOff>
                  </from>
                  <to>
                    <xdr:col>3</xdr:col>
                    <xdr:colOff>676275</xdr:colOff>
                    <xdr:row>17</xdr:row>
                    <xdr:rowOff>238125</xdr:rowOff>
                  </to>
                </anchor>
              </controlPr>
            </control>
          </mc:Choice>
        </mc:AlternateContent>
        <mc:AlternateContent xmlns:mc="http://schemas.openxmlformats.org/markup-compatibility/2006">
          <mc:Choice Requires="x14">
            <control shapeId="87098" r:id="rId19" name="Check Box 58">
              <controlPr defaultSize="0" autoFill="0" autoLine="0" autoPict="0">
                <anchor moveWithCells="1">
                  <from>
                    <xdr:col>3</xdr:col>
                    <xdr:colOff>0</xdr:colOff>
                    <xdr:row>17</xdr:row>
                    <xdr:rowOff>219075</xdr:rowOff>
                  </from>
                  <to>
                    <xdr:col>3</xdr:col>
                    <xdr:colOff>676275</xdr:colOff>
                    <xdr:row>17</xdr:row>
                    <xdr:rowOff>428625</xdr:rowOff>
                  </to>
                </anchor>
              </controlPr>
            </control>
          </mc:Choice>
        </mc:AlternateContent>
        <mc:AlternateContent xmlns:mc="http://schemas.openxmlformats.org/markup-compatibility/2006">
          <mc:Choice Requires="x14">
            <control shapeId="87099" r:id="rId20" name="Check Box 59">
              <controlPr defaultSize="0" autoFill="0" autoLine="0" autoPict="0">
                <anchor moveWithCells="1">
                  <from>
                    <xdr:col>3</xdr:col>
                    <xdr:colOff>0</xdr:colOff>
                    <xdr:row>18</xdr:row>
                    <xdr:rowOff>28575</xdr:rowOff>
                  </from>
                  <to>
                    <xdr:col>3</xdr:col>
                    <xdr:colOff>676275</xdr:colOff>
                    <xdr:row>18</xdr:row>
                    <xdr:rowOff>238125</xdr:rowOff>
                  </to>
                </anchor>
              </controlPr>
            </control>
          </mc:Choice>
        </mc:AlternateContent>
        <mc:AlternateContent xmlns:mc="http://schemas.openxmlformats.org/markup-compatibility/2006">
          <mc:Choice Requires="x14">
            <control shapeId="87100" r:id="rId21" name="Check Box 60">
              <controlPr defaultSize="0" autoFill="0" autoLine="0" autoPict="0">
                <anchor moveWithCells="1">
                  <from>
                    <xdr:col>3</xdr:col>
                    <xdr:colOff>0</xdr:colOff>
                    <xdr:row>18</xdr:row>
                    <xdr:rowOff>219075</xdr:rowOff>
                  </from>
                  <to>
                    <xdr:col>3</xdr:col>
                    <xdr:colOff>676275</xdr:colOff>
                    <xdr:row>18</xdr:row>
                    <xdr:rowOff>428625</xdr:rowOff>
                  </to>
                </anchor>
              </controlPr>
            </control>
          </mc:Choice>
        </mc:AlternateContent>
        <mc:AlternateContent xmlns:mc="http://schemas.openxmlformats.org/markup-compatibility/2006">
          <mc:Choice Requires="x14">
            <control shapeId="87101" r:id="rId22" name="Check Box 61">
              <controlPr defaultSize="0" autoFill="0" autoLine="0" autoPict="0">
                <anchor moveWithCells="1">
                  <from>
                    <xdr:col>3</xdr:col>
                    <xdr:colOff>0</xdr:colOff>
                    <xdr:row>19</xdr:row>
                    <xdr:rowOff>28575</xdr:rowOff>
                  </from>
                  <to>
                    <xdr:col>3</xdr:col>
                    <xdr:colOff>676275</xdr:colOff>
                    <xdr:row>19</xdr:row>
                    <xdr:rowOff>238125</xdr:rowOff>
                  </to>
                </anchor>
              </controlPr>
            </control>
          </mc:Choice>
        </mc:AlternateContent>
        <mc:AlternateContent xmlns:mc="http://schemas.openxmlformats.org/markup-compatibility/2006">
          <mc:Choice Requires="x14">
            <control shapeId="87102" r:id="rId23" name="Check Box 62">
              <controlPr defaultSize="0" autoFill="0" autoLine="0" autoPict="0">
                <anchor moveWithCells="1">
                  <from>
                    <xdr:col>3</xdr:col>
                    <xdr:colOff>0</xdr:colOff>
                    <xdr:row>19</xdr:row>
                    <xdr:rowOff>219075</xdr:rowOff>
                  </from>
                  <to>
                    <xdr:col>3</xdr:col>
                    <xdr:colOff>676275</xdr:colOff>
                    <xdr:row>19</xdr:row>
                    <xdr:rowOff>428625</xdr:rowOff>
                  </to>
                </anchor>
              </controlPr>
            </control>
          </mc:Choice>
        </mc:AlternateContent>
        <mc:AlternateContent xmlns:mc="http://schemas.openxmlformats.org/markup-compatibility/2006">
          <mc:Choice Requires="x14">
            <control shapeId="87103" r:id="rId24" name="Check Box 63">
              <controlPr defaultSize="0" autoFill="0" autoLine="0" autoPict="0">
                <anchor moveWithCells="1">
                  <from>
                    <xdr:col>3</xdr:col>
                    <xdr:colOff>0</xdr:colOff>
                    <xdr:row>20</xdr:row>
                    <xdr:rowOff>28575</xdr:rowOff>
                  </from>
                  <to>
                    <xdr:col>3</xdr:col>
                    <xdr:colOff>676275</xdr:colOff>
                    <xdr:row>20</xdr:row>
                    <xdr:rowOff>238125</xdr:rowOff>
                  </to>
                </anchor>
              </controlPr>
            </control>
          </mc:Choice>
        </mc:AlternateContent>
        <mc:AlternateContent xmlns:mc="http://schemas.openxmlformats.org/markup-compatibility/2006">
          <mc:Choice Requires="x14">
            <control shapeId="87104" r:id="rId25" name="Check Box 64">
              <controlPr defaultSize="0" autoFill="0" autoLine="0" autoPict="0">
                <anchor moveWithCells="1">
                  <from>
                    <xdr:col>3</xdr:col>
                    <xdr:colOff>0</xdr:colOff>
                    <xdr:row>20</xdr:row>
                    <xdr:rowOff>219075</xdr:rowOff>
                  </from>
                  <to>
                    <xdr:col>3</xdr:col>
                    <xdr:colOff>676275</xdr:colOff>
                    <xdr:row>20</xdr:row>
                    <xdr:rowOff>428625</xdr:rowOff>
                  </to>
                </anchor>
              </controlPr>
            </control>
          </mc:Choice>
        </mc:AlternateContent>
        <mc:AlternateContent xmlns:mc="http://schemas.openxmlformats.org/markup-compatibility/2006">
          <mc:Choice Requires="x14">
            <control shapeId="87105" r:id="rId26" name="Check Box 65">
              <controlPr defaultSize="0" autoFill="0" autoLine="0" autoPict="0">
                <anchor moveWithCells="1">
                  <from>
                    <xdr:col>3</xdr:col>
                    <xdr:colOff>0</xdr:colOff>
                    <xdr:row>22</xdr:row>
                    <xdr:rowOff>28575</xdr:rowOff>
                  </from>
                  <to>
                    <xdr:col>3</xdr:col>
                    <xdr:colOff>676275</xdr:colOff>
                    <xdr:row>22</xdr:row>
                    <xdr:rowOff>238125</xdr:rowOff>
                  </to>
                </anchor>
              </controlPr>
            </control>
          </mc:Choice>
        </mc:AlternateContent>
        <mc:AlternateContent xmlns:mc="http://schemas.openxmlformats.org/markup-compatibility/2006">
          <mc:Choice Requires="x14">
            <control shapeId="87106" r:id="rId27" name="Check Box 66">
              <controlPr defaultSize="0" autoFill="0" autoLine="0" autoPict="0">
                <anchor moveWithCells="1">
                  <from>
                    <xdr:col>3</xdr:col>
                    <xdr:colOff>0</xdr:colOff>
                    <xdr:row>22</xdr:row>
                    <xdr:rowOff>219075</xdr:rowOff>
                  </from>
                  <to>
                    <xdr:col>3</xdr:col>
                    <xdr:colOff>676275</xdr:colOff>
                    <xdr:row>22</xdr:row>
                    <xdr:rowOff>428625</xdr:rowOff>
                  </to>
                </anchor>
              </controlPr>
            </control>
          </mc:Choice>
        </mc:AlternateContent>
        <mc:AlternateContent xmlns:mc="http://schemas.openxmlformats.org/markup-compatibility/2006">
          <mc:Choice Requires="x14">
            <control shapeId="87107" r:id="rId28" name="Check Box 67">
              <controlPr defaultSize="0" autoFill="0" autoLine="0" autoPict="0">
                <anchor moveWithCells="1">
                  <from>
                    <xdr:col>3</xdr:col>
                    <xdr:colOff>0</xdr:colOff>
                    <xdr:row>23</xdr:row>
                    <xdr:rowOff>28575</xdr:rowOff>
                  </from>
                  <to>
                    <xdr:col>3</xdr:col>
                    <xdr:colOff>676275</xdr:colOff>
                    <xdr:row>23</xdr:row>
                    <xdr:rowOff>238125</xdr:rowOff>
                  </to>
                </anchor>
              </controlPr>
            </control>
          </mc:Choice>
        </mc:AlternateContent>
        <mc:AlternateContent xmlns:mc="http://schemas.openxmlformats.org/markup-compatibility/2006">
          <mc:Choice Requires="x14">
            <control shapeId="87108" r:id="rId29" name="Check Box 68">
              <controlPr defaultSize="0" autoFill="0" autoLine="0" autoPict="0">
                <anchor moveWithCells="1">
                  <from>
                    <xdr:col>3</xdr:col>
                    <xdr:colOff>0</xdr:colOff>
                    <xdr:row>23</xdr:row>
                    <xdr:rowOff>219075</xdr:rowOff>
                  </from>
                  <to>
                    <xdr:col>3</xdr:col>
                    <xdr:colOff>676275</xdr:colOff>
                    <xdr:row>23</xdr:row>
                    <xdr:rowOff>428625</xdr:rowOff>
                  </to>
                </anchor>
              </controlPr>
            </control>
          </mc:Choice>
        </mc:AlternateContent>
        <mc:AlternateContent xmlns:mc="http://schemas.openxmlformats.org/markup-compatibility/2006">
          <mc:Choice Requires="x14">
            <control shapeId="87109" r:id="rId30" name="Check Box 69">
              <controlPr defaultSize="0" autoFill="0" autoLine="0" autoPict="0">
                <anchor moveWithCells="1">
                  <from>
                    <xdr:col>3</xdr:col>
                    <xdr:colOff>0</xdr:colOff>
                    <xdr:row>24</xdr:row>
                    <xdr:rowOff>28575</xdr:rowOff>
                  </from>
                  <to>
                    <xdr:col>3</xdr:col>
                    <xdr:colOff>676275</xdr:colOff>
                    <xdr:row>24</xdr:row>
                    <xdr:rowOff>238125</xdr:rowOff>
                  </to>
                </anchor>
              </controlPr>
            </control>
          </mc:Choice>
        </mc:AlternateContent>
        <mc:AlternateContent xmlns:mc="http://schemas.openxmlformats.org/markup-compatibility/2006">
          <mc:Choice Requires="x14">
            <control shapeId="87110" r:id="rId31" name="Check Box 70">
              <controlPr defaultSize="0" autoFill="0" autoLine="0" autoPict="0">
                <anchor moveWithCells="1">
                  <from>
                    <xdr:col>3</xdr:col>
                    <xdr:colOff>0</xdr:colOff>
                    <xdr:row>24</xdr:row>
                    <xdr:rowOff>219075</xdr:rowOff>
                  </from>
                  <to>
                    <xdr:col>3</xdr:col>
                    <xdr:colOff>676275</xdr:colOff>
                    <xdr:row>24</xdr:row>
                    <xdr:rowOff>428625</xdr:rowOff>
                  </to>
                </anchor>
              </controlPr>
            </control>
          </mc:Choice>
        </mc:AlternateContent>
        <mc:AlternateContent xmlns:mc="http://schemas.openxmlformats.org/markup-compatibility/2006">
          <mc:Choice Requires="x14">
            <control shapeId="87111" r:id="rId32" name="Check Box 71">
              <controlPr defaultSize="0" autoFill="0" autoLine="0" autoPict="0">
                <anchor moveWithCells="1">
                  <from>
                    <xdr:col>3</xdr:col>
                    <xdr:colOff>0</xdr:colOff>
                    <xdr:row>25</xdr:row>
                    <xdr:rowOff>28575</xdr:rowOff>
                  </from>
                  <to>
                    <xdr:col>3</xdr:col>
                    <xdr:colOff>676275</xdr:colOff>
                    <xdr:row>25</xdr:row>
                    <xdr:rowOff>238125</xdr:rowOff>
                  </to>
                </anchor>
              </controlPr>
            </control>
          </mc:Choice>
        </mc:AlternateContent>
        <mc:AlternateContent xmlns:mc="http://schemas.openxmlformats.org/markup-compatibility/2006">
          <mc:Choice Requires="x14">
            <control shapeId="87112" r:id="rId33" name="Check Box 72">
              <controlPr defaultSize="0" autoFill="0" autoLine="0" autoPict="0">
                <anchor moveWithCells="1">
                  <from>
                    <xdr:col>3</xdr:col>
                    <xdr:colOff>0</xdr:colOff>
                    <xdr:row>25</xdr:row>
                    <xdr:rowOff>219075</xdr:rowOff>
                  </from>
                  <to>
                    <xdr:col>3</xdr:col>
                    <xdr:colOff>676275</xdr:colOff>
                    <xdr:row>25</xdr:row>
                    <xdr:rowOff>428625</xdr:rowOff>
                  </to>
                </anchor>
              </controlPr>
            </control>
          </mc:Choice>
        </mc:AlternateContent>
        <mc:AlternateContent xmlns:mc="http://schemas.openxmlformats.org/markup-compatibility/2006">
          <mc:Choice Requires="x14">
            <control shapeId="87113" r:id="rId34" name="Check Box 73">
              <controlPr defaultSize="0" autoFill="0" autoLine="0" autoPict="0">
                <anchor moveWithCells="1">
                  <from>
                    <xdr:col>3</xdr:col>
                    <xdr:colOff>0</xdr:colOff>
                    <xdr:row>26</xdr:row>
                    <xdr:rowOff>28575</xdr:rowOff>
                  </from>
                  <to>
                    <xdr:col>3</xdr:col>
                    <xdr:colOff>676275</xdr:colOff>
                    <xdr:row>26</xdr:row>
                    <xdr:rowOff>238125</xdr:rowOff>
                  </to>
                </anchor>
              </controlPr>
            </control>
          </mc:Choice>
        </mc:AlternateContent>
        <mc:AlternateContent xmlns:mc="http://schemas.openxmlformats.org/markup-compatibility/2006">
          <mc:Choice Requires="x14">
            <control shapeId="87114" r:id="rId35" name="Check Box 74">
              <controlPr defaultSize="0" autoFill="0" autoLine="0" autoPict="0">
                <anchor moveWithCells="1">
                  <from>
                    <xdr:col>3</xdr:col>
                    <xdr:colOff>0</xdr:colOff>
                    <xdr:row>26</xdr:row>
                    <xdr:rowOff>219075</xdr:rowOff>
                  </from>
                  <to>
                    <xdr:col>3</xdr:col>
                    <xdr:colOff>676275</xdr:colOff>
                    <xdr:row>26</xdr:row>
                    <xdr:rowOff>428625</xdr:rowOff>
                  </to>
                </anchor>
              </controlPr>
            </control>
          </mc:Choice>
        </mc:AlternateContent>
        <mc:AlternateContent xmlns:mc="http://schemas.openxmlformats.org/markup-compatibility/2006">
          <mc:Choice Requires="x14">
            <control shapeId="87115" r:id="rId36" name="Check Box 75">
              <controlPr defaultSize="0" autoFill="0" autoLine="0" autoPict="0">
                <anchor moveWithCells="1">
                  <from>
                    <xdr:col>3</xdr:col>
                    <xdr:colOff>0</xdr:colOff>
                    <xdr:row>28</xdr:row>
                    <xdr:rowOff>28575</xdr:rowOff>
                  </from>
                  <to>
                    <xdr:col>3</xdr:col>
                    <xdr:colOff>676275</xdr:colOff>
                    <xdr:row>28</xdr:row>
                    <xdr:rowOff>238125</xdr:rowOff>
                  </to>
                </anchor>
              </controlPr>
            </control>
          </mc:Choice>
        </mc:AlternateContent>
        <mc:AlternateContent xmlns:mc="http://schemas.openxmlformats.org/markup-compatibility/2006">
          <mc:Choice Requires="x14">
            <control shapeId="87116" r:id="rId37" name="Check Box 76">
              <controlPr defaultSize="0" autoFill="0" autoLine="0" autoPict="0">
                <anchor moveWithCells="1">
                  <from>
                    <xdr:col>3</xdr:col>
                    <xdr:colOff>0</xdr:colOff>
                    <xdr:row>28</xdr:row>
                    <xdr:rowOff>219075</xdr:rowOff>
                  </from>
                  <to>
                    <xdr:col>3</xdr:col>
                    <xdr:colOff>676275</xdr:colOff>
                    <xdr:row>28</xdr:row>
                    <xdr:rowOff>428625</xdr:rowOff>
                  </to>
                </anchor>
              </controlPr>
            </control>
          </mc:Choice>
        </mc:AlternateContent>
        <mc:AlternateContent xmlns:mc="http://schemas.openxmlformats.org/markup-compatibility/2006">
          <mc:Choice Requires="x14">
            <control shapeId="87117" r:id="rId38" name="Check Box 77">
              <controlPr defaultSize="0" autoFill="0" autoLine="0" autoPict="0">
                <anchor moveWithCells="1">
                  <from>
                    <xdr:col>3</xdr:col>
                    <xdr:colOff>0</xdr:colOff>
                    <xdr:row>30</xdr:row>
                    <xdr:rowOff>28575</xdr:rowOff>
                  </from>
                  <to>
                    <xdr:col>3</xdr:col>
                    <xdr:colOff>676275</xdr:colOff>
                    <xdr:row>30</xdr:row>
                    <xdr:rowOff>238125</xdr:rowOff>
                  </to>
                </anchor>
              </controlPr>
            </control>
          </mc:Choice>
        </mc:AlternateContent>
        <mc:AlternateContent xmlns:mc="http://schemas.openxmlformats.org/markup-compatibility/2006">
          <mc:Choice Requires="x14">
            <control shapeId="87118" r:id="rId39" name="Check Box 78">
              <controlPr defaultSize="0" autoFill="0" autoLine="0" autoPict="0">
                <anchor moveWithCells="1">
                  <from>
                    <xdr:col>3</xdr:col>
                    <xdr:colOff>0</xdr:colOff>
                    <xdr:row>30</xdr:row>
                    <xdr:rowOff>219075</xdr:rowOff>
                  </from>
                  <to>
                    <xdr:col>3</xdr:col>
                    <xdr:colOff>676275</xdr:colOff>
                    <xdr:row>30</xdr:row>
                    <xdr:rowOff>428625</xdr:rowOff>
                  </to>
                </anchor>
              </controlPr>
            </control>
          </mc:Choice>
        </mc:AlternateContent>
        <mc:AlternateContent xmlns:mc="http://schemas.openxmlformats.org/markup-compatibility/2006">
          <mc:Choice Requires="x14">
            <control shapeId="87119" r:id="rId40" name="Check Box 79">
              <controlPr defaultSize="0" autoFill="0" autoLine="0" autoPict="0">
                <anchor moveWithCells="1">
                  <from>
                    <xdr:col>3</xdr:col>
                    <xdr:colOff>0</xdr:colOff>
                    <xdr:row>31</xdr:row>
                    <xdr:rowOff>28575</xdr:rowOff>
                  </from>
                  <to>
                    <xdr:col>3</xdr:col>
                    <xdr:colOff>676275</xdr:colOff>
                    <xdr:row>31</xdr:row>
                    <xdr:rowOff>238125</xdr:rowOff>
                  </to>
                </anchor>
              </controlPr>
            </control>
          </mc:Choice>
        </mc:AlternateContent>
        <mc:AlternateContent xmlns:mc="http://schemas.openxmlformats.org/markup-compatibility/2006">
          <mc:Choice Requires="x14">
            <control shapeId="87120" r:id="rId41" name="Check Box 80">
              <controlPr defaultSize="0" autoFill="0" autoLine="0" autoPict="0">
                <anchor moveWithCells="1">
                  <from>
                    <xdr:col>3</xdr:col>
                    <xdr:colOff>0</xdr:colOff>
                    <xdr:row>31</xdr:row>
                    <xdr:rowOff>219075</xdr:rowOff>
                  </from>
                  <to>
                    <xdr:col>3</xdr:col>
                    <xdr:colOff>676275</xdr:colOff>
                    <xdr:row>31</xdr:row>
                    <xdr:rowOff>428625</xdr:rowOff>
                  </to>
                </anchor>
              </controlPr>
            </control>
          </mc:Choice>
        </mc:AlternateContent>
        <mc:AlternateContent xmlns:mc="http://schemas.openxmlformats.org/markup-compatibility/2006">
          <mc:Choice Requires="x14">
            <control shapeId="87121" r:id="rId42" name="Check Box 81">
              <controlPr defaultSize="0" autoFill="0" autoLine="0" autoPict="0">
                <anchor moveWithCells="1">
                  <from>
                    <xdr:col>3</xdr:col>
                    <xdr:colOff>0</xdr:colOff>
                    <xdr:row>32</xdr:row>
                    <xdr:rowOff>28575</xdr:rowOff>
                  </from>
                  <to>
                    <xdr:col>3</xdr:col>
                    <xdr:colOff>676275</xdr:colOff>
                    <xdr:row>32</xdr:row>
                    <xdr:rowOff>238125</xdr:rowOff>
                  </to>
                </anchor>
              </controlPr>
            </control>
          </mc:Choice>
        </mc:AlternateContent>
        <mc:AlternateContent xmlns:mc="http://schemas.openxmlformats.org/markup-compatibility/2006">
          <mc:Choice Requires="x14">
            <control shapeId="87122" r:id="rId43" name="Check Box 82">
              <controlPr defaultSize="0" autoFill="0" autoLine="0" autoPict="0">
                <anchor moveWithCells="1">
                  <from>
                    <xdr:col>3</xdr:col>
                    <xdr:colOff>0</xdr:colOff>
                    <xdr:row>32</xdr:row>
                    <xdr:rowOff>219075</xdr:rowOff>
                  </from>
                  <to>
                    <xdr:col>3</xdr:col>
                    <xdr:colOff>676275</xdr:colOff>
                    <xdr:row>32</xdr:row>
                    <xdr:rowOff>428625</xdr:rowOff>
                  </to>
                </anchor>
              </controlPr>
            </control>
          </mc:Choice>
        </mc:AlternateContent>
        <mc:AlternateContent xmlns:mc="http://schemas.openxmlformats.org/markup-compatibility/2006">
          <mc:Choice Requires="x14">
            <control shapeId="87125" r:id="rId44" name="Check Box 85">
              <controlPr defaultSize="0" autoFill="0" autoLine="0" autoPict="0">
                <anchor moveWithCells="1">
                  <from>
                    <xdr:col>3</xdr:col>
                    <xdr:colOff>0</xdr:colOff>
                    <xdr:row>33</xdr:row>
                    <xdr:rowOff>28575</xdr:rowOff>
                  </from>
                  <to>
                    <xdr:col>3</xdr:col>
                    <xdr:colOff>676275</xdr:colOff>
                    <xdr:row>33</xdr:row>
                    <xdr:rowOff>238125</xdr:rowOff>
                  </to>
                </anchor>
              </controlPr>
            </control>
          </mc:Choice>
        </mc:AlternateContent>
        <mc:AlternateContent xmlns:mc="http://schemas.openxmlformats.org/markup-compatibility/2006">
          <mc:Choice Requires="x14">
            <control shapeId="87126" r:id="rId45" name="Check Box 86">
              <controlPr defaultSize="0" autoFill="0" autoLine="0" autoPict="0">
                <anchor moveWithCells="1">
                  <from>
                    <xdr:col>3</xdr:col>
                    <xdr:colOff>0</xdr:colOff>
                    <xdr:row>33</xdr:row>
                    <xdr:rowOff>219075</xdr:rowOff>
                  </from>
                  <to>
                    <xdr:col>3</xdr:col>
                    <xdr:colOff>676275</xdr:colOff>
                    <xdr:row>33</xdr:row>
                    <xdr:rowOff>428625</xdr:rowOff>
                  </to>
                </anchor>
              </controlPr>
            </control>
          </mc:Choice>
        </mc:AlternateContent>
        <mc:AlternateContent xmlns:mc="http://schemas.openxmlformats.org/markup-compatibility/2006">
          <mc:Choice Requires="x14">
            <control shapeId="87127" r:id="rId46" name="Check Box 87">
              <controlPr defaultSize="0" autoFill="0" autoLine="0" autoPict="0">
                <anchor moveWithCells="1">
                  <from>
                    <xdr:col>3</xdr:col>
                    <xdr:colOff>0</xdr:colOff>
                    <xdr:row>34</xdr:row>
                    <xdr:rowOff>28575</xdr:rowOff>
                  </from>
                  <to>
                    <xdr:col>3</xdr:col>
                    <xdr:colOff>676275</xdr:colOff>
                    <xdr:row>34</xdr:row>
                    <xdr:rowOff>238125</xdr:rowOff>
                  </to>
                </anchor>
              </controlPr>
            </control>
          </mc:Choice>
        </mc:AlternateContent>
        <mc:AlternateContent xmlns:mc="http://schemas.openxmlformats.org/markup-compatibility/2006">
          <mc:Choice Requires="x14">
            <control shapeId="87128" r:id="rId47" name="Check Box 88">
              <controlPr defaultSize="0" autoFill="0" autoLine="0" autoPict="0">
                <anchor moveWithCells="1">
                  <from>
                    <xdr:col>3</xdr:col>
                    <xdr:colOff>0</xdr:colOff>
                    <xdr:row>34</xdr:row>
                    <xdr:rowOff>219075</xdr:rowOff>
                  </from>
                  <to>
                    <xdr:col>3</xdr:col>
                    <xdr:colOff>676275</xdr:colOff>
                    <xdr:row>34</xdr:row>
                    <xdr:rowOff>428625</xdr:rowOff>
                  </to>
                </anchor>
              </controlPr>
            </control>
          </mc:Choice>
        </mc:AlternateContent>
        <mc:AlternateContent xmlns:mc="http://schemas.openxmlformats.org/markup-compatibility/2006">
          <mc:Choice Requires="x14">
            <control shapeId="87129" r:id="rId48" name="Check Box 89">
              <controlPr defaultSize="0" autoFill="0" autoLine="0" autoPict="0">
                <anchor moveWithCells="1">
                  <from>
                    <xdr:col>3</xdr:col>
                    <xdr:colOff>0</xdr:colOff>
                    <xdr:row>35</xdr:row>
                    <xdr:rowOff>28575</xdr:rowOff>
                  </from>
                  <to>
                    <xdr:col>3</xdr:col>
                    <xdr:colOff>676275</xdr:colOff>
                    <xdr:row>35</xdr:row>
                    <xdr:rowOff>238125</xdr:rowOff>
                  </to>
                </anchor>
              </controlPr>
            </control>
          </mc:Choice>
        </mc:AlternateContent>
        <mc:AlternateContent xmlns:mc="http://schemas.openxmlformats.org/markup-compatibility/2006">
          <mc:Choice Requires="x14">
            <control shapeId="87130" r:id="rId49" name="Check Box 90">
              <controlPr defaultSize="0" autoFill="0" autoLine="0" autoPict="0">
                <anchor moveWithCells="1">
                  <from>
                    <xdr:col>3</xdr:col>
                    <xdr:colOff>0</xdr:colOff>
                    <xdr:row>35</xdr:row>
                    <xdr:rowOff>219075</xdr:rowOff>
                  </from>
                  <to>
                    <xdr:col>3</xdr:col>
                    <xdr:colOff>676275</xdr:colOff>
                    <xdr:row>35</xdr:row>
                    <xdr:rowOff>428625</xdr:rowOff>
                  </to>
                </anchor>
              </controlPr>
            </control>
          </mc:Choice>
        </mc:AlternateContent>
        <mc:AlternateContent xmlns:mc="http://schemas.openxmlformats.org/markup-compatibility/2006">
          <mc:Choice Requires="x14">
            <control shapeId="87137" r:id="rId50" name="Check Box 97">
              <controlPr defaultSize="0" autoFill="0" autoLine="0" autoPict="0">
                <anchor moveWithCells="1">
                  <from>
                    <xdr:col>3</xdr:col>
                    <xdr:colOff>0</xdr:colOff>
                    <xdr:row>27</xdr:row>
                    <xdr:rowOff>28575</xdr:rowOff>
                  </from>
                  <to>
                    <xdr:col>3</xdr:col>
                    <xdr:colOff>676275</xdr:colOff>
                    <xdr:row>27</xdr:row>
                    <xdr:rowOff>238125</xdr:rowOff>
                  </to>
                </anchor>
              </controlPr>
            </control>
          </mc:Choice>
        </mc:AlternateContent>
        <mc:AlternateContent xmlns:mc="http://schemas.openxmlformats.org/markup-compatibility/2006">
          <mc:Choice Requires="x14">
            <control shapeId="87138" r:id="rId51" name="Check Box 98">
              <controlPr defaultSize="0" autoFill="0" autoLine="0" autoPict="0">
                <anchor moveWithCells="1">
                  <from>
                    <xdr:col>3</xdr:col>
                    <xdr:colOff>0</xdr:colOff>
                    <xdr:row>27</xdr:row>
                    <xdr:rowOff>219075</xdr:rowOff>
                  </from>
                  <to>
                    <xdr:col>3</xdr:col>
                    <xdr:colOff>676275</xdr:colOff>
                    <xdr:row>27</xdr:row>
                    <xdr:rowOff>428625</xdr:rowOff>
                  </to>
                </anchor>
              </controlPr>
            </control>
          </mc:Choice>
        </mc:AlternateContent>
        <mc:AlternateContent xmlns:mc="http://schemas.openxmlformats.org/markup-compatibility/2006">
          <mc:Choice Requires="x14">
            <control shapeId="87141" r:id="rId52" name="Check Box 101">
              <controlPr defaultSize="0" autoFill="0" autoLine="0" autoPict="0">
                <anchor moveWithCells="1">
                  <from>
                    <xdr:col>3</xdr:col>
                    <xdr:colOff>0</xdr:colOff>
                    <xdr:row>29</xdr:row>
                    <xdr:rowOff>28575</xdr:rowOff>
                  </from>
                  <to>
                    <xdr:col>3</xdr:col>
                    <xdr:colOff>676275</xdr:colOff>
                    <xdr:row>29</xdr:row>
                    <xdr:rowOff>238125</xdr:rowOff>
                  </to>
                </anchor>
              </controlPr>
            </control>
          </mc:Choice>
        </mc:AlternateContent>
        <mc:AlternateContent xmlns:mc="http://schemas.openxmlformats.org/markup-compatibility/2006">
          <mc:Choice Requires="x14">
            <control shapeId="87142" r:id="rId53" name="Check Box 102">
              <controlPr defaultSize="0" autoFill="0" autoLine="0" autoPict="0">
                <anchor moveWithCells="1">
                  <from>
                    <xdr:col>3</xdr:col>
                    <xdr:colOff>0</xdr:colOff>
                    <xdr:row>29</xdr:row>
                    <xdr:rowOff>219075</xdr:rowOff>
                  </from>
                  <to>
                    <xdr:col>3</xdr:col>
                    <xdr:colOff>676275</xdr:colOff>
                    <xdr:row>29</xdr:row>
                    <xdr:rowOff>428625</xdr:rowOff>
                  </to>
                </anchor>
              </controlPr>
            </control>
          </mc:Choice>
        </mc:AlternateContent>
        <mc:AlternateContent xmlns:mc="http://schemas.openxmlformats.org/markup-compatibility/2006">
          <mc:Choice Requires="x14">
            <control shapeId="87145" r:id="rId54" name="Check Box 105">
              <controlPr defaultSize="0" autoFill="0" autoLine="0" autoPict="0">
                <anchor moveWithCells="1">
                  <from>
                    <xdr:col>3</xdr:col>
                    <xdr:colOff>0</xdr:colOff>
                    <xdr:row>21</xdr:row>
                    <xdr:rowOff>28575</xdr:rowOff>
                  </from>
                  <to>
                    <xdr:col>3</xdr:col>
                    <xdr:colOff>676275</xdr:colOff>
                    <xdr:row>21</xdr:row>
                    <xdr:rowOff>238125</xdr:rowOff>
                  </to>
                </anchor>
              </controlPr>
            </control>
          </mc:Choice>
        </mc:AlternateContent>
        <mc:AlternateContent xmlns:mc="http://schemas.openxmlformats.org/markup-compatibility/2006">
          <mc:Choice Requires="x14">
            <control shapeId="87146" r:id="rId55" name="Check Box 106">
              <controlPr defaultSize="0" autoFill="0" autoLine="0" autoPict="0">
                <anchor moveWithCells="1">
                  <from>
                    <xdr:col>3</xdr:col>
                    <xdr:colOff>0</xdr:colOff>
                    <xdr:row>21</xdr:row>
                    <xdr:rowOff>219075</xdr:rowOff>
                  </from>
                  <to>
                    <xdr:col>3</xdr:col>
                    <xdr:colOff>676275</xdr:colOff>
                    <xdr:row>21</xdr:row>
                    <xdr:rowOff>428625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2">
    <tabColor rgb="FF00B050"/>
    <pageSetUpPr fitToPage="1"/>
  </sheetPr>
  <dimension ref="A1:AI119"/>
  <sheetViews>
    <sheetView showGridLines="0" zoomScaleNormal="100" workbookViewId="0">
      <selection sqref="A1:E1"/>
    </sheetView>
  </sheetViews>
  <sheetFormatPr defaultRowHeight="18" customHeight="1" x14ac:dyDescent="0.25"/>
  <cols>
    <col min="1" max="1" width="35.7109375" style="574" bestFit="1" customWidth="1"/>
    <col min="2" max="2" width="27.140625" style="574" customWidth="1"/>
    <col min="3" max="3" width="24.28515625" style="574" customWidth="1"/>
    <col min="4" max="4" width="78.28515625" style="574" bestFit="1" customWidth="1"/>
    <col min="5" max="5" width="18.7109375" style="574" customWidth="1"/>
    <col min="6" max="35" width="9.140625" style="18"/>
    <col min="36" max="16384" width="9.140625" style="574"/>
  </cols>
  <sheetData>
    <row r="1" spans="1:35" s="18" customFormat="1" ht="27.75" customHeight="1" thickBot="1" x14ac:dyDescent="0.3">
      <c r="A1" s="1726" t="s">
        <v>66</v>
      </c>
      <c r="B1" s="1726"/>
      <c r="C1" s="1726"/>
      <c r="D1" s="1726"/>
      <c r="E1" s="1726"/>
    </row>
    <row r="2" spans="1:35" ht="18" customHeight="1" thickBot="1" x14ac:dyDescent="0.3">
      <c r="A2" s="558" t="s">
        <v>33</v>
      </c>
      <c r="B2" s="559" t="s">
        <v>1921</v>
      </c>
      <c r="C2" s="559" t="s">
        <v>34</v>
      </c>
      <c r="D2" s="559" t="s">
        <v>35</v>
      </c>
      <c r="E2" s="560" t="s">
        <v>1922</v>
      </c>
      <c r="G2" s="1218" t="s">
        <v>1959</v>
      </c>
      <c r="H2" s="1730"/>
      <c r="I2" s="1730"/>
      <c r="J2" s="1219"/>
    </row>
    <row r="3" spans="1:35" s="575" customFormat="1" ht="18" customHeight="1" x14ac:dyDescent="0.25">
      <c r="A3" s="547" t="s">
        <v>62</v>
      </c>
      <c r="B3" s="548">
        <v>124389</v>
      </c>
      <c r="C3" s="549" t="s">
        <v>1948</v>
      </c>
      <c r="D3" s="549"/>
      <c r="E3" s="561">
        <v>1</v>
      </c>
      <c r="F3" s="188"/>
      <c r="G3" s="1220"/>
      <c r="H3" s="1731"/>
      <c r="I3" s="1731"/>
      <c r="J3" s="1221"/>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row>
    <row r="4" spans="1:35" s="575" customFormat="1" ht="18" customHeight="1" x14ac:dyDescent="0.25">
      <c r="A4" s="550" t="s">
        <v>63</v>
      </c>
      <c r="B4" s="551">
        <v>74828</v>
      </c>
      <c r="C4" s="552" t="s">
        <v>1949</v>
      </c>
      <c r="D4" s="552"/>
      <c r="E4" s="562">
        <v>25</v>
      </c>
      <c r="F4" s="188"/>
      <c r="G4" s="1220"/>
      <c r="H4" s="1731"/>
      <c r="I4" s="1731"/>
      <c r="J4" s="1221"/>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row>
    <row r="5" spans="1:35" s="575" customFormat="1" ht="18" customHeight="1" x14ac:dyDescent="0.25">
      <c r="A5" s="550" t="s">
        <v>64</v>
      </c>
      <c r="B5" s="551">
        <v>10024972</v>
      </c>
      <c r="C5" s="552" t="s">
        <v>1950</v>
      </c>
      <c r="D5" s="552"/>
      <c r="E5" s="562">
        <v>298</v>
      </c>
      <c r="F5" s="188"/>
      <c r="G5" s="1220"/>
      <c r="H5" s="1731"/>
      <c r="I5" s="1731"/>
      <c r="J5" s="1221"/>
      <c r="K5" s="188"/>
      <c r="L5" s="188"/>
      <c r="M5" s="188"/>
      <c r="N5" s="188"/>
      <c r="O5" s="188"/>
      <c r="P5" s="188"/>
      <c r="Q5" s="188"/>
      <c r="R5" s="188"/>
      <c r="S5" s="188"/>
      <c r="T5" s="188"/>
      <c r="U5" s="188"/>
      <c r="V5" s="188"/>
      <c r="W5" s="188"/>
      <c r="X5" s="188"/>
      <c r="Y5" s="188"/>
      <c r="Z5" s="188"/>
      <c r="AA5" s="188"/>
      <c r="AB5" s="188"/>
      <c r="AC5" s="188"/>
      <c r="AD5" s="188"/>
      <c r="AE5" s="188"/>
      <c r="AF5" s="188"/>
      <c r="AG5" s="188"/>
      <c r="AH5" s="188"/>
      <c r="AI5" s="188"/>
    </row>
    <row r="6" spans="1:35" s="575" customFormat="1" ht="18" customHeight="1" x14ac:dyDescent="0.25">
      <c r="A6" s="550" t="s">
        <v>65</v>
      </c>
      <c r="B6" s="551">
        <v>2551624</v>
      </c>
      <c r="C6" s="552" t="s">
        <v>1951</v>
      </c>
      <c r="D6" s="552"/>
      <c r="E6" s="562">
        <v>22800</v>
      </c>
      <c r="F6" s="188"/>
      <c r="G6" s="1220"/>
      <c r="H6" s="1731"/>
      <c r="I6" s="1731"/>
      <c r="J6" s="1221"/>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row>
    <row r="7" spans="1:35" s="575" customFormat="1" ht="18" customHeight="1" x14ac:dyDescent="0.25">
      <c r="A7" s="550" t="s">
        <v>2127</v>
      </c>
      <c r="B7" s="551">
        <v>373808</v>
      </c>
      <c r="C7" s="552" t="s">
        <v>1957</v>
      </c>
      <c r="D7" s="552"/>
      <c r="E7" s="562">
        <v>17700</v>
      </c>
      <c r="F7" s="188"/>
      <c r="G7" s="1220"/>
      <c r="H7" s="1731"/>
      <c r="I7" s="1731"/>
      <c r="J7" s="1221"/>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row>
    <row r="8" spans="1:35" s="575" customFormat="1" ht="18" customHeight="1" thickBot="1" x14ac:dyDescent="0.3">
      <c r="A8" s="550" t="s">
        <v>2128</v>
      </c>
      <c r="B8" s="551">
        <v>7783542</v>
      </c>
      <c r="C8" s="552" t="s">
        <v>1958</v>
      </c>
      <c r="D8" s="552"/>
      <c r="E8" s="562">
        <v>17200</v>
      </c>
      <c r="F8" s="188"/>
      <c r="G8" s="1222"/>
      <c r="H8" s="1732"/>
      <c r="I8" s="1732"/>
      <c r="J8" s="1223"/>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row>
    <row r="9" spans="1:35" s="575" customFormat="1" ht="18" customHeight="1" thickBot="1" x14ac:dyDescent="0.3">
      <c r="A9" s="550" t="s">
        <v>2129</v>
      </c>
      <c r="B9" s="551">
        <v>26675467</v>
      </c>
      <c r="C9" s="552" t="s">
        <v>1979</v>
      </c>
      <c r="D9" s="552" t="s">
        <v>1980</v>
      </c>
      <c r="E9" s="562">
        <v>350</v>
      </c>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row>
    <row r="10" spans="1:35" s="575" customFormat="1" ht="30.75" customHeight="1" x14ac:dyDescent="0.25">
      <c r="A10" s="573" t="s">
        <v>2130</v>
      </c>
      <c r="B10" s="551" t="s">
        <v>2027</v>
      </c>
      <c r="C10" s="552" t="s">
        <v>2028</v>
      </c>
      <c r="D10" s="552"/>
      <c r="E10" s="562">
        <v>73</v>
      </c>
      <c r="F10" s="188"/>
      <c r="G10" s="1218" t="s">
        <v>2167</v>
      </c>
      <c r="H10" s="1730"/>
      <c r="I10" s="1730"/>
      <c r="J10" s="1219"/>
      <c r="K10" s="188"/>
      <c r="L10" s="188"/>
      <c r="M10" s="188"/>
      <c r="N10" s="188"/>
      <c r="O10" s="188"/>
      <c r="P10" s="188"/>
      <c r="Q10" s="188"/>
      <c r="R10" s="188"/>
      <c r="S10" s="188"/>
      <c r="T10" s="188"/>
      <c r="U10" s="188"/>
      <c r="V10" s="188"/>
      <c r="W10" s="188"/>
      <c r="X10" s="188"/>
      <c r="Y10" s="188"/>
      <c r="Z10" s="188"/>
      <c r="AA10" s="188"/>
      <c r="AB10" s="188"/>
      <c r="AC10" s="188"/>
      <c r="AD10" s="188"/>
      <c r="AE10" s="188"/>
      <c r="AF10" s="188"/>
      <c r="AG10" s="188"/>
      <c r="AH10" s="188"/>
      <c r="AI10" s="188"/>
    </row>
    <row r="11" spans="1:35" s="575" customFormat="1" ht="18" customHeight="1" x14ac:dyDescent="0.25">
      <c r="A11" s="550" t="s">
        <v>2131</v>
      </c>
      <c r="B11" s="551">
        <v>920661</v>
      </c>
      <c r="C11" s="552" t="s">
        <v>2029</v>
      </c>
      <c r="D11" s="552"/>
      <c r="E11" s="562">
        <v>195</v>
      </c>
      <c r="F11" s="188"/>
      <c r="G11" s="1220"/>
      <c r="H11" s="1731"/>
      <c r="I11" s="1731"/>
      <c r="J11" s="1221"/>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188"/>
      <c r="AI11" s="188"/>
    </row>
    <row r="12" spans="1:35" s="575" customFormat="1" ht="18" customHeight="1" x14ac:dyDescent="0.25">
      <c r="A12" s="550" t="s">
        <v>2132</v>
      </c>
      <c r="B12" s="551">
        <v>422059</v>
      </c>
      <c r="C12" s="552" t="s">
        <v>2030</v>
      </c>
      <c r="D12" s="552"/>
      <c r="E12" s="562">
        <v>42</v>
      </c>
      <c r="F12" s="188"/>
      <c r="G12" s="1220"/>
      <c r="H12" s="1731"/>
      <c r="I12" s="1731"/>
      <c r="J12" s="1221"/>
      <c r="K12" s="188"/>
      <c r="L12" s="188"/>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row>
    <row r="13" spans="1:35" s="575" customFormat="1" ht="18" customHeight="1" thickBot="1" x14ac:dyDescent="0.3">
      <c r="A13" s="569" t="s">
        <v>2133</v>
      </c>
      <c r="B13" s="570" t="s">
        <v>2027</v>
      </c>
      <c r="C13" s="565" t="s">
        <v>2031</v>
      </c>
      <c r="D13" s="571" t="s">
        <v>2026</v>
      </c>
      <c r="E13" s="572">
        <v>10300</v>
      </c>
      <c r="F13" s="188"/>
      <c r="G13" s="1220"/>
      <c r="H13" s="1731"/>
      <c r="I13" s="1731"/>
      <c r="J13" s="1221"/>
      <c r="K13" s="188"/>
      <c r="L13" s="188"/>
      <c r="M13" s="188"/>
      <c r="N13" s="188"/>
      <c r="O13" s="188"/>
      <c r="P13" s="188"/>
      <c r="Q13" s="188"/>
      <c r="R13" s="188"/>
      <c r="S13" s="188"/>
      <c r="T13" s="188"/>
      <c r="U13" s="188"/>
      <c r="V13" s="188"/>
      <c r="W13" s="188"/>
      <c r="X13" s="188"/>
      <c r="Y13" s="188"/>
      <c r="Z13" s="188"/>
      <c r="AA13" s="188"/>
      <c r="AB13" s="188"/>
      <c r="AC13" s="188"/>
      <c r="AD13" s="188"/>
      <c r="AE13" s="188"/>
      <c r="AF13" s="188"/>
      <c r="AG13" s="188"/>
      <c r="AH13" s="188"/>
      <c r="AI13" s="188"/>
    </row>
    <row r="14" spans="1:35" s="18" customFormat="1" ht="9.9499999999999993" customHeight="1" thickBot="1" x14ac:dyDescent="0.3">
      <c r="G14" s="1220"/>
      <c r="H14" s="1731"/>
      <c r="I14" s="1731"/>
      <c r="J14" s="1221"/>
    </row>
    <row r="15" spans="1:35" ht="18" customHeight="1" thickBot="1" x14ac:dyDescent="0.3">
      <c r="A15" s="1727" t="s">
        <v>31</v>
      </c>
      <c r="B15" s="1728"/>
      <c r="C15" s="1728"/>
      <c r="D15" s="1728"/>
      <c r="E15" s="1729"/>
      <c r="G15" s="1220"/>
      <c r="H15" s="1731"/>
      <c r="I15" s="1731"/>
      <c r="J15" s="1221"/>
    </row>
    <row r="16" spans="1:35" ht="18" customHeight="1" thickBot="1" x14ac:dyDescent="0.3">
      <c r="A16" s="558" t="s">
        <v>33</v>
      </c>
      <c r="B16" s="559" t="s">
        <v>1921</v>
      </c>
      <c r="C16" s="559" t="s">
        <v>34</v>
      </c>
      <c r="D16" s="559" t="s">
        <v>35</v>
      </c>
      <c r="E16" s="560" t="s">
        <v>1922</v>
      </c>
      <c r="G16" s="1220"/>
      <c r="H16" s="1731"/>
      <c r="I16" s="1731"/>
      <c r="J16" s="1221"/>
    </row>
    <row r="17" spans="1:35" s="575" customFormat="1" ht="18" customHeight="1" thickBot="1" x14ac:dyDescent="0.3">
      <c r="A17" s="547" t="s">
        <v>1961</v>
      </c>
      <c r="B17" s="548">
        <v>75730</v>
      </c>
      <c r="C17" s="549" t="s">
        <v>1942</v>
      </c>
      <c r="D17" s="549" t="s">
        <v>1960</v>
      </c>
      <c r="E17" s="561">
        <v>7390</v>
      </c>
      <c r="F17" s="188"/>
      <c r="G17" s="1222"/>
      <c r="H17" s="1732"/>
      <c r="I17" s="1732"/>
      <c r="J17" s="1223"/>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row>
    <row r="18" spans="1:35" s="575" customFormat="1" ht="18" customHeight="1" x14ac:dyDescent="0.25">
      <c r="A18" s="550" t="s">
        <v>1962</v>
      </c>
      <c r="B18" s="551">
        <v>76164</v>
      </c>
      <c r="C18" s="552" t="s">
        <v>1943</v>
      </c>
      <c r="D18" s="552" t="s">
        <v>1963</v>
      </c>
      <c r="E18" s="562">
        <v>12200</v>
      </c>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row>
    <row r="19" spans="1:35" s="575" customFormat="1" ht="18" customHeight="1" x14ac:dyDescent="0.25">
      <c r="A19" s="550" t="s">
        <v>1964</v>
      </c>
      <c r="B19" s="551">
        <v>76197</v>
      </c>
      <c r="C19" s="552" t="s">
        <v>1944</v>
      </c>
      <c r="D19" s="552" t="s">
        <v>1965</v>
      </c>
      <c r="E19" s="562">
        <v>8830</v>
      </c>
      <c r="F19" s="188"/>
      <c r="G19" s="188"/>
      <c r="H19" s="188"/>
      <c r="I19" s="188"/>
      <c r="J19" s="188"/>
      <c r="K19" s="188"/>
      <c r="L19" s="188"/>
      <c r="M19" s="188"/>
      <c r="N19" s="188"/>
      <c r="O19" s="188"/>
      <c r="P19" s="188"/>
      <c r="Q19" s="188"/>
      <c r="R19" s="188"/>
      <c r="S19" s="188"/>
      <c r="T19" s="188"/>
      <c r="U19" s="188"/>
      <c r="V19" s="188"/>
      <c r="W19" s="188"/>
      <c r="X19" s="188"/>
      <c r="Y19" s="188"/>
      <c r="Z19" s="188"/>
      <c r="AA19" s="188"/>
      <c r="AB19" s="188"/>
      <c r="AC19" s="188"/>
      <c r="AD19" s="188"/>
      <c r="AE19" s="188"/>
      <c r="AF19" s="188"/>
      <c r="AG19" s="188"/>
      <c r="AH19" s="188"/>
      <c r="AI19" s="188"/>
    </row>
    <row r="20" spans="1:35" s="575" customFormat="1" ht="18" customHeight="1" x14ac:dyDescent="0.25">
      <c r="A20" s="550" t="s">
        <v>1966</v>
      </c>
      <c r="B20" s="551">
        <v>931919</v>
      </c>
      <c r="C20" s="552" t="s">
        <v>1967</v>
      </c>
      <c r="D20" s="552"/>
      <c r="E20" s="562">
        <v>17340</v>
      </c>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row>
    <row r="21" spans="1:35" s="575" customFormat="1" ht="18" customHeight="1" x14ac:dyDescent="0.25">
      <c r="A21" s="550" t="s">
        <v>1968</v>
      </c>
      <c r="B21" s="551">
        <v>355259</v>
      </c>
      <c r="C21" s="552" t="s">
        <v>1945</v>
      </c>
      <c r="D21" s="552" t="s">
        <v>1969</v>
      </c>
      <c r="E21" s="562">
        <v>8860</v>
      </c>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row>
    <row r="22" spans="1:35" s="575" customFormat="1" ht="18" customHeight="1" x14ac:dyDescent="0.25">
      <c r="A22" s="550" t="s">
        <v>1970</v>
      </c>
      <c r="B22" s="551">
        <v>115253</v>
      </c>
      <c r="C22" s="552" t="s">
        <v>1971</v>
      </c>
      <c r="D22" s="553" t="s">
        <v>1972</v>
      </c>
      <c r="E22" s="567">
        <v>10300</v>
      </c>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row>
    <row r="23" spans="1:35" s="575" customFormat="1" ht="18" customHeight="1" x14ac:dyDescent="0.25">
      <c r="A23" s="554" t="s">
        <v>1975</v>
      </c>
      <c r="B23" s="555">
        <v>678262</v>
      </c>
      <c r="C23" s="552" t="s">
        <v>1946</v>
      </c>
      <c r="D23" s="553" t="s">
        <v>1973</v>
      </c>
      <c r="E23" s="567">
        <v>9160</v>
      </c>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row>
    <row r="24" spans="1:35" s="575" customFormat="1" ht="18" customHeight="1" x14ac:dyDescent="0.25">
      <c r="A24" s="550" t="s">
        <v>1976</v>
      </c>
      <c r="B24" s="551">
        <v>355420</v>
      </c>
      <c r="C24" s="552" t="s">
        <v>1947</v>
      </c>
      <c r="D24" s="552" t="s">
        <v>1974</v>
      </c>
      <c r="E24" s="562">
        <v>9300</v>
      </c>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row>
    <row r="25" spans="1:35" s="575" customFormat="1" ht="18" customHeight="1" thickBot="1" x14ac:dyDescent="0.3">
      <c r="A25" s="569" t="s">
        <v>1977</v>
      </c>
      <c r="B25" s="570">
        <v>306945</v>
      </c>
      <c r="C25" s="565" t="s">
        <v>1978</v>
      </c>
      <c r="D25" s="571"/>
      <c r="E25" s="572">
        <v>7500</v>
      </c>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row>
    <row r="26" spans="1:35" s="18" customFormat="1" ht="9.9499999999999993" customHeight="1" thickBot="1" x14ac:dyDescent="0.3"/>
    <row r="27" spans="1:35" ht="18" customHeight="1" thickBot="1" x14ac:dyDescent="0.3">
      <c r="A27" s="1727" t="s">
        <v>32</v>
      </c>
      <c r="B27" s="1728"/>
      <c r="C27" s="1728"/>
      <c r="D27" s="1728"/>
      <c r="E27" s="1729"/>
    </row>
    <row r="28" spans="1:35" ht="18" customHeight="1" thickBot="1" x14ac:dyDescent="0.3">
      <c r="A28" s="558" t="s">
        <v>33</v>
      </c>
      <c r="B28" s="559" t="s">
        <v>1921</v>
      </c>
      <c r="C28" s="559" t="s">
        <v>34</v>
      </c>
      <c r="D28" s="559" t="s">
        <v>35</v>
      </c>
      <c r="E28" s="560" t="s">
        <v>1922</v>
      </c>
    </row>
    <row r="29" spans="1:35" s="575" customFormat="1" ht="18" customHeight="1" x14ac:dyDescent="0.25">
      <c r="A29" s="547" t="s">
        <v>39</v>
      </c>
      <c r="B29" s="548">
        <v>75467</v>
      </c>
      <c r="C29" s="549" t="s">
        <v>1928</v>
      </c>
      <c r="D29" s="549" t="s">
        <v>36</v>
      </c>
      <c r="E29" s="561">
        <v>14800</v>
      </c>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row>
    <row r="30" spans="1:35" s="575" customFormat="1" ht="18" customHeight="1" x14ac:dyDescent="0.25">
      <c r="A30" s="550" t="s">
        <v>40</v>
      </c>
      <c r="B30" s="551">
        <v>75105</v>
      </c>
      <c r="C30" s="552" t="s">
        <v>1929</v>
      </c>
      <c r="D30" s="552" t="s">
        <v>37</v>
      </c>
      <c r="E30" s="562">
        <v>675</v>
      </c>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row>
    <row r="31" spans="1:35" s="575" customFormat="1" ht="18" customHeight="1" x14ac:dyDescent="0.25">
      <c r="A31" s="550" t="s">
        <v>41</v>
      </c>
      <c r="B31" s="551">
        <v>593533</v>
      </c>
      <c r="C31" s="552" t="s">
        <v>1930</v>
      </c>
      <c r="D31" s="552" t="s">
        <v>38</v>
      </c>
      <c r="E31" s="562">
        <v>92</v>
      </c>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row>
    <row r="32" spans="1:35" s="575" customFormat="1" ht="18" customHeight="1" x14ac:dyDescent="0.25">
      <c r="A32" s="550" t="s">
        <v>43</v>
      </c>
      <c r="B32" s="551">
        <v>354336</v>
      </c>
      <c r="C32" s="552" t="s">
        <v>1931</v>
      </c>
      <c r="D32" s="552" t="s">
        <v>52</v>
      </c>
      <c r="E32" s="562">
        <v>3500</v>
      </c>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row>
    <row r="33" spans="1:35" s="575" customFormat="1" ht="18" customHeight="1" x14ac:dyDescent="0.25">
      <c r="A33" s="550" t="s">
        <v>44</v>
      </c>
      <c r="B33" s="551">
        <v>359353</v>
      </c>
      <c r="C33" s="552" t="s">
        <v>1932</v>
      </c>
      <c r="D33" s="552" t="s">
        <v>45</v>
      </c>
      <c r="E33" s="562">
        <v>1100</v>
      </c>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row>
    <row r="34" spans="1:35" s="575" customFormat="1" ht="18" customHeight="1" x14ac:dyDescent="0.25">
      <c r="A34" s="550" t="s">
        <v>46</v>
      </c>
      <c r="B34" s="551">
        <v>811972</v>
      </c>
      <c r="C34" s="552" t="s">
        <v>1933</v>
      </c>
      <c r="D34" s="552" t="s">
        <v>53</v>
      </c>
      <c r="E34" s="562">
        <v>1430</v>
      </c>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188"/>
      <c r="AI34" s="188"/>
    </row>
    <row r="35" spans="1:35" s="575" customFormat="1" ht="18" customHeight="1" x14ac:dyDescent="0.25">
      <c r="A35" s="550" t="s">
        <v>57</v>
      </c>
      <c r="B35" s="551">
        <v>430660</v>
      </c>
      <c r="C35" s="552" t="s">
        <v>1934</v>
      </c>
      <c r="D35" s="552" t="s">
        <v>58</v>
      </c>
      <c r="E35" s="562">
        <v>353</v>
      </c>
      <c r="F35" s="188"/>
      <c r="G35" s="188"/>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row>
    <row r="36" spans="1:35" s="575" customFormat="1" ht="18" customHeight="1" x14ac:dyDescent="0.25">
      <c r="A36" s="550" t="s">
        <v>48</v>
      </c>
      <c r="B36" s="551">
        <v>420462</v>
      </c>
      <c r="C36" s="552" t="s">
        <v>1934</v>
      </c>
      <c r="D36" s="552" t="s">
        <v>55</v>
      </c>
      <c r="E36" s="562">
        <v>4470</v>
      </c>
      <c r="F36" s="188"/>
      <c r="G36" s="188"/>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row>
    <row r="37" spans="1:35" s="575" customFormat="1" ht="18" customHeight="1" x14ac:dyDescent="0.25">
      <c r="A37" s="550" t="s">
        <v>1923</v>
      </c>
      <c r="B37" s="551">
        <v>624726</v>
      </c>
      <c r="C37" s="552" t="s">
        <v>1935</v>
      </c>
      <c r="D37" s="552"/>
      <c r="E37" s="562">
        <v>53</v>
      </c>
      <c r="F37" s="188"/>
      <c r="G37" s="188"/>
      <c r="H37" s="188"/>
      <c r="I37" s="188"/>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188"/>
      <c r="AH37" s="188"/>
      <c r="AI37" s="188"/>
    </row>
    <row r="38" spans="1:35" s="575" customFormat="1" ht="18" customHeight="1" x14ac:dyDescent="0.25">
      <c r="A38" s="550" t="s">
        <v>47</v>
      </c>
      <c r="B38" s="551">
        <v>75376</v>
      </c>
      <c r="C38" s="552" t="s">
        <v>1936</v>
      </c>
      <c r="D38" s="552" t="s">
        <v>54</v>
      </c>
      <c r="E38" s="562">
        <v>124</v>
      </c>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8"/>
      <c r="AH38" s="188"/>
      <c r="AI38" s="188"/>
    </row>
    <row r="39" spans="1:35" s="575" customFormat="1" ht="18" customHeight="1" x14ac:dyDescent="0.25">
      <c r="A39" s="550" t="s">
        <v>1924</v>
      </c>
      <c r="B39" s="551">
        <v>353366</v>
      </c>
      <c r="C39" s="552" t="s">
        <v>1937</v>
      </c>
      <c r="D39" s="552"/>
      <c r="E39" s="562">
        <v>12</v>
      </c>
      <c r="F39" s="188"/>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88"/>
      <c r="AE39" s="188"/>
      <c r="AF39" s="188"/>
      <c r="AG39" s="188"/>
      <c r="AH39" s="188"/>
      <c r="AI39" s="188"/>
    </row>
    <row r="40" spans="1:35" s="575" customFormat="1" ht="18" customHeight="1" x14ac:dyDescent="0.25">
      <c r="A40" s="550" t="s">
        <v>49</v>
      </c>
      <c r="B40" s="551">
        <v>431890</v>
      </c>
      <c r="C40" s="552" t="s">
        <v>1938</v>
      </c>
      <c r="D40" s="552" t="s">
        <v>56</v>
      </c>
      <c r="E40" s="562">
        <v>3220</v>
      </c>
      <c r="F40" s="188"/>
      <c r="G40" s="188"/>
      <c r="H40" s="188"/>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row>
    <row r="41" spans="1:35" s="575" customFormat="1" ht="18" customHeight="1" x14ac:dyDescent="0.25">
      <c r="A41" s="550" t="s">
        <v>1925</v>
      </c>
      <c r="B41" s="551">
        <v>677565</v>
      </c>
      <c r="C41" s="552" t="s">
        <v>1939</v>
      </c>
      <c r="D41" s="552"/>
      <c r="E41" s="562">
        <v>1340</v>
      </c>
      <c r="F41" s="188"/>
      <c r="G41" s="188"/>
      <c r="H41" s="188"/>
      <c r="I41" s="188"/>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row>
    <row r="42" spans="1:35" s="575" customFormat="1" ht="18" customHeight="1" x14ac:dyDescent="0.25">
      <c r="A42" s="550" t="s">
        <v>1926</v>
      </c>
      <c r="B42" s="551">
        <v>431630</v>
      </c>
      <c r="C42" s="552" t="s">
        <v>1927</v>
      </c>
      <c r="D42" s="552"/>
      <c r="E42" s="562">
        <v>1370</v>
      </c>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row>
    <row r="43" spans="1:35" s="575" customFormat="1" ht="18" customHeight="1" x14ac:dyDescent="0.25">
      <c r="A43" s="550" t="s">
        <v>50</v>
      </c>
      <c r="B43" s="551">
        <v>690391</v>
      </c>
      <c r="C43" s="552" t="s">
        <v>1940</v>
      </c>
      <c r="D43" s="552" t="s">
        <v>59</v>
      </c>
      <c r="E43" s="562">
        <v>9810</v>
      </c>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row>
    <row r="44" spans="1:35" s="575" customFormat="1" ht="18" customHeight="1" x14ac:dyDescent="0.25">
      <c r="A44" s="550" t="s">
        <v>60</v>
      </c>
      <c r="B44" s="551">
        <v>679867</v>
      </c>
      <c r="C44" s="552" t="s">
        <v>1941</v>
      </c>
      <c r="D44" s="552" t="s">
        <v>61</v>
      </c>
      <c r="E44" s="562">
        <v>693</v>
      </c>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row>
    <row r="45" spans="1:35" s="575" customFormat="1" ht="18" customHeight="1" x14ac:dyDescent="0.25">
      <c r="A45" s="556" t="s">
        <v>1952</v>
      </c>
      <c r="B45" s="557">
        <v>460731</v>
      </c>
      <c r="C45" s="552" t="s">
        <v>1953</v>
      </c>
      <c r="D45" s="552"/>
      <c r="E45" s="568">
        <v>1030</v>
      </c>
      <c r="F45" s="188"/>
      <c r="G45" s="188"/>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row>
    <row r="46" spans="1:35" s="575" customFormat="1" ht="18" customHeight="1" x14ac:dyDescent="0.25">
      <c r="A46" s="556" t="s">
        <v>1954</v>
      </c>
      <c r="B46" s="557">
        <v>406586</v>
      </c>
      <c r="C46" s="552" t="s">
        <v>1955</v>
      </c>
      <c r="D46" s="552"/>
      <c r="E46" s="568">
        <v>794</v>
      </c>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row>
    <row r="47" spans="1:35" s="575" customFormat="1" ht="18" customHeight="1" thickBot="1" x14ac:dyDescent="0.3">
      <c r="A47" s="563" t="s">
        <v>42</v>
      </c>
      <c r="B47" s="564">
        <v>138495428</v>
      </c>
      <c r="C47" s="565" t="s">
        <v>1956</v>
      </c>
      <c r="D47" s="565" t="s">
        <v>51</v>
      </c>
      <c r="E47" s="566">
        <v>1640</v>
      </c>
      <c r="F47" s="188"/>
      <c r="G47" s="188"/>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c r="AE47" s="188"/>
      <c r="AF47" s="188"/>
      <c r="AG47" s="188"/>
      <c r="AH47" s="188"/>
      <c r="AI47" s="188"/>
    </row>
    <row r="48" spans="1:35" s="18" customFormat="1" ht="9.9499999999999993" customHeight="1" thickBot="1" x14ac:dyDescent="0.3"/>
    <row r="49" spans="1:35" s="18" customFormat="1" ht="18" customHeight="1" thickBot="1" x14ac:dyDescent="0.3">
      <c r="A49" s="1727" t="s">
        <v>1981</v>
      </c>
      <c r="B49" s="1728"/>
      <c r="C49" s="1728"/>
      <c r="D49" s="1728"/>
      <c r="E49" s="1729"/>
    </row>
    <row r="50" spans="1:35" s="18" customFormat="1" ht="18" customHeight="1" thickBot="1" x14ac:dyDescent="0.3">
      <c r="A50" s="558" t="s">
        <v>33</v>
      </c>
      <c r="B50" s="559" t="s">
        <v>1921</v>
      </c>
      <c r="C50" s="559" t="s">
        <v>34</v>
      </c>
      <c r="D50" s="559" t="s">
        <v>35</v>
      </c>
      <c r="E50" s="560" t="s">
        <v>1922</v>
      </c>
    </row>
    <row r="51" spans="1:35" s="575" customFormat="1" ht="18" customHeight="1" x14ac:dyDescent="0.25">
      <c r="A51" s="547" t="s">
        <v>2135</v>
      </c>
      <c r="B51" s="548" t="s">
        <v>1982</v>
      </c>
      <c r="C51" s="549" t="s">
        <v>1983</v>
      </c>
      <c r="D51" s="549" t="s">
        <v>1984</v>
      </c>
      <c r="E51" s="561">
        <v>1870</v>
      </c>
      <c r="F51" s="188"/>
      <c r="G51" s="188"/>
      <c r="H51" s="188"/>
      <c r="I51" s="188"/>
      <c r="J51" s="188"/>
      <c r="K51" s="188"/>
      <c r="L51" s="188"/>
      <c r="M51" s="188"/>
      <c r="N51" s="188"/>
      <c r="O51" s="188"/>
      <c r="P51" s="188"/>
      <c r="Q51" s="188"/>
      <c r="R51" s="188"/>
      <c r="S51" s="188"/>
      <c r="T51" s="188"/>
      <c r="U51" s="188"/>
      <c r="V51" s="188"/>
      <c r="W51" s="188"/>
      <c r="X51" s="188"/>
      <c r="Y51" s="188"/>
      <c r="Z51" s="188"/>
      <c r="AA51" s="188"/>
      <c r="AB51" s="188"/>
      <c r="AC51" s="188"/>
      <c r="AD51" s="188"/>
      <c r="AE51" s="188"/>
      <c r="AF51" s="188"/>
      <c r="AG51" s="188"/>
      <c r="AH51" s="188"/>
      <c r="AI51" s="188"/>
    </row>
    <row r="52" spans="1:35" s="575" customFormat="1" ht="18" customHeight="1" x14ac:dyDescent="0.25">
      <c r="A52" s="556" t="s">
        <v>2134</v>
      </c>
      <c r="B52" s="557">
        <v>3822682</v>
      </c>
      <c r="C52" s="552" t="s">
        <v>1985</v>
      </c>
      <c r="D52" s="552"/>
      <c r="E52" s="568">
        <v>14900</v>
      </c>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row>
    <row r="53" spans="1:35" s="575" customFormat="1" ht="18" customHeight="1" x14ac:dyDescent="0.25">
      <c r="A53" s="556" t="s">
        <v>2136</v>
      </c>
      <c r="B53" s="557">
        <v>1691174</v>
      </c>
      <c r="C53" s="552" t="s">
        <v>1988</v>
      </c>
      <c r="D53" s="552"/>
      <c r="E53" s="568">
        <v>6320</v>
      </c>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row>
    <row r="54" spans="1:35" s="575" customFormat="1" ht="18" customHeight="1" x14ac:dyDescent="0.25">
      <c r="A54" s="556" t="s">
        <v>2137</v>
      </c>
      <c r="B54" s="557">
        <v>421147</v>
      </c>
      <c r="C54" s="552" t="s">
        <v>1989</v>
      </c>
      <c r="D54" s="552"/>
      <c r="E54" s="568">
        <v>756</v>
      </c>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8"/>
      <c r="AH54" s="188"/>
      <c r="AI54" s="188"/>
    </row>
    <row r="55" spans="1:35" s="575" customFormat="1" ht="18" customHeight="1" x14ac:dyDescent="0.25">
      <c r="A55" s="556" t="s">
        <v>2138</v>
      </c>
      <c r="B55" s="557">
        <v>2356629</v>
      </c>
      <c r="C55" s="552" t="s">
        <v>1990</v>
      </c>
      <c r="D55" s="552"/>
      <c r="E55" s="568">
        <v>1540</v>
      </c>
      <c r="F55" s="188"/>
      <c r="G55" s="188"/>
      <c r="H55" s="188"/>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188"/>
      <c r="AI55" s="188"/>
    </row>
    <row r="56" spans="1:35" s="575" customFormat="1" ht="18" customHeight="1" x14ac:dyDescent="0.25">
      <c r="A56" s="556" t="s">
        <v>2139</v>
      </c>
      <c r="B56" s="557">
        <v>78522471</v>
      </c>
      <c r="C56" s="552" t="s">
        <v>1991</v>
      </c>
      <c r="D56" s="552" t="s">
        <v>1992</v>
      </c>
      <c r="E56" s="568">
        <v>2800</v>
      </c>
      <c r="F56" s="188"/>
      <c r="G56" s="188"/>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row>
    <row r="57" spans="1:35" s="575" customFormat="1" ht="18" customHeight="1" x14ac:dyDescent="0.25">
      <c r="A57" s="556" t="s">
        <v>2140</v>
      </c>
      <c r="B57" s="557">
        <v>57041675</v>
      </c>
      <c r="C57" s="552" t="s">
        <v>1993</v>
      </c>
      <c r="D57" s="552" t="s">
        <v>1994</v>
      </c>
      <c r="E57" s="568">
        <v>989</v>
      </c>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row>
    <row r="58" spans="1:35" s="575" customFormat="1" ht="18" customHeight="1" x14ac:dyDescent="0.25">
      <c r="A58" s="556" t="s">
        <v>2141</v>
      </c>
      <c r="B58" s="557">
        <v>20193673</v>
      </c>
      <c r="C58" s="552" t="s">
        <v>1995</v>
      </c>
      <c r="D58" s="552"/>
      <c r="E58" s="568">
        <v>487</v>
      </c>
      <c r="F58" s="188"/>
      <c r="G58" s="188"/>
      <c r="H58" s="188"/>
      <c r="I58" s="188"/>
      <c r="J58" s="188"/>
      <c r="K58" s="188"/>
      <c r="L58" s="188"/>
      <c r="M58" s="188"/>
      <c r="N58" s="188"/>
      <c r="O58" s="188"/>
      <c r="P58" s="188"/>
      <c r="Q58" s="188"/>
      <c r="R58" s="188"/>
      <c r="S58" s="188"/>
      <c r="T58" s="188"/>
      <c r="U58" s="188"/>
      <c r="V58" s="188"/>
      <c r="W58" s="188"/>
      <c r="X58" s="188"/>
      <c r="Y58" s="188"/>
      <c r="Z58" s="188"/>
      <c r="AA58" s="188"/>
      <c r="AB58" s="188"/>
      <c r="AC58" s="188"/>
      <c r="AD58" s="188"/>
      <c r="AE58" s="188"/>
      <c r="AF58" s="188"/>
      <c r="AG58" s="188"/>
      <c r="AH58" s="188"/>
      <c r="AI58" s="188"/>
    </row>
    <row r="59" spans="1:35" s="575" customFormat="1" ht="18" customHeight="1" x14ac:dyDescent="0.25">
      <c r="A59" s="556" t="s">
        <v>2142</v>
      </c>
      <c r="B59" s="557">
        <v>22410442</v>
      </c>
      <c r="C59" s="552" t="s">
        <v>1996</v>
      </c>
      <c r="D59" s="552"/>
      <c r="E59" s="568">
        <v>708</v>
      </c>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row>
    <row r="60" spans="1:35" s="575" customFormat="1" ht="18" customHeight="1" x14ac:dyDescent="0.25">
      <c r="A60" s="556" t="s">
        <v>2143</v>
      </c>
      <c r="B60" s="557">
        <v>84011154</v>
      </c>
      <c r="C60" s="552" t="s">
        <v>1997</v>
      </c>
      <c r="D60" s="552"/>
      <c r="E60" s="568">
        <v>286</v>
      </c>
      <c r="F60" s="188"/>
      <c r="G60" s="188"/>
      <c r="H60" s="188"/>
      <c r="I60" s="188"/>
      <c r="J60" s="188"/>
      <c r="K60" s="188"/>
      <c r="L60" s="188"/>
      <c r="M60" s="188"/>
      <c r="N60" s="188"/>
      <c r="O60" s="188"/>
      <c r="P60" s="188"/>
      <c r="Q60" s="188"/>
      <c r="R60" s="188"/>
      <c r="S60" s="188"/>
      <c r="T60" s="188"/>
      <c r="U60" s="188"/>
      <c r="V60" s="188"/>
      <c r="W60" s="188"/>
      <c r="X60" s="188"/>
      <c r="Y60" s="188"/>
      <c r="Z60" s="188"/>
      <c r="AA60" s="188"/>
      <c r="AB60" s="188"/>
      <c r="AC60" s="188"/>
      <c r="AD60" s="188"/>
      <c r="AE60" s="188"/>
      <c r="AF60" s="188"/>
      <c r="AG60" s="188"/>
      <c r="AH60" s="188"/>
      <c r="AI60" s="188"/>
    </row>
    <row r="61" spans="1:35" s="575" customFormat="1" ht="18" customHeight="1" x14ac:dyDescent="0.25">
      <c r="A61" s="556" t="s">
        <v>2144</v>
      </c>
      <c r="B61" s="557">
        <v>1885489</v>
      </c>
      <c r="C61" s="552" t="s">
        <v>1998</v>
      </c>
      <c r="D61" s="552"/>
      <c r="E61" s="568">
        <v>659</v>
      </c>
      <c r="F61" s="188"/>
      <c r="G61" s="188"/>
      <c r="H61" s="188"/>
      <c r="I61" s="188"/>
      <c r="J61" s="188"/>
      <c r="K61" s="188"/>
      <c r="L61" s="188"/>
      <c r="M61" s="188"/>
      <c r="N61" s="188"/>
      <c r="O61" s="188"/>
      <c r="P61" s="188"/>
      <c r="Q61" s="188"/>
      <c r="R61" s="188"/>
      <c r="S61" s="188"/>
      <c r="T61" s="188"/>
      <c r="U61" s="188"/>
      <c r="V61" s="188"/>
      <c r="W61" s="188"/>
      <c r="X61" s="188"/>
      <c r="Y61" s="188"/>
      <c r="Z61" s="188"/>
      <c r="AA61" s="188"/>
      <c r="AB61" s="188"/>
      <c r="AC61" s="188"/>
      <c r="AD61" s="188"/>
      <c r="AE61" s="188"/>
      <c r="AF61" s="188"/>
      <c r="AG61" s="188"/>
      <c r="AH61" s="188"/>
      <c r="AI61" s="188"/>
    </row>
    <row r="62" spans="1:35" s="575" customFormat="1" ht="18" customHeight="1" x14ac:dyDescent="0.25">
      <c r="A62" s="556" t="s">
        <v>2145</v>
      </c>
      <c r="B62" s="557">
        <v>425887</v>
      </c>
      <c r="C62" s="552" t="s">
        <v>1999</v>
      </c>
      <c r="D62" s="552"/>
      <c r="E62" s="568">
        <v>359</v>
      </c>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8"/>
      <c r="AH62" s="188"/>
      <c r="AI62" s="188"/>
    </row>
    <row r="63" spans="1:35" s="575" customFormat="1" ht="18" customHeight="1" x14ac:dyDescent="0.25">
      <c r="A63" s="556" t="s">
        <v>2146</v>
      </c>
      <c r="B63" s="557">
        <v>460435</v>
      </c>
      <c r="C63" s="552" t="s">
        <v>2000</v>
      </c>
      <c r="D63" s="552"/>
      <c r="E63" s="568">
        <v>11</v>
      </c>
      <c r="F63" s="188"/>
      <c r="G63" s="188"/>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row>
    <row r="64" spans="1:35" s="575" customFormat="1" ht="18" customHeight="1" x14ac:dyDescent="0.25">
      <c r="A64" s="556" t="s">
        <v>2147</v>
      </c>
      <c r="B64" s="557">
        <v>134769214</v>
      </c>
      <c r="C64" s="552" t="s">
        <v>2001</v>
      </c>
      <c r="D64" s="552"/>
      <c r="E64" s="568">
        <v>919</v>
      </c>
      <c r="F64" s="188"/>
      <c r="G64" s="188"/>
      <c r="H64" s="188"/>
      <c r="I64" s="188"/>
      <c r="J64" s="188"/>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188"/>
      <c r="AI64" s="188"/>
    </row>
    <row r="65" spans="1:35" s="575" customFormat="1" ht="18" customHeight="1" x14ac:dyDescent="0.25">
      <c r="A65" s="556" t="s">
        <v>2148</v>
      </c>
      <c r="B65" s="557">
        <v>156053882</v>
      </c>
      <c r="C65" s="552" t="s">
        <v>2002</v>
      </c>
      <c r="D65" s="552"/>
      <c r="E65" s="568">
        <v>552</v>
      </c>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c r="AD65" s="188"/>
      <c r="AE65" s="188"/>
      <c r="AF65" s="188"/>
      <c r="AG65" s="188"/>
      <c r="AH65" s="188"/>
      <c r="AI65" s="188"/>
    </row>
    <row r="66" spans="1:35" s="575" customFormat="1" ht="18" customHeight="1" x14ac:dyDescent="0.25">
      <c r="A66" s="556" t="s">
        <v>2149</v>
      </c>
      <c r="B66" s="557">
        <v>188690780</v>
      </c>
      <c r="C66" s="552" t="s">
        <v>2003</v>
      </c>
      <c r="D66" s="552" t="s">
        <v>2004</v>
      </c>
      <c r="E66" s="568">
        <v>1500</v>
      </c>
      <c r="F66" s="188"/>
      <c r="G66" s="188"/>
      <c r="H66" s="188"/>
      <c r="I66" s="188"/>
      <c r="J66" s="188"/>
      <c r="K66" s="188"/>
      <c r="L66" s="188"/>
      <c r="M66" s="188"/>
      <c r="N66" s="188"/>
      <c r="O66" s="188"/>
      <c r="P66" s="188"/>
      <c r="Q66" s="188"/>
      <c r="R66" s="188"/>
      <c r="S66" s="188"/>
      <c r="T66" s="188"/>
      <c r="U66" s="188"/>
      <c r="V66" s="188"/>
      <c r="W66" s="188"/>
      <c r="X66" s="188"/>
      <c r="Y66" s="188"/>
      <c r="Z66" s="188"/>
      <c r="AA66" s="188"/>
      <c r="AB66" s="188"/>
      <c r="AC66" s="188"/>
      <c r="AD66" s="188"/>
      <c r="AE66" s="188"/>
      <c r="AF66" s="188"/>
      <c r="AG66" s="188"/>
      <c r="AH66" s="188"/>
      <c r="AI66" s="188"/>
    </row>
    <row r="67" spans="1:35" s="575" customFormat="1" ht="18" customHeight="1" x14ac:dyDescent="0.25">
      <c r="A67" s="556" t="s">
        <v>2150</v>
      </c>
      <c r="B67" s="557">
        <v>375031</v>
      </c>
      <c r="C67" s="552" t="s">
        <v>2005</v>
      </c>
      <c r="D67" s="552" t="s">
        <v>2014</v>
      </c>
      <c r="E67" s="568">
        <v>575</v>
      </c>
      <c r="F67" s="188"/>
      <c r="G67" s="188"/>
      <c r="H67" s="188"/>
      <c r="I67" s="188"/>
      <c r="J67" s="188"/>
      <c r="K67" s="188"/>
      <c r="L67" s="188"/>
      <c r="M67" s="188"/>
      <c r="N67" s="188"/>
      <c r="O67" s="188"/>
      <c r="P67" s="188"/>
      <c r="Q67" s="188"/>
      <c r="R67" s="188"/>
      <c r="S67" s="188"/>
      <c r="T67" s="188"/>
      <c r="U67" s="188"/>
      <c r="V67" s="188"/>
      <c r="W67" s="188"/>
      <c r="X67" s="188"/>
      <c r="Y67" s="188"/>
      <c r="Z67" s="188"/>
      <c r="AA67" s="188"/>
      <c r="AB67" s="188"/>
      <c r="AC67" s="188"/>
      <c r="AD67" s="188"/>
      <c r="AE67" s="188"/>
      <c r="AF67" s="188"/>
      <c r="AG67" s="188"/>
      <c r="AH67" s="188"/>
      <c r="AI67" s="188"/>
    </row>
    <row r="68" spans="1:35" s="575" customFormat="1" ht="18" customHeight="1" x14ac:dyDescent="0.25">
      <c r="A68" s="556" t="s">
        <v>2151</v>
      </c>
      <c r="B68" s="557">
        <v>171182959</v>
      </c>
      <c r="C68" s="552" t="s">
        <v>2006</v>
      </c>
      <c r="D68" s="552"/>
      <c r="E68" s="568">
        <v>374</v>
      </c>
      <c r="F68" s="188"/>
      <c r="G68" s="188"/>
      <c r="H68" s="188"/>
      <c r="I68" s="188"/>
      <c r="J68" s="188"/>
      <c r="K68" s="188"/>
      <c r="L68" s="188"/>
      <c r="M68" s="188"/>
      <c r="N68" s="188"/>
      <c r="O68" s="188"/>
      <c r="P68" s="188"/>
      <c r="Q68" s="188"/>
      <c r="R68" s="188"/>
      <c r="S68" s="188"/>
      <c r="T68" s="188"/>
      <c r="U68" s="188"/>
      <c r="V68" s="188"/>
      <c r="W68" s="188"/>
      <c r="X68" s="188"/>
      <c r="Y68" s="188"/>
      <c r="Z68" s="188"/>
      <c r="AA68" s="188"/>
      <c r="AB68" s="188"/>
      <c r="AC68" s="188"/>
      <c r="AD68" s="188"/>
      <c r="AE68" s="188"/>
      <c r="AF68" s="188"/>
      <c r="AG68" s="188"/>
      <c r="AH68" s="188"/>
      <c r="AI68" s="188"/>
    </row>
    <row r="69" spans="1:35" s="575" customFormat="1" ht="18" customHeight="1" x14ac:dyDescent="0.25">
      <c r="A69" s="556" t="s">
        <v>2152</v>
      </c>
      <c r="B69" s="557">
        <v>406780</v>
      </c>
      <c r="C69" s="552" t="s">
        <v>2007</v>
      </c>
      <c r="D69" s="552"/>
      <c r="E69" s="568">
        <v>580</v>
      </c>
      <c r="F69" s="188"/>
      <c r="G69" s="188"/>
      <c r="H69" s="188"/>
      <c r="I69" s="188"/>
      <c r="J69" s="188"/>
      <c r="K69" s="188"/>
      <c r="L69" s="188"/>
      <c r="M69" s="188"/>
      <c r="N69" s="188"/>
      <c r="O69" s="188"/>
      <c r="P69" s="188"/>
      <c r="Q69" s="188"/>
      <c r="R69" s="188"/>
      <c r="S69" s="188"/>
      <c r="T69" s="188"/>
      <c r="U69" s="188"/>
      <c r="V69" s="188"/>
      <c r="W69" s="188"/>
      <c r="X69" s="188"/>
      <c r="Y69" s="188"/>
      <c r="Z69" s="188"/>
      <c r="AA69" s="188"/>
      <c r="AB69" s="188"/>
      <c r="AC69" s="188"/>
      <c r="AD69" s="188"/>
      <c r="AE69" s="188"/>
      <c r="AF69" s="188"/>
      <c r="AG69" s="188"/>
      <c r="AH69" s="188"/>
      <c r="AI69" s="188"/>
    </row>
    <row r="70" spans="1:35" s="575" customFormat="1" ht="18" customHeight="1" x14ac:dyDescent="0.25">
      <c r="A70" s="556" t="s">
        <v>2153</v>
      </c>
      <c r="B70" s="557">
        <v>382343</v>
      </c>
      <c r="C70" s="552" t="s">
        <v>2008</v>
      </c>
      <c r="D70" s="552"/>
      <c r="E70" s="568">
        <v>101</v>
      </c>
      <c r="F70" s="188"/>
      <c r="G70" s="188"/>
      <c r="H70" s="188"/>
      <c r="I70" s="188"/>
      <c r="J70" s="188"/>
      <c r="K70" s="188"/>
      <c r="L70" s="188"/>
      <c r="M70" s="188"/>
      <c r="N70" s="188"/>
      <c r="O70" s="188"/>
      <c r="P70" s="188"/>
      <c r="Q70" s="188"/>
      <c r="R70" s="188"/>
      <c r="S70" s="188"/>
      <c r="T70" s="188"/>
      <c r="U70" s="188"/>
      <c r="V70" s="188"/>
      <c r="W70" s="188"/>
      <c r="X70" s="188"/>
      <c r="Y70" s="188"/>
      <c r="Z70" s="188"/>
      <c r="AA70" s="188"/>
      <c r="AB70" s="188"/>
      <c r="AC70" s="188"/>
      <c r="AD70" s="188"/>
      <c r="AE70" s="188"/>
      <c r="AF70" s="188"/>
      <c r="AG70" s="188"/>
      <c r="AH70" s="188"/>
      <c r="AI70" s="188"/>
    </row>
    <row r="71" spans="1:35" s="575" customFormat="1" ht="18" customHeight="1" x14ac:dyDescent="0.25">
      <c r="A71" s="556" t="s">
        <v>2154</v>
      </c>
      <c r="B71" s="557">
        <v>160620202</v>
      </c>
      <c r="C71" s="552" t="s">
        <v>2009</v>
      </c>
      <c r="D71" s="552"/>
      <c r="E71" s="568">
        <v>110</v>
      </c>
      <c r="F71" s="188"/>
      <c r="G71" s="188"/>
      <c r="H71" s="188"/>
      <c r="I71" s="188"/>
      <c r="J71" s="188"/>
      <c r="K71" s="188"/>
      <c r="L71" s="188"/>
      <c r="M71" s="188"/>
      <c r="N71" s="188"/>
      <c r="O71" s="188"/>
      <c r="P71" s="188"/>
      <c r="Q71" s="188"/>
      <c r="R71" s="188"/>
      <c r="S71" s="188"/>
      <c r="T71" s="188"/>
      <c r="U71" s="188"/>
      <c r="V71" s="188"/>
      <c r="W71" s="188"/>
      <c r="X71" s="188"/>
      <c r="Y71" s="188"/>
      <c r="Z71" s="188"/>
      <c r="AA71" s="188"/>
      <c r="AB71" s="188"/>
      <c r="AC71" s="188"/>
      <c r="AD71" s="188"/>
      <c r="AE71" s="188"/>
      <c r="AF71" s="188"/>
      <c r="AG71" s="188"/>
      <c r="AH71" s="188"/>
      <c r="AI71" s="188"/>
    </row>
    <row r="72" spans="1:35" s="575" customFormat="1" ht="18" customHeight="1" x14ac:dyDescent="0.25">
      <c r="A72" s="556" t="s">
        <v>2155</v>
      </c>
      <c r="B72" s="557">
        <v>50807777</v>
      </c>
      <c r="C72" s="552" t="s">
        <v>2010</v>
      </c>
      <c r="D72" s="552"/>
      <c r="E72" s="568">
        <v>265</v>
      </c>
      <c r="F72" s="188"/>
      <c r="G72" s="188"/>
      <c r="H72" s="188"/>
      <c r="I72" s="188"/>
      <c r="J72" s="188"/>
      <c r="K72" s="188"/>
      <c r="L72" s="188"/>
      <c r="M72" s="188"/>
      <c r="N72" s="188"/>
      <c r="O72" s="188"/>
      <c r="P72" s="188"/>
      <c r="Q72" s="188"/>
      <c r="R72" s="188"/>
      <c r="S72" s="188"/>
      <c r="T72" s="188"/>
      <c r="U72" s="188"/>
      <c r="V72" s="188"/>
      <c r="W72" s="188"/>
      <c r="X72" s="188"/>
      <c r="Y72" s="188"/>
      <c r="Z72" s="188"/>
      <c r="AA72" s="188"/>
      <c r="AB72" s="188"/>
      <c r="AC72" s="188"/>
      <c r="AD72" s="188"/>
      <c r="AE72" s="188"/>
      <c r="AF72" s="188"/>
      <c r="AG72" s="188"/>
      <c r="AH72" s="188"/>
      <c r="AI72" s="188"/>
    </row>
    <row r="73" spans="1:35" s="575" customFormat="1" ht="18" customHeight="1" x14ac:dyDescent="0.25">
      <c r="A73" s="556" t="s">
        <v>2156</v>
      </c>
      <c r="B73" s="557">
        <v>35042990</v>
      </c>
      <c r="C73" s="552" t="s">
        <v>2011</v>
      </c>
      <c r="D73" s="552"/>
      <c r="E73" s="568">
        <v>502</v>
      </c>
      <c r="F73" s="188"/>
      <c r="G73" s="188"/>
      <c r="H73" s="188"/>
      <c r="I73" s="188"/>
      <c r="J73" s="188"/>
      <c r="K73" s="188"/>
      <c r="L73" s="188"/>
      <c r="M73" s="188"/>
      <c r="N73" s="188"/>
      <c r="O73" s="188"/>
      <c r="P73" s="188"/>
      <c r="Q73" s="188"/>
      <c r="R73" s="188"/>
      <c r="S73" s="188"/>
      <c r="T73" s="188"/>
      <c r="U73" s="188"/>
      <c r="V73" s="188"/>
      <c r="W73" s="188"/>
      <c r="X73" s="188"/>
      <c r="Y73" s="188"/>
      <c r="Z73" s="188"/>
      <c r="AA73" s="188"/>
      <c r="AB73" s="188"/>
      <c r="AC73" s="188"/>
      <c r="AD73" s="188"/>
      <c r="AE73" s="188"/>
      <c r="AF73" s="188"/>
      <c r="AG73" s="188"/>
      <c r="AH73" s="188"/>
      <c r="AI73" s="188"/>
    </row>
    <row r="74" spans="1:35" s="575" customFormat="1" ht="18" customHeight="1" x14ac:dyDescent="0.25">
      <c r="A74" s="556" t="s">
        <v>2157</v>
      </c>
      <c r="B74" s="557">
        <v>378165</v>
      </c>
      <c r="C74" s="552" t="s">
        <v>2012</v>
      </c>
      <c r="D74" s="552"/>
      <c r="E74" s="568">
        <v>11</v>
      </c>
      <c r="F74" s="188"/>
      <c r="G74" s="188"/>
      <c r="H74" s="188"/>
      <c r="I74" s="188"/>
      <c r="J74" s="188"/>
      <c r="K74" s="188"/>
      <c r="L74" s="188"/>
      <c r="M74" s="188"/>
      <c r="N74" s="188"/>
      <c r="O74" s="188"/>
      <c r="P74" s="188"/>
      <c r="Q74" s="188"/>
      <c r="R74" s="188"/>
      <c r="S74" s="188"/>
      <c r="T74" s="188"/>
      <c r="U74" s="188"/>
      <c r="V74" s="188"/>
      <c r="W74" s="188"/>
      <c r="X74" s="188"/>
      <c r="Y74" s="188"/>
      <c r="Z74" s="188"/>
      <c r="AA74" s="188"/>
      <c r="AB74" s="188"/>
      <c r="AC74" s="188"/>
      <c r="AD74" s="188"/>
      <c r="AE74" s="188"/>
      <c r="AF74" s="188"/>
      <c r="AG74" s="188"/>
      <c r="AH74" s="188"/>
      <c r="AI74" s="188"/>
    </row>
    <row r="75" spans="1:35" s="575" customFormat="1" ht="18" customHeight="1" x14ac:dyDescent="0.25">
      <c r="A75" s="556" t="s">
        <v>2158</v>
      </c>
      <c r="B75" s="557">
        <v>512516</v>
      </c>
      <c r="C75" s="552" t="s">
        <v>2013</v>
      </c>
      <c r="D75" s="552"/>
      <c r="E75" s="568">
        <v>557</v>
      </c>
      <c r="F75" s="188"/>
      <c r="G75" s="188"/>
      <c r="H75" s="188"/>
      <c r="I75" s="188"/>
      <c r="J75" s="188"/>
      <c r="K75" s="188"/>
      <c r="L75" s="188"/>
      <c r="M75" s="188"/>
      <c r="N75" s="188"/>
      <c r="O75" s="188"/>
      <c r="P75" s="188"/>
      <c r="Q75" s="188"/>
      <c r="R75" s="188"/>
      <c r="S75" s="188"/>
      <c r="T75" s="188"/>
      <c r="U75" s="188"/>
      <c r="V75" s="188"/>
      <c r="W75" s="188"/>
      <c r="X75" s="188"/>
      <c r="Y75" s="188"/>
      <c r="Z75" s="188"/>
      <c r="AA75" s="188"/>
      <c r="AB75" s="188"/>
      <c r="AC75" s="188"/>
      <c r="AD75" s="188"/>
      <c r="AE75" s="188"/>
      <c r="AF75" s="188"/>
      <c r="AG75" s="188"/>
      <c r="AH75" s="188"/>
      <c r="AI75" s="188"/>
    </row>
    <row r="76" spans="1:35" s="575" customFormat="1" ht="18" customHeight="1" x14ac:dyDescent="0.25">
      <c r="A76" s="556" t="s">
        <v>2159</v>
      </c>
      <c r="B76" s="557">
        <v>163702076</v>
      </c>
      <c r="C76" s="552" t="s">
        <v>1987</v>
      </c>
      <c r="D76" s="552" t="s">
        <v>1986</v>
      </c>
      <c r="E76" s="568">
        <v>297</v>
      </c>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8"/>
      <c r="AI76" s="188"/>
    </row>
    <row r="77" spans="1:35" s="575" customFormat="1" ht="18" customHeight="1" x14ac:dyDescent="0.25">
      <c r="A77" s="556" t="s">
        <v>2160</v>
      </c>
      <c r="B77" s="557">
        <v>163702087</v>
      </c>
      <c r="C77" s="552" t="s">
        <v>2015</v>
      </c>
      <c r="D77" s="552" t="s">
        <v>2016</v>
      </c>
      <c r="E77" s="568">
        <v>297</v>
      </c>
      <c r="F77" s="188"/>
      <c r="G77" s="188"/>
      <c r="H77" s="188"/>
      <c r="I77" s="188"/>
      <c r="J77" s="188"/>
      <c r="K77" s="188"/>
      <c r="L77" s="188"/>
      <c r="M77" s="188"/>
      <c r="N77" s="188"/>
      <c r="O77" s="188"/>
      <c r="P77" s="188"/>
      <c r="Q77" s="188"/>
      <c r="R77" s="188"/>
      <c r="S77" s="188"/>
      <c r="T77" s="188"/>
      <c r="U77" s="188"/>
      <c r="V77" s="188"/>
      <c r="W77" s="188"/>
      <c r="X77" s="188"/>
      <c r="Y77" s="188"/>
      <c r="Z77" s="188"/>
      <c r="AA77" s="188"/>
      <c r="AB77" s="188"/>
      <c r="AC77" s="188"/>
      <c r="AD77" s="188"/>
      <c r="AE77" s="188"/>
      <c r="AF77" s="188"/>
      <c r="AG77" s="188"/>
      <c r="AH77" s="188"/>
      <c r="AI77" s="188"/>
    </row>
    <row r="78" spans="1:35" s="575" customFormat="1" ht="18" customHeight="1" x14ac:dyDescent="0.25">
      <c r="A78" s="556" t="s">
        <v>2161</v>
      </c>
      <c r="B78" s="557">
        <v>163702054</v>
      </c>
      <c r="C78" s="552" t="s">
        <v>2019</v>
      </c>
      <c r="D78" s="552" t="s">
        <v>2017</v>
      </c>
      <c r="E78" s="568">
        <v>59</v>
      </c>
      <c r="F78" s="188"/>
      <c r="G78" s="188"/>
      <c r="H78" s="188"/>
      <c r="I78" s="188"/>
      <c r="J78" s="188"/>
      <c r="K78" s="188"/>
      <c r="L78" s="188"/>
      <c r="M78" s="188"/>
      <c r="N78" s="188"/>
      <c r="O78" s="188"/>
      <c r="P78" s="188"/>
      <c r="Q78" s="188"/>
      <c r="R78" s="188"/>
      <c r="S78" s="188"/>
      <c r="T78" s="188"/>
      <c r="U78" s="188"/>
      <c r="V78" s="188"/>
      <c r="W78" s="188"/>
      <c r="X78" s="188"/>
      <c r="Y78" s="188"/>
      <c r="Z78" s="188"/>
      <c r="AA78" s="188"/>
      <c r="AB78" s="188"/>
      <c r="AC78" s="188"/>
      <c r="AD78" s="188"/>
      <c r="AE78" s="188"/>
      <c r="AF78" s="188"/>
      <c r="AG78" s="188"/>
      <c r="AH78" s="188"/>
      <c r="AI78" s="188"/>
    </row>
    <row r="79" spans="1:35" s="575" customFormat="1" ht="18" customHeight="1" x14ac:dyDescent="0.25">
      <c r="A79" s="556" t="s">
        <v>2162</v>
      </c>
      <c r="B79" s="557">
        <v>163702065</v>
      </c>
      <c r="C79" s="552" t="s">
        <v>2020</v>
      </c>
      <c r="D79" s="552" t="s">
        <v>2018</v>
      </c>
      <c r="E79" s="568">
        <v>59</v>
      </c>
      <c r="F79" s="188"/>
      <c r="G79" s="188"/>
      <c r="H79" s="188"/>
      <c r="I79" s="188"/>
      <c r="J79" s="188"/>
      <c r="K79" s="188"/>
      <c r="L79" s="188"/>
      <c r="M79" s="188"/>
      <c r="N79" s="188"/>
      <c r="O79" s="188"/>
      <c r="P79" s="188"/>
      <c r="Q79" s="188"/>
      <c r="R79" s="188"/>
      <c r="S79" s="188"/>
      <c r="T79" s="188"/>
      <c r="U79" s="188"/>
      <c r="V79" s="188"/>
      <c r="W79" s="188"/>
      <c r="X79" s="188"/>
      <c r="Y79" s="188"/>
      <c r="Z79" s="188"/>
      <c r="AA79" s="188"/>
      <c r="AB79" s="188"/>
      <c r="AC79" s="188"/>
      <c r="AD79" s="188"/>
      <c r="AE79" s="188"/>
      <c r="AF79" s="188"/>
      <c r="AG79" s="188"/>
      <c r="AH79" s="188"/>
      <c r="AI79" s="188"/>
    </row>
    <row r="80" spans="1:35" s="575" customFormat="1" ht="18" customHeight="1" x14ac:dyDescent="0.25">
      <c r="A80" s="556" t="s">
        <v>2163</v>
      </c>
      <c r="B80" s="557">
        <v>28523866</v>
      </c>
      <c r="C80" s="552" t="s">
        <v>2021</v>
      </c>
      <c r="D80" s="552" t="s">
        <v>2022</v>
      </c>
      <c r="E80" s="568">
        <v>345</v>
      </c>
      <c r="F80" s="188"/>
      <c r="G80" s="188"/>
      <c r="H80" s="188"/>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188"/>
      <c r="AG80" s="188"/>
      <c r="AH80" s="188"/>
      <c r="AI80" s="188"/>
    </row>
    <row r="81" spans="1:35" s="575" customFormat="1" ht="18" customHeight="1" x14ac:dyDescent="0.25">
      <c r="A81" s="556" t="s">
        <v>2164</v>
      </c>
      <c r="B81" s="557">
        <v>13171181</v>
      </c>
      <c r="C81" s="552" t="s">
        <v>2023</v>
      </c>
      <c r="D81" s="552"/>
      <c r="E81" s="568">
        <v>27</v>
      </c>
      <c r="F81" s="188"/>
      <c r="G81" s="188"/>
      <c r="H81" s="188"/>
      <c r="I81" s="188"/>
      <c r="J81" s="188"/>
      <c r="K81" s="188"/>
      <c r="L81" s="188"/>
      <c r="M81" s="188"/>
      <c r="N81" s="188"/>
      <c r="O81" s="188"/>
      <c r="P81" s="188"/>
      <c r="Q81" s="188"/>
      <c r="R81" s="188"/>
      <c r="S81" s="188"/>
      <c r="T81" s="188"/>
      <c r="U81" s="188"/>
      <c r="V81" s="188"/>
      <c r="W81" s="188"/>
      <c r="X81" s="188"/>
      <c r="Y81" s="188"/>
      <c r="Z81" s="188"/>
      <c r="AA81" s="188"/>
      <c r="AB81" s="188"/>
      <c r="AC81" s="188"/>
      <c r="AD81" s="188"/>
      <c r="AE81" s="188"/>
      <c r="AF81" s="188"/>
      <c r="AG81" s="188"/>
      <c r="AH81" s="188"/>
      <c r="AI81" s="188"/>
    </row>
    <row r="82" spans="1:35" s="575" customFormat="1" ht="18" customHeight="1" x14ac:dyDescent="0.25">
      <c r="A82" s="556" t="s">
        <v>2165</v>
      </c>
      <c r="B82" s="557">
        <v>26103082</v>
      </c>
      <c r="C82" s="552" t="s">
        <v>2024</v>
      </c>
      <c r="D82" s="552"/>
      <c r="E82" s="568">
        <v>380</v>
      </c>
      <c r="F82" s="188"/>
      <c r="G82" s="188"/>
      <c r="H82" s="188"/>
      <c r="I82" s="188"/>
      <c r="J82" s="188"/>
      <c r="K82" s="188"/>
      <c r="L82" s="188"/>
      <c r="M82" s="188"/>
      <c r="N82" s="188"/>
      <c r="O82" s="188"/>
      <c r="P82" s="188"/>
      <c r="Q82" s="188"/>
      <c r="R82" s="188"/>
      <c r="S82" s="188"/>
      <c r="T82" s="188"/>
      <c r="U82" s="188"/>
      <c r="V82" s="188"/>
      <c r="W82" s="188"/>
      <c r="X82" s="188"/>
      <c r="Y82" s="188"/>
      <c r="Z82" s="188"/>
      <c r="AA82" s="188"/>
      <c r="AB82" s="188"/>
      <c r="AC82" s="188"/>
      <c r="AD82" s="188"/>
      <c r="AE82" s="188"/>
      <c r="AF82" s="188"/>
      <c r="AG82" s="188"/>
      <c r="AH82" s="188"/>
      <c r="AI82" s="188"/>
    </row>
    <row r="83" spans="1:35" s="575" customFormat="1" ht="18" customHeight="1" thickBot="1" x14ac:dyDescent="0.3">
      <c r="A83" s="563" t="s">
        <v>2166</v>
      </c>
      <c r="B83" s="564">
        <v>22052842</v>
      </c>
      <c r="C83" s="565" t="s">
        <v>2025</v>
      </c>
      <c r="D83" s="565"/>
      <c r="E83" s="566">
        <v>343</v>
      </c>
      <c r="F83" s="188"/>
      <c r="G83" s="188"/>
      <c r="H83" s="188"/>
      <c r="I83" s="188"/>
      <c r="J83" s="188"/>
      <c r="K83" s="188"/>
      <c r="L83" s="188"/>
      <c r="M83" s="188"/>
      <c r="N83" s="188"/>
      <c r="O83" s="188"/>
      <c r="P83" s="188"/>
      <c r="Q83" s="188"/>
      <c r="R83" s="188"/>
      <c r="S83" s="188"/>
      <c r="T83" s="188"/>
      <c r="U83" s="188"/>
      <c r="V83" s="188"/>
      <c r="W83" s="188"/>
      <c r="X83" s="188"/>
      <c r="Y83" s="188"/>
      <c r="Z83" s="188"/>
      <c r="AA83" s="188"/>
      <c r="AB83" s="188"/>
      <c r="AC83" s="188"/>
      <c r="AD83" s="188"/>
      <c r="AE83" s="188"/>
      <c r="AF83" s="188"/>
      <c r="AG83" s="188"/>
      <c r="AH83" s="188"/>
      <c r="AI83" s="188"/>
    </row>
    <row r="84" spans="1:35" s="18" customFormat="1" ht="18" customHeight="1" x14ac:dyDescent="0.25"/>
    <row r="85" spans="1:35" s="18" customFormat="1" ht="18" customHeight="1" x14ac:dyDescent="0.25"/>
    <row r="86" spans="1:35" s="18" customFormat="1" ht="18" customHeight="1" x14ac:dyDescent="0.25"/>
    <row r="87" spans="1:35" s="18" customFormat="1" ht="18" customHeight="1" x14ac:dyDescent="0.25"/>
    <row r="88" spans="1:35" s="18" customFormat="1" ht="18" customHeight="1" x14ac:dyDescent="0.25"/>
    <row r="89" spans="1:35" s="18" customFormat="1" ht="18" customHeight="1" x14ac:dyDescent="0.25"/>
    <row r="90" spans="1:35" s="18" customFormat="1" ht="18" customHeight="1" x14ac:dyDescent="0.25"/>
    <row r="91" spans="1:35" s="18" customFormat="1" ht="18" customHeight="1" x14ac:dyDescent="0.25"/>
    <row r="92" spans="1:35" s="18" customFormat="1" ht="18" customHeight="1" x14ac:dyDescent="0.25"/>
    <row r="93" spans="1:35" s="18" customFormat="1" ht="18" customHeight="1" x14ac:dyDescent="0.25"/>
    <row r="94" spans="1:35" s="18" customFormat="1" ht="18" customHeight="1" x14ac:dyDescent="0.25"/>
    <row r="95" spans="1:35" s="18" customFormat="1" ht="18" customHeight="1" x14ac:dyDescent="0.25"/>
    <row r="96" spans="1:35" s="18" customFormat="1" ht="18" customHeight="1" x14ac:dyDescent="0.25"/>
    <row r="97" s="18" customFormat="1" ht="18" customHeight="1" x14ac:dyDescent="0.25"/>
    <row r="98" s="18" customFormat="1" ht="18" customHeight="1" x14ac:dyDescent="0.25"/>
    <row r="99" s="18" customFormat="1" ht="18" customHeight="1" x14ac:dyDescent="0.25"/>
    <row r="100" s="18" customFormat="1" ht="18" customHeight="1" x14ac:dyDescent="0.25"/>
    <row r="101" s="18" customFormat="1" ht="18" customHeight="1" x14ac:dyDescent="0.25"/>
    <row r="102" s="18" customFormat="1" ht="18" customHeight="1" x14ac:dyDescent="0.25"/>
    <row r="103" s="18" customFormat="1" ht="18" customHeight="1" x14ac:dyDescent="0.25"/>
    <row r="104" s="18" customFormat="1" ht="18" customHeight="1" x14ac:dyDescent="0.25"/>
    <row r="105" s="18" customFormat="1" ht="18" customHeight="1" x14ac:dyDescent="0.25"/>
    <row r="106" s="18" customFormat="1" ht="18" customHeight="1" x14ac:dyDescent="0.25"/>
    <row r="107" s="18" customFormat="1" ht="18" customHeight="1" x14ac:dyDescent="0.25"/>
    <row r="108" s="18" customFormat="1" ht="18" customHeight="1" x14ac:dyDescent="0.25"/>
    <row r="109" s="18" customFormat="1" ht="18" customHeight="1" x14ac:dyDescent="0.25"/>
    <row r="110" s="18" customFormat="1" ht="18" customHeight="1" x14ac:dyDescent="0.25"/>
    <row r="111" s="18" customFormat="1" ht="18" customHeight="1" x14ac:dyDescent="0.25"/>
    <row r="112" s="18" customFormat="1" ht="18" customHeight="1" x14ac:dyDescent="0.25"/>
    <row r="113" s="18" customFormat="1" ht="18" customHeight="1" x14ac:dyDescent="0.25"/>
    <row r="114" s="18" customFormat="1" ht="18" customHeight="1" x14ac:dyDescent="0.25"/>
    <row r="115" s="18" customFormat="1" ht="18" customHeight="1" x14ac:dyDescent="0.25"/>
    <row r="116" s="18" customFormat="1" ht="18" customHeight="1" x14ac:dyDescent="0.25"/>
    <row r="117" s="18" customFormat="1" ht="18" customHeight="1" x14ac:dyDescent="0.25"/>
    <row r="118" s="18" customFormat="1" ht="18" customHeight="1" x14ac:dyDescent="0.25"/>
    <row r="119" s="18" customFormat="1" ht="18" customHeight="1" x14ac:dyDescent="0.25"/>
  </sheetData>
  <sheetProtection password="CCBE" sheet="1" objects="1" scenarios="1"/>
  <mergeCells count="6">
    <mergeCell ref="A1:E1"/>
    <mergeCell ref="A27:E27"/>
    <mergeCell ref="A15:E15"/>
    <mergeCell ref="G2:J8"/>
    <mergeCell ref="A49:E49"/>
    <mergeCell ref="G10:J17"/>
  </mergeCells>
  <pageMargins left="0.7" right="0.7" top="0.75" bottom="0.75" header="0.3" footer="0.3"/>
  <pageSetup scale="65"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3">
    <tabColor rgb="FF00B050"/>
  </sheetPr>
  <dimension ref="B1:H375"/>
  <sheetViews>
    <sheetView zoomScaleNormal="100" workbookViewId="0">
      <pane ySplit="3" topLeftCell="A4" activePane="bottomLeft" state="frozen"/>
      <selection pane="bottomLeft" activeCell="B1" sqref="B1:H1"/>
    </sheetView>
  </sheetViews>
  <sheetFormatPr defaultRowHeight="12.75" x14ac:dyDescent="0.2"/>
  <cols>
    <col min="1" max="1" width="2.7109375" style="2" customWidth="1"/>
    <col min="2" max="2" width="40.7109375" style="2" customWidth="1"/>
    <col min="3" max="3" width="22.7109375" style="3" customWidth="1"/>
    <col min="4" max="4" width="20.7109375" style="4" customWidth="1"/>
    <col min="5" max="5" width="2.7109375" style="2" customWidth="1"/>
    <col min="6" max="6" width="22.7109375" style="2" customWidth="1"/>
    <col min="7" max="7" width="40.7109375" style="150" customWidth="1"/>
    <col min="8" max="8" width="20.7109375" style="2" customWidth="1"/>
    <col min="9" max="9" width="2.7109375" style="2" customWidth="1"/>
    <col min="10" max="16384" width="9.140625" style="2"/>
  </cols>
  <sheetData>
    <row r="1" spans="2:8" ht="26.25" customHeight="1" x14ac:dyDescent="0.2">
      <c r="B1" s="1734" t="s">
        <v>255</v>
      </c>
      <c r="C1" s="1734"/>
      <c r="D1" s="1734"/>
      <c r="E1" s="1734"/>
      <c r="F1" s="1734"/>
      <c r="G1" s="1734"/>
      <c r="H1" s="1734"/>
    </row>
    <row r="2" spans="2:8" ht="26.25" customHeight="1" thickBot="1" x14ac:dyDescent="0.25">
      <c r="B2" s="1733" t="s">
        <v>1657</v>
      </c>
      <c r="C2" s="1733"/>
      <c r="D2" s="1733"/>
      <c r="F2" s="1733" t="s">
        <v>1658</v>
      </c>
      <c r="G2" s="1733"/>
      <c r="H2" s="1733"/>
    </row>
    <row r="3" spans="2:8" s="5" customFormat="1" ht="16.5" thickBot="1" x14ac:dyDescent="0.3">
      <c r="B3" s="6" t="s">
        <v>70</v>
      </c>
      <c r="C3" s="7" t="s">
        <v>69</v>
      </c>
      <c r="D3" s="8" t="s">
        <v>71</v>
      </c>
      <c r="F3" s="147" t="s">
        <v>69</v>
      </c>
      <c r="G3" s="151" t="s">
        <v>70</v>
      </c>
      <c r="H3" s="8" t="s">
        <v>71</v>
      </c>
    </row>
    <row r="4" spans="2:8" ht="15" x14ac:dyDescent="0.2">
      <c r="B4" s="9" t="s">
        <v>100</v>
      </c>
      <c r="C4" s="10">
        <v>71556</v>
      </c>
      <c r="D4" s="11" t="s">
        <v>73</v>
      </c>
      <c r="F4" s="148">
        <v>171</v>
      </c>
      <c r="G4" s="152" t="s">
        <v>72</v>
      </c>
      <c r="H4" s="11" t="s">
        <v>73</v>
      </c>
    </row>
    <row r="5" spans="2:8" ht="15" x14ac:dyDescent="0.2">
      <c r="B5" s="12" t="s">
        <v>128</v>
      </c>
      <c r="C5" s="13">
        <v>79345</v>
      </c>
      <c r="D5" s="14" t="s">
        <v>75</v>
      </c>
      <c r="F5" s="149">
        <v>50000</v>
      </c>
      <c r="G5" s="153" t="s">
        <v>74</v>
      </c>
      <c r="H5" s="14" t="s">
        <v>75</v>
      </c>
    </row>
    <row r="6" spans="2:8" ht="15" x14ac:dyDescent="0.2">
      <c r="B6" s="9" t="s">
        <v>123</v>
      </c>
      <c r="C6" s="10">
        <v>79005</v>
      </c>
      <c r="D6" s="11" t="s">
        <v>75</v>
      </c>
      <c r="F6" s="148">
        <v>51285</v>
      </c>
      <c r="G6" s="152" t="s">
        <v>76</v>
      </c>
      <c r="H6" s="11" t="s">
        <v>75</v>
      </c>
    </row>
    <row r="7" spans="2:8" ht="15" x14ac:dyDescent="0.2">
      <c r="B7" s="12" t="s">
        <v>113</v>
      </c>
      <c r="C7" s="13">
        <v>75343</v>
      </c>
      <c r="D7" s="14" t="s">
        <v>75</v>
      </c>
      <c r="F7" s="149">
        <v>51796</v>
      </c>
      <c r="G7" s="153" t="s">
        <v>77</v>
      </c>
      <c r="H7" s="14" t="s">
        <v>73</v>
      </c>
    </row>
    <row r="8" spans="2:8" ht="15" x14ac:dyDescent="0.2">
      <c r="B8" s="9" t="s">
        <v>114</v>
      </c>
      <c r="C8" s="10">
        <v>75354</v>
      </c>
      <c r="D8" s="11" t="s">
        <v>75</v>
      </c>
      <c r="F8" s="148">
        <v>53963</v>
      </c>
      <c r="G8" s="152" t="s">
        <v>78</v>
      </c>
      <c r="H8" s="11" t="s">
        <v>75</v>
      </c>
    </row>
    <row r="9" spans="2:8" ht="15" x14ac:dyDescent="0.2">
      <c r="B9" s="12" t="s">
        <v>82</v>
      </c>
      <c r="C9" s="13">
        <v>57147</v>
      </c>
      <c r="D9" s="14" t="s">
        <v>75</v>
      </c>
      <c r="F9" s="149">
        <v>56235</v>
      </c>
      <c r="G9" s="153" t="s">
        <v>79</v>
      </c>
      <c r="H9" s="14" t="s">
        <v>75</v>
      </c>
    </row>
    <row r="10" spans="2:8" ht="15" x14ac:dyDescent="0.2">
      <c r="B10" s="9" t="s">
        <v>196</v>
      </c>
      <c r="C10" s="10">
        <v>120821</v>
      </c>
      <c r="D10" s="11" t="s">
        <v>75</v>
      </c>
      <c r="F10" s="148">
        <v>56382</v>
      </c>
      <c r="G10" s="152" t="s">
        <v>80</v>
      </c>
      <c r="H10" s="11" t="s">
        <v>75</v>
      </c>
    </row>
    <row r="11" spans="2:8" ht="15" x14ac:dyDescent="0.2">
      <c r="B11" s="12" t="s">
        <v>153</v>
      </c>
      <c r="C11" s="13">
        <v>96128</v>
      </c>
      <c r="D11" s="14" t="s">
        <v>75</v>
      </c>
      <c r="F11" s="149">
        <v>57125</v>
      </c>
      <c r="G11" s="153" t="s">
        <v>81</v>
      </c>
      <c r="H11" s="14" t="s">
        <v>73</v>
      </c>
    </row>
    <row r="12" spans="2:8" ht="15" x14ac:dyDescent="0.2">
      <c r="B12" s="9" t="s">
        <v>122</v>
      </c>
      <c r="C12" s="10">
        <v>78875</v>
      </c>
      <c r="D12" s="11" t="s">
        <v>75</v>
      </c>
      <c r="F12" s="148">
        <v>57147</v>
      </c>
      <c r="G12" s="152" t="s">
        <v>82</v>
      </c>
      <c r="H12" s="11" t="s">
        <v>75</v>
      </c>
    </row>
    <row r="13" spans="2:8" ht="15" x14ac:dyDescent="0.2">
      <c r="B13" s="12" t="s">
        <v>200</v>
      </c>
      <c r="C13" s="13">
        <v>122667</v>
      </c>
      <c r="D13" s="14" t="s">
        <v>75</v>
      </c>
      <c r="F13" s="149">
        <v>57578</v>
      </c>
      <c r="G13" s="153" t="s">
        <v>83</v>
      </c>
      <c r="H13" s="14" t="s">
        <v>75</v>
      </c>
    </row>
    <row r="14" spans="2:8" ht="15" x14ac:dyDescent="0.2">
      <c r="B14" s="9" t="s">
        <v>171</v>
      </c>
      <c r="C14" s="10">
        <v>106887</v>
      </c>
      <c r="D14" s="11" t="s">
        <v>75</v>
      </c>
      <c r="F14" s="148">
        <v>57749</v>
      </c>
      <c r="G14" s="152" t="s">
        <v>84</v>
      </c>
      <c r="H14" s="11" t="s">
        <v>75</v>
      </c>
    </row>
    <row r="15" spans="2:8" ht="15" x14ac:dyDescent="0.2">
      <c r="B15" s="12" t="s">
        <v>116</v>
      </c>
      <c r="C15" s="13">
        <v>75558</v>
      </c>
      <c r="D15" s="14" t="s">
        <v>75</v>
      </c>
      <c r="F15" s="149">
        <v>58899</v>
      </c>
      <c r="G15" s="153" t="s">
        <v>85</v>
      </c>
      <c r="H15" s="14" t="s">
        <v>73</v>
      </c>
    </row>
    <row r="16" spans="2:8" ht="15" x14ac:dyDescent="0.2">
      <c r="B16" s="9" t="s">
        <v>174</v>
      </c>
      <c r="C16" s="10">
        <v>106990</v>
      </c>
      <c r="D16" s="11" t="s">
        <v>75</v>
      </c>
      <c r="F16" s="148">
        <v>59892</v>
      </c>
      <c r="G16" s="152" t="s">
        <v>86</v>
      </c>
      <c r="H16" s="11" t="s">
        <v>75</v>
      </c>
    </row>
    <row r="17" spans="2:8" ht="15" x14ac:dyDescent="0.2">
      <c r="B17" s="12" t="s">
        <v>219</v>
      </c>
      <c r="C17" s="13">
        <v>542756</v>
      </c>
      <c r="D17" s="14" t="s">
        <v>75</v>
      </c>
      <c r="F17" s="149">
        <v>60117</v>
      </c>
      <c r="G17" s="153" t="s">
        <v>87</v>
      </c>
      <c r="H17" s="14" t="s">
        <v>75</v>
      </c>
    </row>
    <row r="18" spans="2:8" ht="15" x14ac:dyDescent="0.2">
      <c r="B18" s="9" t="s">
        <v>227</v>
      </c>
      <c r="C18" s="10">
        <v>1120714</v>
      </c>
      <c r="D18" s="11" t="s">
        <v>73</v>
      </c>
      <c r="F18" s="148">
        <v>60344</v>
      </c>
      <c r="G18" s="152" t="s">
        <v>88</v>
      </c>
      <c r="H18" s="11" t="s">
        <v>75</v>
      </c>
    </row>
    <row r="19" spans="2:8" ht="15" x14ac:dyDescent="0.2">
      <c r="B19" s="12" t="s">
        <v>168</v>
      </c>
      <c r="C19" s="13">
        <v>106467</v>
      </c>
      <c r="D19" s="14" t="s">
        <v>75</v>
      </c>
      <c r="F19" s="149">
        <v>60355</v>
      </c>
      <c r="G19" s="153" t="s">
        <v>89</v>
      </c>
      <c r="H19" s="14" t="s">
        <v>75</v>
      </c>
    </row>
    <row r="20" spans="2:8" ht="15" x14ac:dyDescent="0.2">
      <c r="B20" s="9" t="s">
        <v>203</v>
      </c>
      <c r="C20" s="10">
        <v>123911</v>
      </c>
      <c r="D20" s="11" t="s">
        <v>75</v>
      </c>
      <c r="F20" s="148">
        <v>62533</v>
      </c>
      <c r="G20" s="152" t="s">
        <v>90</v>
      </c>
      <c r="H20" s="11" t="s">
        <v>75</v>
      </c>
    </row>
    <row r="21" spans="2:8" ht="15" x14ac:dyDescent="0.2">
      <c r="B21" s="12" t="s">
        <v>218</v>
      </c>
      <c r="C21" s="13">
        <v>540841</v>
      </c>
      <c r="D21" s="14" t="s">
        <v>75</v>
      </c>
      <c r="F21" s="149">
        <v>62737</v>
      </c>
      <c r="G21" s="153" t="s">
        <v>91</v>
      </c>
      <c r="H21" s="14" t="s">
        <v>75</v>
      </c>
    </row>
    <row r="22" spans="2:8" ht="15" x14ac:dyDescent="0.2">
      <c r="B22" s="9" t="s">
        <v>234</v>
      </c>
      <c r="C22" s="10">
        <v>1746016</v>
      </c>
      <c r="D22" s="11" t="s">
        <v>73</v>
      </c>
      <c r="F22" s="148">
        <v>62759</v>
      </c>
      <c r="G22" s="152" t="s">
        <v>92</v>
      </c>
      <c r="H22" s="11" t="s">
        <v>75</v>
      </c>
    </row>
    <row r="23" spans="2:8" ht="15" x14ac:dyDescent="0.2">
      <c r="B23" s="12" t="s">
        <v>151</v>
      </c>
      <c r="C23" s="13">
        <v>95954</v>
      </c>
      <c r="D23" s="14" t="s">
        <v>75</v>
      </c>
      <c r="F23" s="149">
        <v>63252</v>
      </c>
      <c r="G23" s="153" t="s">
        <v>93</v>
      </c>
      <c r="H23" s="14" t="s">
        <v>73</v>
      </c>
    </row>
    <row r="24" spans="2:8" ht="15" x14ac:dyDescent="0.2">
      <c r="B24" s="9" t="s">
        <v>137</v>
      </c>
      <c r="C24" s="10">
        <v>88062</v>
      </c>
      <c r="D24" s="11" t="s">
        <v>75</v>
      </c>
      <c r="F24" s="148">
        <v>64675</v>
      </c>
      <c r="G24" s="152" t="s">
        <v>94</v>
      </c>
      <c r="H24" s="11" t="s">
        <v>75</v>
      </c>
    </row>
    <row r="25" spans="2:8" ht="15" x14ac:dyDescent="0.2">
      <c r="B25" s="12" t="s">
        <v>146</v>
      </c>
      <c r="C25" s="13">
        <v>94757</v>
      </c>
      <c r="D25" s="14" t="s">
        <v>75</v>
      </c>
      <c r="F25" s="149">
        <v>67561</v>
      </c>
      <c r="G25" s="153" t="s">
        <v>95</v>
      </c>
      <c r="H25" s="14" t="s">
        <v>75</v>
      </c>
    </row>
    <row r="26" spans="2:8" ht="15" x14ac:dyDescent="0.2">
      <c r="B26" s="9" t="s">
        <v>76</v>
      </c>
      <c r="C26" s="10">
        <v>51285</v>
      </c>
      <c r="D26" s="11" t="s">
        <v>75</v>
      </c>
      <c r="F26" s="148">
        <v>67663</v>
      </c>
      <c r="G26" s="152" t="s">
        <v>96</v>
      </c>
      <c r="H26" s="11" t="s">
        <v>75</v>
      </c>
    </row>
    <row r="27" spans="2:8" ht="15" x14ac:dyDescent="0.2">
      <c r="B27" s="12" t="s">
        <v>197</v>
      </c>
      <c r="C27" s="13">
        <v>121142</v>
      </c>
      <c r="D27" s="14" t="s">
        <v>75</v>
      </c>
      <c r="F27" s="149">
        <v>67721</v>
      </c>
      <c r="G27" s="153" t="s">
        <v>97</v>
      </c>
      <c r="H27" s="14" t="s">
        <v>73</v>
      </c>
    </row>
    <row r="28" spans="2:8" ht="15" x14ac:dyDescent="0.2">
      <c r="B28" s="9" t="s">
        <v>150</v>
      </c>
      <c r="C28" s="10">
        <v>95807</v>
      </c>
      <c r="D28" s="11" t="s">
        <v>75</v>
      </c>
      <c r="F28" s="148">
        <v>68122</v>
      </c>
      <c r="G28" s="152" t="s">
        <v>98</v>
      </c>
      <c r="H28" s="11" t="s">
        <v>75</v>
      </c>
    </row>
    <row r="29" spans="2:8" ht="15" x14ac:dyDescent="0.2">
      <c r="B29" s="12" t="s">
        <v>221</v>
      </c>
      <c r="C29" s="13">
        <v>584849</v>
      </c>
      <c r="D29" s="14" t="s">
        <v>75</v>
      </c>
      <c r="F29" s="149">
        <v>71432</v>
      </c>
      <c r="G29" s="153" t="s">
        <v>99</v>
      </c>
      <c r="H29" s="14" t="s">
        <v>75</v>
      </c>
    </row>
    <row r="30" spans="2:8" ht="15" x14ac:dyDescent="0.2">
      <c r="B30" s="9" t="s">
        <v>78</v>
      </c>
      <c r="C30" s="10">
        <v>53963</v>
      </c>
      <c r="D30" s="11" t="s">
        <v>75</v>
      </c>
      <c r="F30" s="148">
        <v>71556</v>
      </c>
      <c r="G30" s="152" t="s">
        <v>100</v>
      </c>
      <c r="H30" s="11" t="s">
        <v>73</v>
      </c>
    </row>
    <row r="31" spans="2:8" ht="15" x14ac:dyDescent="0.2">
      <c r="B31" s="12" t="s">
        <v>216</v>
      </c>
      <c r="C31" s="13">
        <v>532274</v>
      </c>
      <c r="D31" s="14" t="s">
        <v>75</v>
      </c>
      <c r="F31" s="149">
        <v>72435</v>
      </c>
      <c r="G31" s="153" t="s">
        <v>101</v>
      </c>
      <c r="H31" s="14" t="s">
        <v>75</v>
      </c>
    </row>
    <row r="32" spans="2:8" ht="15" x14ac:dyDescent="0.2">
      <c r="B32" s="9" t="s">
        <v>130</v>
      </c>
      <c r="C32" s="10">
        <v>79469</v>
      </c>
      <c r="D32" s="11" t="s">
        <v>75</v>
      </c>
      <c r="F32" s="148">
        <v>74839</v>
      </c>
      <c r="G32" s="152" t="s">
        <v>102</v>
      </c>
      <c r="H32" s="11" t="s">
        <v>75</v>
      </c>
    </row>
    <row r="33" spans="2:8" ht="15" x14ac:dyDescent="0.2">
      <c r="B33" s="12" t="s">
        <v>141</v>
      </c>
      <c r="C33" s="13">
        <v>91941</v>
      </c>
      <c r="D33" s="14" t="s">
        <v>75</v>
      </c>
      <c r="F33" s="149">
        <v>74873</v>
      </c>
      <c r="G33" s="153" t="s">
        <v>103</v>
      </c>
      <c r="H33" s="14" t="s">
        <v>75</v>
      </c>
    </row>
    <row r="34" spans="2:8" ht="15" x14ac:dyDescent="0.2">
      <c r="B34" s="9" t="s">
        <v>193</v>
      </c>
      <c r="C34" s="10">
        <v>119904</v>
      </c>
      <c r="D34" s="11" t="s">
        <v>75</v>
      </c>
      <c r="F34" s="148">
        <v>74884</v>
      </c>
      <c r="G34" s="152" t="s">
        <v>104</v>
      </c>
      <c r="H34" s="11" t="s">
        <v>75</v>
      </c>
    </row>
    <row r="35" spans="2:8" ht="15" x14ac:dyDescent="0.2">
      <c r="B35" s="12" t="s">
        <v>194</v>
      </c>
      <c r="C35" s="13">
        <v>119937</v>
      </c>
      <c r="D35" s="14" t="s">
        <v>75</v>
      </c>
      <c r="F35" s="149">
        <v>75003</v>
      </c>
      <c r="G35" s="153" t="s">
        <v>105</v>
      </c>
      <c r="H35" s="14" t="s">
        <v>75</v>
      </c>
    </row>
    <row r="36" spans="2:8" ht="15" x14ac:dyDescent="0.2">
      <c r="B36" s="9" t="s">
        <v>163</v>
      </c>
      <c r="C36" s="10">
        <v>101144</v>
      </c>
      <c r="D36" s="11" t="s">
        <v>73</v>
      </c>
      <c r="F36" s="148">
        <v>75014</v>
      </c>
      <c r="G36" s="152" t="s">
        <v>106</v>
      </c>
      <c r="H36" s="11" t="s">
        <v>75</v>
      </c>
    </row>
    <row r="37" spans="2:8" ht="15" x14ac:dyDescent="0.2">
      <c r="B37" s="12" t="s">
        <v>165</v>
      </c>
      <c r="C37" s="13">
        <v>101779</v>
      </c>
      <c r="D37" s="14" t="s">
        <v>73</v>
      </c>
      <c r="F37" s="149">
        <v>75058</v>
      </c>
      <c r="G37" s="153" t="s">
        <v>107</v>
      </c>
      <c r="H37" s="14" t="s">
        <v>75</v>
      </c>
    </row>
    <row r="38" spans="2:8" ht="15" x14ac:dyDescent="0.2">
      <c r="B38" s="9" t="s">
        <v>217</v>
      </c>
      <c r="C38" s="10">
        <v>534521</v>
      </c>
      <c r="D38" s="11" t="s">
        <v>73</v>
      </c>
      <c r="F38" s="148">
        <v>75070</v>
      </c>
      <c r="G38" s="152" t="s">
        <v>108</v>
      </c>
      <c r="H38" s="11" t="s">
        <v>75</v>
      </c>
    </row>
    <row r="39" spans="2:8" ht="15" x14ac:dyDescent="0.2">
      <c r="B39" s="12" t="s">
        <v>143</v>
      </c>
      <c r="C39" s="13">
        <v>92671</v>
      </c>
      <c r="D39" s="14" t="s">
        <v>75</v>
      </c>
      <c r="F39" s="149">
        <v>75092</v>
      </c>
      <c r="G39" s="153" t="s">
        <v>109</v>
      </c>
      <c r="H39" s="14" t="s">
        <v>73</v>
      </c>
    </row>
    <row r="40" spans="2:8" ht="15" x14ac:dyDescent="0.2">
      <c r="B40" s="9" t="s">
        <v>145</v>
      </c>
      <c r="C40" s="10">
        <v>92933</v>
      </c>
      <c r="D40" s="11" t="s">
        <v>75</v>
      </c>
      <c r="F40" s="148">
        <v>75150</v>
      </c>
      <c r="G40" s="152" t="s">
        <v>110</v>
      </c>
      <c r="H40" s="11" t="s">
        <v>75</v>
      </c>
    </row>
    <row r="41" spans="2:8" ht="15" x14ac:dyDescent="0.2">
      <c r="B41" s="12" t="s">
        <v>159</v>
      </c>
      <c r="C41" s="13">
        <v>100027</v>
      </c>
      <c r="D41" s="14" t="s">
        <v>75</v>
      </c>
      <c r="F41" s="149">
        <v>75218</v>
      </c>
      <c r="G41" s="153" t="s">
        <v>111</v>
      </c>
      <c r="H41" s="14" t="s">
        <v>75</v>
      </c>
    </row>
    <row r="42" spans="2:8" ht="15" x14ac:dyDescent="0.2">
      <c r="B42" s="9" t="s">
        <v>108</v>
      </c>
      <c r="C42" s="10">
        <v>75070</v>
      </c>
      <c r="D42" s="11" t="s">
        <v>75</v>
      </c>
      <c r="F42" s="148">
        <v>75252</v>
      </c>
      <c r="G42" s="152" t="s">
        <v>112</v>
      </c>
      <c r="H42" s="11" t="s">
        <v>75</v>
      </c>
    </row>
    <row r="43" spans="2:8" ht="15" x14ac:dyDescent="0.2">
      <c r="B43" s="12" t="s">
        <v>89</v>
      </c>
      <c r="C43" s="13">
        <v>60355</v>
      </c>
      <c r="D43" s="14" t="s">
        <v>75</v>
      </c>
      <c r="F43" s="149">
        <v>75343</v>
      </c>
      <c r="G43" s="153" t="s">
        <v>113</v>
      </c>
      <c r="H43" s="14" t="s">
        <v>75</v>
      </c>
    </row>
    <row r="44" spans="2:8" ht="15" x14ac:dyDescent="0.2">
      <c r="B44" s="9" t="s">
        <v>107</v>
      </c>
      <c r="C44" s="10">
        <v>75058</v>
      </c>
      <c r="D44" s="11" t="s">
        <v>75</v>
      </c>
      <c r="F44" s="148">
        <v>75354</v>
      </c>
      <c r="G44" s="152" t="s">
        <v>114</v>
      </c>
      <c r="H44" s="11" t="s">
        <v>75</v>
      </c>
    </row>
    <row r="45" spans="2:8" ht="15" x14ac:dyDescent="0.2">
      <c r="B45" s="12" t="s">
        <v>157</v>
      </c>
      <c r="C45" s="13">
        <v>98862</v>
      </c>
      <c r="D45" s="14" t="s">
        <v>75</v>
      </c>
      <c r="F45" s="149">
        <v>75445</v>
      </c>
      <c r="G45" s="153" t="s">
        <v>115</v>
      </c>
      <c r="H45" s="14" t="s">
        <v>75</v>
      </c>
    </row>
    <row r="46" spans="2:8" ht="15" x14ac:dyDescent="0.2">
      <c r="B46" s="9" t="s">
        <v>175</v>
      </c>
      <c r="C46" s="10">
        <v>107028</v>
      </c>
      <c r="D46" s="11" t="s">
        <v>75</v>
      </c>
      <c r="F46" s="148">
        <v>75558</v>
      </c>
      <c r="G46" s="152" t="s">
        <v>116</v>
      </c>
      <c r="H46" s="11" t="s">
        <v>75</v>
      </c>
    </row>
    <row r="47" spans="2:8" ht="15" x14ac:dyDescent="0.2">
      <c r="B47" s="12" t="s">
        <v>125</v>
      </c>
      <c r="C47" s="13">
        <v>79061</v>
      </c>
      <c r="D47" s="14" t="s">
        <v>75</v>
      </c>
      <c r="F47" s="149">
        <v>75569</v>
      </c>
      <c r="G47" s="153" t="s">
        <v>117</v>
      </c>
      <c r="H47" s="14" t="s">
        <v>75</v>
      </c>
    </row>
    <row r="48" spans="2:8" ht="15" x14ac:dyDescent="0.2">
      <c r="B48" s="9" t="s">
        <v>126</v>
      </c>
      <c r="C48" s="10">
        <v>79107</v>
      </c>
      <c r="D48" s="11" t="s">
        <v>75</v>
      </c>
      <c r="F48" s="148">
        <v>76448</v>
      </c>
      <c r="G48" s="152" t="s">
        <v>118</v>
      </c>
      <c r="H48" s="11" t="s">
        <v>75</v>
      </c>
    </row>
    <row r="49" spans="2:8" ht="15" x14ac:dyDescent="0.2">
      <c r="B49" s="12" t="s">
        <v>178</v>
      </c>
      <c r="C49" s="13">
        <v>107131</v>
      </c>
      <c r="D49" s="14" t="s">
        <v>75</v>
      </c>
      <c r="F49" s="149">
        <v>77474</v>
      </c>
      <c r="G49" s="153" t="s">
        <v>119</v>
      </c>
      <c r="H49" s="14" t="s">
        <v>75</v>
      </c>
    </row>
    <row r="50" spans="2:8" ht="15" x14ac:dyDescent="0.2">
      <c r="B50" s="9" t="s">
        <v>176</v>
      </c>
      <c r="C50" s="10">
        <v>107051</v>
      </c>
      <c r="D50" s="11" t="s">
        <v>75</v>
      </c>
      <c r="F50" s="148">
        <v>77781</v>
      </c>
      <c r="G50" s="152" t="s">
        <v>120</v>
      </c>
      <c r="H50" s="11" t="s">
        <v>75</v>
      </c>
    </row>
    <row r="51" spans="2:8" ht="15" x14ac:dyDescent="0.2">
      <c r="B51" s="12" t="s">
        <v>90</v>
      </c>
      <c r="C51" s="13">
        <v>62533</v>
      </c>
      <c r="D51" s="14" t="s">
        <v>75</v>
      </c>
      <c r="F51" s="149">
        <v>78591</v>
      </c>
      <c r="G51" s="153" t="s">
        <v>121</v>
      </c>
      <c r="H51" s="14" t="s">
        <v>75</v>
      </c>
    </row>
    <row r="52" spans="2:8" ht="15" x14ac:dyDescent="0.2">
      <c r="B52" s="9" t="s">
        <v>240</v>
      </c>
      <c r="C52" s="10">
        <v>7440360</v>
      </c>
      <c r="D52" s="11" t="s">
        <v>73</v>
      </c>
      <c r="F52" s="148">
        <v>78875</v>
      </c>
      <c r="G52" s="152" t="s">
        <v>122</v>
      </c>
      <c r="H52" s="11" t="s">
        <v>75</v>
      </c>
    </row>
    <row r="53" spans="2:8" ht="15" x14ac:dyDescent="0.2">
      <c r="B53" s="12" t="s">
        <v>241</v>
      </c>
      <c r="C53" s="13">
        <v>7440382</v>
      </c>
      <c r="D53" s="14" t="s">
        <v>73</v>
      </c>
      <c r="F53" s="149">
        <v>79005</v>
      </c>
      <c r="G53" s="153" t="s">
        <v>123</v>
      </c>
      <c r="H53" s="14" t="s">
        <v>75</v>
      </c>
    </row>
    <row r="54" spans="2:8" ht="15" x14ac:dyDescent="0.2">
      <c r="B54" s="9" t="s">
        <v>230</v>
      </c>
      <c r="C54" s="10">
        <v>1332214</v>
      </c>
      <c r="D54" s="11" t="s">
        <v>73</v>
      </c>
      <c r="F54" s="148">
        <v>79016</v>
      </c>
      <c r="G54" s="152" t="s">
        <v>124</v>
      </c>
      <c r="H54" s="11" t="s">
        <v>75</v>
      </c>
    </row>
    <row r="55" spans="2:8" ht="15" x14ac:dyDescent="0.2">
      <c r="B55" s="12" t="s">
        <v>99</v>
      </c>
      <c r="C55" s="13">
        <v>71432</v>
      </c>
      <c r="D55" s="14" t="s">
        <v>75</v>
      </c>
      <c r="F55" s="149">
        <v>79061</v>
      </c>
      <c r="G55" s="153" t="s">
        <v>125</v>
      </c>
      <c r="H55" s="14" t="s">
        <v>75</v>
      </c>
    </row>
    <row r="56" spans="2:8" ht="15" x14ac:dyDescent="0.2">
      <c r="B56" s="9" t="s">
        <v>144</v>
      </c>
      <c r="C56" s="10">
        <v>92875</v>
      </c>
      <c r="D56" s="11" t="s">
        <v>75</v>
      </c>
      <c r="F56" s="148">
        <v>79107</v>
      </c>
      <c r="G56" s="152" t="s">
        <v>126</v>
      </c>
      <c r="H56" s="11" t="s">
        <v>75</v>
      </c>
    </row>
    <row r="57" spans="2:8" ht="15" x14ac:dyDescent="0.2">
      <c r="B57" s="12" t="s">
        <v>155</v>
      </c>
      <c r="C57" s="13">
        <v>98077</v>
      </c>
      <c r="D57" s="14" t="s">
        <v>75</v>
      </c>
      <c r="F57" s="149">
        <v>79118</v>
      </c>
      <c r="G57" s="153" t="s">
        <v>127</v>
      </c>
      <c r="H57" s="14" t="s">
        <v>75</v>
      </c>
    </row>
    <row r="58" spans="2:8" ht="15" x14ac:dyDescent="0.2">
      <c r="B58" s="9" t="s">
        <v>162</v>
      </c>
      <c r="C58" s="10">
        <v>100447</v>
      </c>
      <c r="D58" s="11" t="s">
        <v>75</v>
      </c>
      <c r="F58" s="148">
        <v>79345</v>
      </c>
      <c r="G58" s="152" t="s">
        <v>128</v>
      </c>
      <c r="H58" s="11" t="s">
        <v>75</v>
      </c>
    </row>
    <row r="59" spans="2:8" ht="15" x14ac:dyDescent="0.2">
      <c r="B59" s="12" t="s">
        <v>242</v>
      </c>
      <c r="C59" s="13">
        <v>7440417</v>
      </c>
      <c r="D59" s="14" t="s">
        <v>73</v>
      </c>
      <c r="F59" s="149">
        <v>79447</v>
      </c>
      <c r="G59" s="153" t="s">
        <v>129</v>
      </c>
      <c r="H59" s="14" t="s">
        <v>75</v>
      </c>
    </row>
    <row r="60" spans="2:8" ht="15" x14ac:dyDescent="0.2">
      <c r="B60" s="9" t="s">
        <v>83</v>
      </c>
      <c r="C60" s="10">
        <v>57578</v>
      </c>
      <c r="D60" s="11" t="s">
        <v>75</v>
      </c>
      <c r="F60" s="148">
        <v>79469</v>
      </c>
      <c r="G60" s="152" t="s">
        <v>130</v>
      </c>
      <c r="H60" s="11" t="s">
        <v>75</v>
      </c>
    </row>
    <row r="61" spans="2:8" ht="15" x14ac:dyDescent="0.2">
      <c r="B61" s="12" t="s">
        <v>142</v>
      </c>
      <c r="C61" s="13">
        <v>92524</v>
      </c>
      <c r="D61" s="14" t="s">
        <v>75</v>
      </c>
      <c r="F61" s="149">
        <v>80626</v>
      </c>
      <c r="G61" s="153" t="s">
        <v>131</v>
      </c>
      <c r="H61" s="14" t="s">
        <v>75</v>
      </c>
    </row>
    <row r="62" spans="2:8" ht="15" x14ac:dyDescent="0.2">
      <c r="B62" s="9" t="s">
        <v>220</v>
      </c>
      <c r="C62" s="10">
        <v>542881</v>
      </c>
      <c r="D62" s="11" t="s">
        <v>75</v>
      </c>
      <c r="F62" s="148">
        <v>82688</v>
      </c>
      <c r="G62" s="152" t="s">
        <v>132</v>
      </c>
      <c r="H62" s="11" t="s">
        <v>75</v>
      </c>
    </row>
    <row r="63" spans="2:8" ht="15" x14ac:dyDescent="0.2">
      <c r="B63" s="12" t="s">
        <v>112</v>
      </c>
      <c r="C63" s="13">
        <v>75252</v>
      </c>
      <c r="D63" s="14" t="s">
        <v>75</v>
      </c>
      <c r="F63" s="149">
        <v>84742</v>
      </c>
      <c r="G63" s="153" t="s">
        <v>133</v>
      </c>
      <c r="H63" s="14" t="s">
        <v>75</v>
      </c>
    </row>
    <row r="64" spans="2:8" ht="15" x14ac:dyDescent="0.2">
      <c r="B64" s="9" t="s">
        <v>243</v>
      </c>
      <c r="C64" s="10">
        <v>7440439</v>
      </c>
      <c r="D64" s="11" t="s">
        <v>73</v>
      </c>
      <c r="F64" s="148">
        <v>85449</v>
      </c>
      <c r="G64" s="152" t="s">
        <v>134</v>
      </c>
      <c r="H64" s="11" t="s">
        <v>73</v>
      </c>
    </row>
    <row r="65" spans="2:8" ht="15" x14ac:dyDescent="0.2">
      <c r="B65" s="12" t="s">
        <v>211</v>
      </c>
      <c r="C65" s="13">
        <v>156627</v>
      </c>
      <c r="D65" s="14" t="s">
        <v>73</v>
      </c>
      <c r="F65" s="149">
        <v>87683</v>
      </c>
      <c r="G65" s="153" t="s">
        <v>135</v>
      </c>
      <c r="H65" s="14" t="s">
        <v>75</v>
      </c>
    </row>
    <row r="66" spans="2:8" ht="15" x14ac:dyDescent="0.2">
      <c r="B66" s="9" t="s">
        <v>207</v>
      </c>
      <c r="C66" s="10">
        <v>133062</v>
      </c>
      <c r="D66" s="11" t="s">
        <v>73</v>
      </c>
      <c r="F66" s="148">
        <v>87865</v>
      </c>
      <c r="G66" s="152" t="s">
        <v>136</v>
      </c>
      <c r="H66" s="11" t="s">
        <v>75</v>
      </c>
    </row>
    <row r="67" spans="2:8" ht="15" x14ac:dyDescent="0.2">
      <c r="B67" s="12" t="s">
        <v>93</v>
      </c>
      <c r="C67" s="13">
        <v>63252</v>
      </c>
      <c r="D67" s="14" t="s">
        <v>73</v>
      </c>
      <c r="F67" s="149">
        <v>88062</v>
      </c>
      <c r="G67" s="153" t="s">
        <v>137</v>
      </c>
      <c r="H67" s="14" t="s">
        <v>75</v>
      </c>
    </row>
    <row r="68" spans="2:8" ht="15" x14ac:dyDescent="0.2">
      <c r="B68" s="9" t="s">
        <v>110</v>
      </c>
      <c r="C68" s="10">
        <v>75150</v>
      </c>
      <c r="D68" s="11" t="s">
        <v>75</v>
      </c>
      <c r="F68" s="148">
        <v>90040</v>
      </c>
      <c r="G68" s="152" t="s">
        <v>138</v>
      </c>
      <c r="H68" s="11" t="s">
        <v>75</v>
      </c>
    </row>
    <row r="69" spans="2:8" ht="15" x14ac:dyDescent="0.2">
      <c r="B69" s="12" t="s">
        <v>79</v>
      </c>
      <c r="C69" s="13">
        <v>56235</v>
      </c>
      <c r="D69" s="14" t="s">
        <v>75</v>
      </c>
      <c r="F69" s="149">
        <v>91203</v>
      </c>
      <c r="G69" s="153" t="s">
        <v>139</v>
      </c>
      <c r="H69" s="14" t="s">
        <v>75</v>
      </c>
    </row>
    <row r="70" spans="2:8" ht="15" x14ac:dyDescent="0.2">
      <c r="B70" s="9" t="s">
        <v>214</v>
      </c>
      <c r="C70" s="10">
        <v>463581</v>
      </c>
      <c r="D70" s="11" t="s">
        <v>75</v>
      </c>
      <c r="F70" s="148">
        <v>91225</v>
      </c>
      <c r="G70" s="152" t="s">
        <v>140</v>
      </c>
      <c r="H70" s="11" t="s">
        <v>75</v>
      </c>
    </row>
    <row r="71" spans="2:8" ht="15" x14ac:dyDescent="0.2">
      <c r="B71" s="12" t="s">
        <v>195</v>
      </c>
      <c r="C71" s="13">
        <v>120809</v>
      </c>
      <c r="D71" s="14" t="s">
        <v>75</v>
      </c>
      <c r="F71" s="149">
        <v>91941</v>
      </c>
      <c r="G71" s="153" t="s">
        <v>141</v>
      </c>
      <c r="H71" s="14" t="s">
        <v>75</v>
      </c>
    </row>
    <row r="72" spans="2:8" ht="15" x14ac:dyDescent="0.2">
      <c r="B72" s="9" t="s">
        <v>208</v>
      </c>
      <c r="C72" s="10">
        <v>133904</v>
      </c>
      <c r="D72" s="11" t="s">
        <v>73</v>
      </c>
      <c r="F72" s="148">
        <v>92524</v>
      </c>
      <c r="G72" s="152" t="s">
        <v>142</v>
      </c>
      <c r="H72" s="11" t="s">
        <v>75</v>
      </c>
    </row>
    <row r="73" spans="2:8" ht="15" x14ac:dyDescent="0.2">
      <c r="B73" s="12" t="s">
        <v>84</v>
      </c>
      <c r="C73" s="13">
        <v>57749</v>
      </c>
      <c r="D73" s="14" t="s">
        <v>75</v>
      </c>
      <c r="F73" s="149">
        <v>92671</v>
      </c>
      <c r="G73" s="153" t="s">
        <v>143</v>
      </c>
      <c r="H73" s="14" t="s">
        <v>75</v>
      </c>
    </row>
    <row r="74" spans="2:8" ht="15" x14ac:dyDescent="0.2">
      <c r="B74" s="9" t="s">
        <v>251</v>
      </c>
      <c r="C74" s="10">
        <v>7782505</v>
      </c>
      <c r="D74" s="11" t="s">
        <v>73</v>
      </c>
      <c r="F74" s="148">
        <v>92875</v>
      </c>
      <c r="G74" s="152" t="s">
        <v>144</v>
      </c>
      <c r="H74" s="11" t="s">
        <v>75</v>
      </c>
    </row>
    <row r="75" spans="2:8" ht="15" x14ac:dyDescent="0.2">
      <c r="B75" s="12" t="s">
        <v>127</v>
      </c>
      <c r="C75" s="13">
        <v>79118</v>
      </c>
      <c r="D75" s="14" t="s">
        <v>75</v>
      </c>
      <c r="F75" s="149">
        <v>92933</v>
      </c>
      <c r="G75" s="153" t="s">
        <v>145</v>
      </c>
      <c r="H75" s="14" t="s">
        <v>75</v>
      </c>
    </row>
    <row r="76" spans="2:8" ht="15" x14ac:dyDescent="0.2">
      <c r="B76" s="9" t="s">
        <v>186</v>
      </c>
      <c r="C76" s="10">
        <v>108907</v>
      </c>
      <c r="D76" s="11" t="s">
        <v>75</v>
      </c>
      <c r="F76" s="148">
        <v>94757</v>
      </c>
      <c r="G76" s="152" t="s">
        <v>146</v>
      </c>
      <c r="H76" s="11" t="s">
        <v>75</v>
      </c>
    </row>
    <row r="77" spans="2:8" ht="15" x14ac:dyDescent="0.2">
      <c r="B77" s="12" t="s">
        <v>215</v>
      </c>
      <c r="C77" s="13">
        <v>510156</v>
      </c>
      <c r="D77" s="14" t="s">
        <v>75</v>
      </c>
      <c r="F77" s="149">
        <v>95476</v>
      </c>
      <c r="G77" s="153" t="s">
        <v>147</v>
      </c>
      <c r="H77" s="14" t="s">
        <v>75</v>
      </c>
    </row>
    <row r="78" spans="2:8" ht="15" x14ac:dyDescent="0.2">
      <c r="B78" s="9" t="s">
        <v>96</v>
      </c>
      <c r="C78" s="10">
        <v>67663</v>
      </c>
      <c r="D78" s="11" t="s">
        <v>75</v>
      </c>
      <c r="F78" s="148">
        <v>95487</v>
      </c>
      <c r="G78" s="152" t="s">
        <v>148</v>
      </c>
      <c r="H78" s="11" t="s">
        <v>75</v>
      </c>
    </row>
    <row r="79" spans="2:8" ht="15" x14ac:dyDescent="0.2">
      <c r="B79" s="12" t="s">
        <v>103</v>
      </c>
      <c r="C79" s="13">
        <v>74873</v>
      </c>
      <c r="D79" s="14" t="s">
        <v>75</v>
      </c>
      <c r="F79" s="149">
        <v>95534</v>
      </c>
      <c r="G79" s="153" t="s">
        <v>149</v>
      </c>
      <c r="H79" s="14" t="s">
        <v>75</v>
      </c>
    </row>
    <row r="80" spans="2:8" ht="15" x14ac:dyDescent="0.2">
      <c r="B80" s="9" t="s">
        <v>180</v>
      </c>
      <c r="C80" s="10">
        <v>107302</v>
      </c>
      <c r="D80" s="11" t="s">
        <v>75</v>
      </c>
      <c r="F80" s="148">
        <v>95807</v>
      </c>
      <c r="G80" s="152" t="s">
        <v>150</v>
      </c>
      <c r="H80" s="11" t="s">
        <v>75</v>
      </c>
    </row>
    <row r="81" spans="2:8" ht="15" x14ac:dyDescent="0.2">
      <c r="B81" s="12" t="s">
        <v>204</v>
      </c>
      <c r="C81" s="13">
        <v>126998</v>
      </c>
      <c r="D81" s="14" t="s">
        <v>75</v>
      </c>
      <c r="F81" s="149">
        <v>95954</v>
      </c>
      <c r="G81" s="153" t="s">
        <v>151</v>
      </c>
      <c r="H81" s="14" t="s">
        <v>75</v>
      </c>
    </row>
    <row r="82" spans="2:8" ht="15" x14ac:dyDescent="0.2">
      <c r="B82" s="9" t="s">
        <v>244</v>
      </c>
      <c r="C82" s="10">
        <v>7440473</v>
      </c>
      <c r="D82" s="11" t="s">
        <v>73</v>
      </c>
      <c r="F82" s="148">
        <v>96093</v>
      </c>
      <c r="G82" s="152" t="s">
        <v>152</v>
      </c>
      <c r="H82" s="11" t="s">
        <v>75</v>
      </c>
    </row>
    <row r="83" spans="2:8" ht="15" x14ac:dyDescent="0.2">
      <c r="B83" s="12" t="s">
        <v>245</v>
      </c>
      <c r="C83" s="13">
        <v>7440484</v>
      </c>
      <c r="D83" s="14" t="s">
        <v>73</v>
      </c>
      <c r="F83" s="149">
        <v>96128</v>
      </c>
      <c r="G83" s="153" t="s">
        <v>153</v>
      </c>
      <c r="H83" s="14" t="s">
        <v>75</v>
      </c>
    </row>
    <row r="84" spans="2:8" ht="15" x14ac:dyDescent="0.2">
      <c r="B84" s="9" t="s">
        <v>228</v>
      </c>
      <c r="C84" s="10">
        <v>1319773</v>
      </c>
      <c r="D84" s="11" t="s">
        <v>75</v>
      </c>
      <c r="F84" s="148">
        <v>96457</v>
      </c>
      <c r="G84" s="152" t="s">
        <v>154</v>
      </c>
      <c r="H84" s="11" t="s">
        <v>73</v>
      </c>
    </row>
    <row r="85" spans="2:8" ht="15" x14ac:dyDescent="0.2">
      <c r="B85" s="12" t="s">
        <v>156</v>
      </c>
      <c r="C85" s="13">
        <v>98828</v>
      </c>
      <c r="D85" s="14" t="s">
        <v>75</v>
      </c>
      <c r="F85" s="149">
        <v>98077</v>
      </c>
      <c r="G85" s="153" t="s">
        <v>155</v>
      </c>
      <c r="H85" s="14" t="s">
        <v>75</v>
      </c>
    </row>
    <row r="86" spans="2:8" ht="15" x14ac:dyDescent="0.2">
      <c r="B86" s="9" t="s">
        <v>81</v>
      </c>
      <c r="C86" s="10">
        <v>57125</v>
      </c>
      <c r="D86" s="11" t="s">
        <v>73</v>
      </c>
      <c r="F86" s="148">
        <v>98828</v>
      </c>
      <c r="G86" s="152" t="s">
        <v>156</v>
      </c>
      <c r="H86" s="11" t="s">
        <v>75</v>
      </c>
    </row>
    <row r="87" spans="2:8" ht="15" x14ac:dyDescent="0.2">
      <c r="B87" s="12" t="s">
        <v>235</v>
      </c>
      <c r="C87" s="13">
        <v>3547044</v>
      </c>
      <c r="D87" s="14" t="s">
        <v>75</v>
      </c>
      <c r="F87" s="149">
        <v>98862</v>
      </c>
      <c r="G87" s="153" t="s">
        <v>157</v>
      </c>
      <c r="H87" s="14" t="s">
        <v>75</v>
      </c>
    </row>
    <row r="88" spans="2:8" ht="15" x14ac:dyDescent="0.2">
      <c r="B88" s="9" t="s">
        <v>213</v>
      </c>
      <c r="C88" s="10">
        <v>334883</v>
      </c>
      <c r="D88" s="11" t="s">
        <v>75</v>
      </c>
      <c r="F88" s="148">
        <v>98953</v>
      </c>
      <c r="G88" s="152" t="s">
        <v>158</v>
      </c>
      <c r="H88" s="11" t="s">
        <v>75</v>
      </c>
    </row>
    <row r="89" spans="2:8" ht="15" x14ac:dyDescent="0.2">
      <c r="B89" s="12" t="s">
        <v>206</v>
      </c>
      <c r="C89" s="13">
        <v>132649</v>
      </c>
      <c r="D89" s="14" t="s">
        <v>73</v>
      </c>
      <c r="F89" s="149">
        <v>100027</v>
      </c>
      <c r="G89" s="153" t="s">
        <v>159</v>
      </c>
      <c r="H89" s="14" t="s">
        <v>75</v>
      </c>
    </row>
    <row r="90" spans="2:8" ht="15" x14ac:dyDescent="0.2">
      <c r="B90" s="9" t="s">
        <v>133</v>
      </c>
      <c r="C90" s="10">
        <v>84742</v>
      </c>
      <c r="D90" s="11" t="s">
        <v>75</v>
      </c>
      <c r="F90" s="148">
        <v>100414</v>
      </c>
      <c r="G90" s="152" t="s">
        <v>160</v>
      </c>
      <c r="H90" s="11" t="s">
        <v>75</v>
      </c>
    </row>
    <row r="91" spans="2:8" ht="15" x14ac:dyDescent="0.2">
      <c r="B91" s="12" t="s">
        <v>189</v>
      </c>
      <c r="C91" s="13">
        <v>111444</v>
      </c>
      <c r="D91" s="14" t="s">
        <v>75</v>
      </c>
      <c r="F91" s="149">
        <v>100425</v>
      </c>
      <c r="G91" s="153" t="s">
        <v>161</v>
      </c>
      <c r="H91" s="14" t="s">
        <v>75</v>
      </c>
    </row>
    <row r="92" spans="2:8" ht="15" x14ac:dyDescent="0.2">
      <c r="B92" s="9" t="s">
        <v>91</v>
      </c>
      <c r="C92" s="10">
        <v>62737</v>
      </c>
      <c r="D92" s="11" t="s">
        <v>75</v>
      </c>
      <c r="F92" s="148">
        <v>100447</v>
      </c>
      <c r="G92" s="152" t="s">
        <v>162</v>
      </c>
      <c r="H92" s="11" t="s">
        <v>75</v>
      </c>
    </row>
    <row r="93" spans="2:8" ht="15" x14ac:dyDescent="0.2">
      <c r="B93" s="12" t="s">
        <v>27</v>
      </c>
      <c r="C93" s="13">
        <v>111422</v>
      </c>
      <c r="D93" s="14" t="s">
        <v>75</v>
      </c>
      <c r="F93" s="149">
        <v>101144</v>
      </c>
      <c r="G93" s="153" t="s">
        <v>163</v>
      </c>
      <c r="H93" s="14" t="s">
        <v>73</v>
      </c>
    </row>
    <row r="94" spans="2:8" ht="15" x14ac:dyDescent="0.2">
      <c r="B94" s="9" t="s">
        <v>94</v>
      </c>
      <c r="C94" s="10">
        <v>64675</v>
      </c>
      <c r="D94" s="11" t="s">
        <v>75</v>
      </c>
      <c r="F94" s="148">
        <v>101688</v>
      </c>
      <c r="G94" s="152" t="s">
        <v>164</v>
      </c>
      <c r="H94" s="11" t="s">
        <v>73</v>
      </c>
    </row>
    <row r="95" spans="2:8" ht="15" x14ac:dyDescent="0.2">
      <c r="B95" s="12" t="s">
        <v>191</v>
      </c>
      <c r="C95" s="13">
        <v>117817</v>
      </c>
      <c r="D95" s="14" t="s">
        <v>75</v>
      </c>
      <c r="F95" s="149">
        <v>101779</v>
      </c>
      <c r="G95" s="153" t="s">
        <v>165</v>
      </c>
      <c r="H95" s="14" t="s">
        <v>73</v>
      </c>
    </row>
    <row r="96" spans="2:8" ht="15" x14ac:dyDescent="0.2">
      <c r="B96" s="9" t="s">
        <v>87</v>
      </c>
      <c r="C96" s="10">
        <v>60117</v>
      </c>
      <c r="D96" s="11" t="s">
        <v>75</v>
      </c>
      <c r="F96" s="148">
        <v>106423</v>
      </c>
      <c r="G96" s="152" t="s">
        <v>166</v>
      </c>
      <c r="H96" s="11" t="s">
        <v>75</v>
      </c>
    </row>
    <row r="97" spans="2:8" ht="15" x14ac:dyDescent="0.2">
      <c r="B97" s="12" t="s">
        <v>129</v>
      </c>
      <c r="C97" s="13">
        <v>79447</v>
      </c>
      <c r="D97" s="14" t="s">
        <v>75</v>
      </c>
      <c r="F97" s="149">
        <v>106445</v>
      </c>
      <c r="G97" s="153" t="s">
        <v>167</v>
      </c>
      <c r="H97" s="14" t="s">
        <v>75</v>
      </c>
    </row>
    <row r="98" spans="2:8" ht="15" x14ac:dyDescent="0.2">
      <c r="B98" s="9" t="s">
        <v>98</v>
      </c>
      <c r="C98" s="10">
        <v>68122</v>
      </c>
      <c r="D98" s="11" t="s">
        <v>75</v>
      </c>
      <c r="F98" s="148">
        <v>106467</v>
      </c>
      <c r="G98" s="152" t="s">
        <v>168</v>
      </c>
      <c r="H98" s="11" t="s">
        <v>75</v>
      </c>
    </row>
    <row r="99" spans="2:8" ht="15" x14ac:dyDescent="0.2">
      <c r="B99" s="12" t="s">
        <v>205</v>
      </c>
      <c r="C99" s="13">
        <v>131113</v>
      </c>
      <c r="D99" s="14" t="s">
        <v>75</v>
      </c>
      <c r="F99" s="149">
        <v>106503</v>
      </c>
      <c r="G99" s="153" t="s">
        <v>169</v>
      </c>
      <c r="H99" s="14" t="s">
        <v>75</v>
      </c>
    </row>
    <row r="100" spans="2:8" ht="15" x14ac:dyDescent="0.2">
      <c r="B100" s="9" t="s">
        <v>120</v>
      </c>
      <c r="C100" s="10">
        <v>77781</v>
      </c>
      <c r="D100" s="11" t="s">
        <v>75</v>
      </c>
      <c r="F100" s="148">
        <v>106514</v>
      </c>
      <c r="G100" s="152" t="s">
        <v>170</v>
      </c>
      <c r="H100" s="11" t="s">
        <v>75</v>
      </c>
    </row>
    <row r="101" spans="2:8" ht="15" x14ac:dyDescent="0.2">
      <c r="B101" s="12" t="s">
        <v>172</v>
      </c>
      <c r="C101" s="13">
        <v>106898</v>
      </c>
      <c r="D101" s="14" t="s">
        <v>75</v>
      </c>
      <c r="F101" s="149">
        <v>106887</v>
      </c>
      <c r="G101" s="153" t="s">
        <v>171</v>
      </c>
      <c r="H101" s="14" t="s">
        <v>75</v>
      </c>
    </row>
    <row r="102" spans="2:8" ht="15" x14ac:dyDescent="0.2">
      <c r="B102" s="9" t="s">
        <v>209</v>
      </c>
      <c r="C102" s="10">
        <v>140885</v>
      </c>
      <c r="D102" s="11" t="s">
        <v>75</v>
      </c>
      <c r="F102" s="148">
        <v>106898</v>
      </c>
      <c r="G102" s="152" t="s">
        <v>172</v>
      </c>
      <c r="H102" s="11" t="s">
        <v>75</v>
      </c>
    </row>
    <row r="103" spans="2:8" ht="15" x14ac:dyDescent="0.2">
      <c r="B103" s="12" t="s">
        <v>160</v>
      </c>
      <c r="C103" s="13">
        <v>100414</v>
      </c>
      <c r="D103" s="14" t="s">
        <v>75</v>
      </c>
      <c r="F103" s="149">
        <v>106934</v>
      </c>
      <c r="G103" s="153" t="s">
        <v>173</v>
      </c>
      <c r="H103" s="14" t="s">
        <v>75</v>
      </c>
    </row>
    <row r="104" spans="2:8" ht="15" x14ac:dyDescent="0.2">
      <c r="B104" s="9" t="s">
        <v>77</v>
      </c>
      <c r="C104" s="10">
        <v>51796</v>
      </c>
      <c r="D104" s="11" t="s">
        <v>73</v>
      </c>
      <c r="F104" s="148">
        <v>106990</v>
      </c>
      <c r="G104" s="152" t="s">
        <v>174</v>
      </c>
      <c r="H104" s="11" t="s">
        <v>75</v>
      </c>
    </row>
    <row r="105" spans="2:8" ht="15" x14ac:dyDescent="0.2">
      <c r="B105" s="12" t="s">
        <v>105</v>
      </c>
      <c r="C105" s="13">
        <v>75003</v>
      </c>
      <c r="D105" s="14" t="s">
        <v>75</v>
      </c>
      <c r="F105" s="149">
        <v>107028</v>
      </c>
      <c r="G105" s="153" t="s">
        <v>175</v>
      </c>
      <c r="H105" s="14" t="s">
        <v>75</v>
      </c>
    </row>
    <row r="106" spans="2:8" ht="15" x14ac:dyDescent="0.2">
      <c r="B106" s="9" t="s">
        <v>173</v>
      </c>
      <c r="C106" s="10">
        <v>106934</v>
      </c>
      <c r="D106" s="11" t="s">
        <v>75</v>
      </c>
      <c r="F106" s="148">
        <v>107051</v>
      </c>
      <c r="G106" s="152" t="s">
        <v>176</v>
      </c>
      <c r="H106" s="11" t="s">
        <v>75</v>
      </c>
    </row>
    <row r="107" spans="2:8" ht="15" x14ac:dyDescent="0.2">
      <c r="B107" s="12" t="s">
        <v>177</v>
      </c>
      <c r="C107" s="13">
        <v>107062</v>
      </c>
      <c r="D107" s="14" t="s">
        <v>75</v>
      </c>
      <c r="F107" s="149">
        <v>107062</v>
      </c>
      <c r="G107" s="153" t="s">
        <v>177</v>
      </c>
      <c r="H107" s="14" t="s">
        <v>75</v>
      </c>
    </row>
    <row r="108" spans="2:8" ht="15" x14ac:dyDescent="0.2">
      <c r="B108" s="9" t="s">
        <v>179</v>
      </c>
      <c r="C108" s="10">
        <v>107211</v>
      </c>
      <c r="D108" s="11" t="s">
        <v>75</v>
      </c>
      <c r="F108" s="148">
        <v>107131</v>
      </c>
      <c r="G108" s="152" t="s">
        <v>178</v>
      </c>
      <c r="H108" s="11" t="s">
        <v>75</v>
      </c>
    </row>
    <row r="109" spans="2:8" ht="15" x14ac:dyDescent="0.2">
      <c r="B109" s="12" t="s">
        <v>210</v>
      </c>
      <c r="C109" s="13">
        <v>151564</v>
      </c>
      <c r="D109" s="14" t="s">
        <v>75</v>
      </c>
      <c r="F109" s="149">
        <v>107211</v>
      </c>
      <c r="G109" s="153" t="s">
        <v>179</v>
      </c>
      <c r="H109" s="14" t="s">
        <v>75</v>
      </c>
    </row>
    <row r="110" spans="2:8" ht="15" x14ac:dyDescent="0.2">
      <c r="B110" s="9" t="s">
        <v>111</v>
      </c>
      <c r="C110" s="10">
        <v>75218</v>
      </c>
      <c r="D110" s="11" t="s">
        <v>75</v>
      </c>
      <c r="F110" s="148">
        <v>107302</v>
      </c>
      <c r="G110" s="152" t="s">
        <v>180</v>
      </c>
      <c r="H110" s="11" t="s">
        <v>75</v>
      </c>
    </row>
    <row r="111" spans="2:8" ht="15" x14ac:dyDescent="0.2">
      <c r="B111" s="12" t="s">
        <v>154</v>
      </c>
      <c r="C111" s="13">
        <v>96457</v>
      </c>
      <c r="D111" s="14" t="s">
        <v>73</v>
      </c>
      <c r="F111" s="149">
        <v>108054</v>
      </c>
      <c r="G111" s="153" t="s">
        <v>181</v>
      </c>
      <c r="H111" s="14" t="s">
        <v>75</v>
      </c>
    </row>
    <row r="112" spans="2:8" ht="15" x14ac:dyDescent="0.2">
      <c r="B112" s="9" t="s">
        <v>74</v>
      </c>
      <c r="C112" s="10">
        <v>50000</v>
      </c>
      <c r="D112" s="11" t="s">
        <v>75</v>
      </c>
      <c r="F112" s="148">
        <v>108101</v>
      </c>
      <c r="G112" s="152" t="s">
        <v>182</v>
      </c>
      <c r="H112" s="11" t="s">
        <v>75</v>
      </c>
    </row>
    <row r="113" spans="2:8" ht="15" x14ac:dyDescent="0.2">
      <c r="B113" s="12" t="s">
        <v>72</v>
      </c>
      <c r="C113" s="13">
        <v>171</v>
      </c>
      <c r="D113" s="14" t="s">
        <v>73</v>
      </c>
      <c r="F113" s="149">
        <v>108316</v>
      </c>
      <c r="G113" s="153" t="s">
        <v>183</v>
      </c>
      <c r="H113" s="14" t="s">
        <v>73</v>
      </c>
    </row>
    <row r="114" spans="2:8" ht="15" x14ac:dyDescent="0.2">
      <c r="B114" s="9" t="s">
        <v>118</v>
      </c>
      <c r="C114" s="10">
        <v>76448</v>
      </c>
      <c r="D114" s="11" t="s">
        <v>75</v>
      </c>
      <c r="F114" s="148">
        <v>108383</v>
      </c>
      <c r="G114" s="152" t="s">
        <v>184</v>
      </c>
      <c r="H114" s="11" t="s">
        <v>75</v>
      </c>
    </row>
    <row r="115" spans="2:8" ht="15" x14ac:dyDescent="0.2">
      <c r="B115" s="12" t="s">
        <v>192</v>
      </c>
      <c r="C115" s="13">
        <v>118741</v>
      </c>
      <c r="D115" s="14" t="s">
        <v>73</v>
      </c>
      <c r="F115" s="149">
        <v>108394</v>
      </c>
      <c r="G115" s="153" t="s">
        <v>185</v>
      </c>
      <c r="H115" s="14" t="s">
        <v>75</v>
      </c>
    </row>
    <row r="116" spans="2:8" ht="15" x14ac:dyDescent="0.2">
      <c r="B116" s="9" t="s">
        <v>135</v>
      </c>
      <c r="C116" s="10">
        <v>87683</v>
      </c>
      <c r="D116" s="11" t="s">
        <v>75</v>
      </c>
      <c r="F116" s="148">
        <v>108883</v>
      </c>
      <c r="G116" s="152" t="s">
        <v>1</v>
      </c>
      <c r="H116" s="11" t="s">
        <v>75</v>
      </c>
    </row>
    <row r="117" spans="2:8" ht="15" x14ac:dyDescent="0.2">
      <c r="B117" s="12" t="s">
        <v>119</v>
      </c>
      <c r="C117" s="13">
        <v>77474</v>
      </c>
      <c r="D117" s="14" t="s">
        <v>75</v>
      </c>
      <c r="F117" s="149">
        <v>108907</v>
      </c>
      <c r="G117" s="153" t="s">
        <v>186</v>
      </c>
      <c r="H117" s="14" t="s">
        <v>75</v>
      </c>
    </row>
    <row r="118" spans="2:8" ht="15" x14ac:dyDescent="0.2">
      <c r="B118" s="9" t="s">
        <v>97</v>
      </c>
      <c r="C118" s="10">
        <v>67721</v>
      </c>
      <c r="D118" s="11" t="s">
        <v>73</v>
      </c>
      <c r="F118" s="148">
        <v>108952</v>
      </c>
      <c r="G118" s="152" t="s">
        <v>187</v>
      </c>
      <c r="H118" s="11" t="s">
        <v>75</v>
      </c>
    </row>
    <row r="119" spans="2:8" ht="15" x14ac:dyDescent="0.2">
      <c r="B119" s="12" t="s">
        <v>226</v>
      </c>
      <c r="C119" s="13">
        <v>822060</v>
      </c>
      <c r="D119" s="14" t="s">
        <v>73</v>
      </c>
      <c r="F119" s="149">
        <v>110543</v>
      </c>
      <c r="G119" s="153" t="s">
        <v>188</v>
      </c>
      <c r="H119" s="14" t="s">
        <v>75</v>
      </c>
    </row>
    <row r="120" spans="2:8" ht="15" x14ac:dyDescent="0.2">
      <c r="B120" s="9" t="s">
        <v>224</v>
      </c>
      <c r="C120" s="10">
        <v>680319</v>
      </c>
      <c r="D120" s="11" t="s">
        <v>73</v>
      </c>
      <c r="F120" s="148">
        <v>111422</v>
      </c>
      <c r="G120" s="152" t="s">
        <v>27</v>
      </c>
      <c r="H120" s="11" t="s">
        <v>75</v>
      </c>
    </row>
    <row r="121" spans="2:8" ht="15" x14ac:dyDescent="0.2">
      <c r="B121" s="12" t="s">
        <v>188</v>
      </c>
      <c r="C121" s="13">
        <v>110543</v>
      </c>
      <c r="D121" s="14" t="s">
        <v>75</v>
      </c>
      <c r="F121" s="149">
        <v>111444</v>
      </c>
      <c r="G121" s="153" t="s">
        <v>189</v>
      </c>
      <c r="H121" s="14" t="s">
        <v>75</v>
      </c>
    </row>
    <row r="122" spans="2:8" ht="15" x14ac:dyDescent="0.2">
      <c r="B122" s="9" t="s">
        <v>212</v>
      </c>
      <c r="C122" s="10">
        <v>302012</v>
      </c>
      <c r="D122" s="11" t="s">
        <v>73</v>
      </c>
      <c r="F122" s="148">
        <v>114261</v>
      </c>
      <c r="G122" s="152" t="s">
        <v>190</v>
      </c>
      <c r="H122" s="11" t="s">
        <v>73</v>
      </c>
    </row>
    <row r="123" spans="2:8" ht="15" x14ac:dyDescent="0.2">
      <c r="B123" s="12" t="s">
        <v>247</v>
      </c>
      <c r="C123" s="13">
        <v>7647010</v>
      </c>
      <c r="D123" s="14" t="s">
        <v>73</v>
      </c>
      <c r="F123" s="149">
        <v>117817</v>
      </c>
      <c r="G123" s="153" t="s">
        <v>191</v>
      </c>
      <c r="H123" s="14" t="s">
        <v>75</v>
      </c>
    </row>
    <row r="124" spans="2:8" ht="15" x14ac:dyDescent="0.2">
      <c r="B124" s="9" t="s">
        <v>248</v>
      </c>
      <c r="C124" s="10">
        <v>7664393</v>
      </c>
      <c r="D124" s="11" t="s">
        <v>73</v>
      </c>
      <c r="F124" s="148">
        <v>118741</v>
      </c>
      <c r="G124" s="152" t="s">
        <v>192</v>
      </c>
      <c r="H124" s="11" t="s">
        <v>73</v>
      </c>
    </row>
    <row r="125" spans="2:8" ht="15" x14ac:dyDescent="0.2">
      <c r="B125" s="12" t="s">
        <v>201</v>
      </c>
      <c r="C125" s="13">
        <v>123319</v>
      </c>
      <c r="D125" s="14" t="s">
        <v>75</v>
      </c>
      <c r="F125" s="149">
        <v>119904</v>
      </c>
      <c r="G125" s="153" t="s">
        <v>193</v>
      </c>
      <c r="H125" s="14" t="s">
        <v>75</v>
      </c>
    </row>
    <row r="126" spans="2:8" ht="15" x14ac:dyDescent="0.2">
      <c r="B126" s="9" t="s">
        <v>121</v>
      </c>
      <c r="C126" s="10">
        <v>78591</v>
      </c>
      <c r="D126" s="11" t="s">
        <v>75</v>
      </c>
      <c r="F126" s="148">
        <v>119937</v>
      </c>
      <c r="G126" s="152" t="s">
        <v>194</v>
      </c>
      <c r="H126" s="11" t="s">
        <v>75</v>
      </c>
    </row>
    <row r="127" spans="2:8" ht="15" x14ac:dyDescent="0.2">
      <c r="B127" s="12" t="s">
        <v>236</v>
      </c>
      <c r="C127" s="13">
        <v>7439921</v>
      </c>
      <c r="D127" s="14" t="s">
        <v>73</v>
      </c>
      <c r="F127" s="149">
        <v>120809</v>
      </c>
      <c r="G127" s="153" t="s">
        <v>195</v>
      </c>
      <c r="H127" s="14" t="s">
        <v>75</v>
      </c>
    </row>
    <row r="128" spans="2:8" ht="15" x14ac:dyDescent="0.2">
      <c r="B128" s="9" t="s">
        <v>85</v>
      </c>
      <c r="C128" s="10">
        <v>58899</v>
      </c>
      <c r="D128" s="11" t="s">
        <v>73</v>
      </c>
      <c r="F128" s="148">
        <v>120821</v>
      </c>
      <c r="G128" s="152" t="s">
        <v>196</v>
      </c>
      <c r="H128" s="11" t="s">
        <v>75</v>
      </c>
    </row>
    <row r="129" spans="2:8" ht="15" x14ac:dyDescent="0.2">
      <c r="B129" s="12" t="s">
        <v>183</v>
      </c>
      <c r="C129" s="13">
        <v>108316</v>
      </c>
      <c r="D129" s="14" t="s">
        <v>73</v>
      </c>
      <c r="F129" s="149">
        <v>121142</v>
      </c>
      <c r="G129" s="153" t="s">
        <v>197</v>
      </c>
      <c r="H129" s="14" t="s">
        <v>75</v>
      </c>
    </row>
    <row r="130" spans="2:8" ht="15" x14ac:dyDescent="0.2">
      <c r="B130" s="9" t="s">
        <v>237</v>
      </c>
      <c r="C130" s="10">
        <v>7439965</v>
      </c>
      <c r="D130" s="11" t="s">
        <v>73</v>
      </c>
      <c r="F130" s="148">
        <v>121448</v>
      </c>
      <c r="G130" s="152" t="s">
        <v>198</v>
      </c>
      <c r="H130" s="11" t="s">
        <v>75</v>
      </c>
    </row>
    <row r="131" spans="2:8" ht="15" x14ac:dyDescent="0.2">
      <c r="B131" s="12" t="s">
        <v>185</v>
      </c>
      <c r="C131" s="13">
        <v>108394</v>
      </c>
      <c r="D131" s="14" t="s">
        <v>75</v>
      </c>
      <c r="F131" s="149">
        <v>121697</v>
      </c>
      <c r="G131" s="153" t="s">
        <v>199</v>
      </c>
      <c r="H131" s="14" t="s">
        <v>75</v>
      </c>
    </row>
    <row r="132" spans="2:8" ht="15" x14ac:dyDescent="0.2">
      <c r="B132" s="9" t="s">
        <v>238</v>
      </c>
      <c r="C132" s="10">
        <v>7439976</v>
      </c>
      <c r="D132" s="11" t="s">
        <v>73</v>
      </c>
      <c r="F132" s="148">
        <v>122667</v>
      </c>
      <c r="G132" s="152" t="s">
        <v>200</v>
      </c>
      <c r="H132" s="11" t="s">
        <v>75</v>
      </c>
    </row>
    <row r="133" spans="2:8" ht="15" x14ac:dyDescent="0.2">
      <c r="B133" s="12" t="s">
        <v>95</v>
      </c>
      <c r="C133" s="13">
        <v>67561</v>
      </c>
      <c r="D133" s="14" t="s">
        <v>75</v>
      </c>
      <c r="F133" s="149">
        <v>123319</v>
      </c>
      <c r="G133" s="153" t="s">
        <v>201</v>
      </c>
      <c r="H133" s="14" t="s">
        <v>75</v>
      </c>
    </row>
    <row r="134" spans="2:8" ht="15" x14ac:dyDescent="0.2">
      <c r="B134" s="9" t="s">
        <v>101</v>
      </c>
      <c r="C134" s="10">
        <v>72435</v>
      </c>
      <c r="D134" s="11" t="s">
        <v>75</v>
      </c>
      <c r="F134" s="148">
        <v>123386</v>
      </c>
      <c r="G134" s="152" t="s">
        <v>202</v>
      </c>
      <c r="H134" s="11" t="s">
        <v>75</v>
      </c>
    </row>
    <row r="135" spans="2:8" ht="15" x14ac:dyDescent="0.2">
      <c r="B135" s="12" t="s">
        <v>102</v>
      </c>
      <c r="C135" s="13">
        <v>74839</v>
      </c>
      <c r="D135" s="14" t="s">
        <v>75</v>
      </c>
      <c r="F135" s="149">
        <v>123911</v>
      </c>
      <c r="G135" s="153" t="s">
        <v>203</v>
      </c>
      <c r="H135" s="14" t="s">
        <v>75</v>
      </c>
    </row>
    <row r="136" spans="2:8" ht="15" x14ac:dyDescent="0.2">
      <c r="B136" s="9" t="s">
        <v>88</v>
      </c>
      <c r="C136" s="10">
        <v>60344</v>
      </c>
      <c r="D136" s="11" t="s">
        <v>75</v>
      </c>
      <c r="F136" s="148">
        <v>126998</v>
      </c>
      <c r="G136" s="152" t="s">
        <v>204</v>
      </c>
      <c r="H136" s="11" t="s">
        <v>75</v>
      </c>
    </row>
    <row r="137" spans="2:8" ht="15" x14ac:dyDescent="0.2">
      <c r="B137" s="12" t="s">
        <v>104</v>
      </c>
      <c r="C137" s="13">
        <v>74884</v>
      </c>
      <c r="D137" s="14" t="s">
        <v>75</v>
      </c>
      <c r="F137" s="149">
        <v>127184</v>
      </c>
      <c r="G137" s="153" t="s">
        <v>2</v>
      </c>
      <c r="H137" s="14" t="s">
        <v>73</v>
      </c>
    </row>
    <row r="138" spans="2:8" ht="15" x14ac:dyDescent="0.2">
      <c r="B138" s="9" t="s">
        <v>182</v>
      </c>
      <c r="C138" s="10">
        <v>108101</v>
      </c>
      <c r="D138" s="11" t="s">
        <v>75</v>
      </c>
      <c r="F138" s="148">
        <v>131113</v>
      </c>
      <c r="G138" s="152" t="s">
        <v>205</v>
      </c>
      <c r="H138" s="11" t="s">
        <v>75</v>
      </c>
    </row>
    <row r="139" spans="2:8" ht="15" x14ac:dyDescent="0.2">
      <c r="B139" s="12" t="s">
        <v>223</v>
      </c>
      <c r="C139" s="13">
        <v>624839</v>
      </c>
      <c r="D139" s="14" t="s">
        <v>75</v>
      </c>
      <c r="F139" s="149">
        <v>132649</v>
      </c>
      <c r="G139" s="153" t="s">
        <v>206</v>
      </c>
      <c r="H139" s="14" t="s">
        <v>73</v>
      </c>
    </row>
    <row r="140" spans="2:8" ht="15" x14ac:dyDescent="0.2">
      <c r="B140" s="9" t="s">
        <v>131</v>
      </c>
      <c r="C140" s="10">
        <v>80626</v>
      </c>
      <c r="D140" s="11" t="s">
        <v>75</v>
      </c>
      <c r="F140" s="148">
        <v>133062</v>
      </c>
      <c r="G140" s="152" t="s">
        <v>207</v>
      </c>
      <c r="H140" s="11" t="s">
        <v>73</v>
      </c>
    </row>
    <row r="141" spans="2:8" ht="15" x14ac:dyDescent="0.2">
      <c r="B141" s="12" t="s">
        <v>233</v>
      </c>
      <c r="C141" s="13">
        <v>1634044</v>
      </c>
      <c r="D141" s="14" t="s">
        <v>75</v>
      </c>
      <c r="F141" s="149">
        <v>133904</v>
      </c>
      <c r="G141" s="153" t="s">
        <v>208</v>
      </c>
      <c r="H141" s="14" t="s">
        <v>73</v>
      </c>
    </row>
    <row r="142" spans="2:8" ht="15" x14ac:dyDescent="0.2">
      <c r="B142" s="9" t="s">
        <v>109</v>
      </c>
      <c r="C142" s="10">
        <v>75092</v>
      </c>
      <c r="D142" s="11" t="s">
        <v>73</v>
      </c>
      <c r="F142" s="148">
        <v>140885</v>
      </c>
      <c r="G142" s="152" t="s">
        <v>209</v>
      </c>
      <c r="H142" s="11" t="s">
        <v>75</v>
      </c>
    </row>
    <row r="143" spans="2:8" ht="15" x14ac:dyDescent="0.2">
      <c r="B143" s="12" t="s">
        <v>164</v>
      </c>
      <c r="C143" s="13">
        <v>101688</v>
      </c>
      <c r="D143" s="14" t="s">
        <v>73</v>
      </c>
      <c r="F143" s="149">
        <v>151564</v>
      </c>
      <c r="G143" s="153" t="s">
        <v>210</v>
      </c>
      <c r="H143" s="14" t="s">
        <v>75</v>
      </c>
    </row>
    <row r="144" spans="2:8" ht="15" x14ac:dyDescent="0.2">
      <c r="B144" s="9" t="s">
        <v>184</v>
      </c>
      <c r="C144" s="10">
        <v>108383</v>
      </c>
      <c r="D144" s="11" t="s">
        <v>75</v>
      </c>
      <c r="F144" s="148">
        <v>156627</v>
      </c>
      <c r="G144" s="152" t="s">
        <v>211</v>
      </c>
      <c r="H144" s="11" t="s">
        <v>73</v>
      </c>
    </row>
    <row r="145" spans="2:8" ht="15" x14ac:dyDescent="0.2">
      <c r="B145" s="12" t="s">
        <v>199</v>
      </c>
      <c r="C145" s="13">
        <v>121697</v>
      </c>
      <c r="D145" s="14" t="s">
        <v>75</v>
      </c>
      <c r="F145" s="149">
        <v>302012</v>
      </c>
      <c r="G145" s="153" t="s">
        <v>212</v>
      </c>
      <c r="H145" s="14" t="s">
        <v>73</v>
      </c>
    </row>
    <row r="146" spans="2:8" ht="15" x14ac:dyDescent="0.2">
      <c r="B146" s="9" t="s">
        <v>139</v>
      </c>
      <c r="C146" s="10">
        <v>91203</v>
      </c>
      <c r="D146" s="11" t="s">
        <v>75</v>
      </c>
      <c r="F146" s="148">
        <v>334883</v>
      </c>
      <c r="G146" s="152" t="s">
        <v>213</v>
      </c>
      <c r="H146" s="11" t="s">
        <v>75</v>
      </c>
    </row>
    <row r="147" spans="2:8" ht="15" x14ac:dyDescent="0.2">
      <c r="B147" s="12" t="s">
        <v>239</v>
      </c>
      <c r="C147" s="13">
        <v>7440020</v>
      </c>
      <c r="D147" s="14" t="s">
        <v>73</v>
      </c>
      <c r="F147" s="149">
        <v>463581</v>
      </c>
      <c r="G147" s="153" t="s">
        <v>214</v>
      </c>
      <c r="H147" s="14" t="s">
        <v>75</v>
      </c>
    </row>
    <row r="148" spans="2:8" ht="15" x14ac:dyDescent="0.2">
      <c r="B148" s="9" t="s">
        <v>158</v>
      </c>
      <c r="C148" s="10">
        <v>98953</v>
      </c>
      <c r="D148" s="11" t="s">
        <v>75</v>
      </c>
      <c r="F148" s="148">
        <v>510156</v>
      </c>
      <c r="G148" s="152" t="s">
        <v>215</v>
      </c>
      <c r="H148" s="11" t="s">
        <v>75</v>
      </c>
    </row>
    <row r="149" spans="2:8" ht="15" x14ac:dyDescent="0.2">
      <c r="B149" s="12" t="s">
        <v>92</v>
      </c>
      <c r="C149" s="13">
        <v>62759</v>
      </c>
      <c r="D149" s="14" t="s">
        <v>75</v>
      </c>
      <c r="F149" s="149">
        <v>532274</v>
      </c>
      <c r="G149" s="153" t="s">
        <v>216</v>
      </c>
      <c r="H149" s="14" t="s">
        <v>75</v>
      </c>
    </row>
    <row r="150" spans="2:8" ht="15" x14ac:dyDescent="0.2">
      <c r="B150" s="9" t="s">
        <v>86</v>
      </c>
      <c r="C150" s="10">
        <v>59892</v>
      </c>
      <c r="D150" s="11" t="s">
        <v>75</v>
      </c>
      <c r="F150" s="148">
        <v>534521</v>
      </c>
      <c r="G150" s="152" t="s">
        <v>217</v>
      </c>
      <c r="H150" s="11" t="s">
        <v>73</v>
      </c>
    </row>
    <row r="151" spans="2:8" ht="15" x14ac:dyDescent="0.2">
      <c r="B151" s="12" t="s">
        <v>225</v>
      </c>
      <c r="C151" s="13">
        <v>684935</v>
      </c>
      <c r="D151" s="14" t="s">
        <v>75</v>
      </c>
      <c r="F151" s="149">
        <v>540841</v>
      </c>
      <c r="G151" s="153" t="s">
        <v>218</v>
      </c>
      <c r="H151" s="14" t="s">
        <v>75</v>
      </c>
    </row>
    <row r="152" spans="2:8" ht="15" x14ac:dyDescent="0.2">
      <c r="B152" s="9" t="s">
        <v>138</v>
      </c>
      <c r="C152" s="10">
        <v>90040</v>
      </c>
      <c r="D152" s="11" t="s">
        <v>75</v>
      </c>
      <c r="F152" s="148">
        <v>542756</v>
      </c>
      <c r="G152" s="152" t="s">
        <v>219</v>
      </c>
      <c r="H152" s="11" t="s">
        <v>75</v>
      </c>
    </row>
    <row r="153" spans="2:8" ht="15" x14ac:dyDescent="0.2">
      <c r="B153" s="12" t="s">
        <v>148</v>
      </c>
      <c r="C153" s="13">
        <v>95487</v>
      </c>
      <c r="D153" s="14" t="s">
        <v>75</v>
      </c>
      <c r="F153" s="149">
        <v>542881</v>
      </c>
      <c r="G153" s="153" t="s">
        <v>220</v>
      </c>
      <c r="H153" s="14" t="s">
        <v>75</v>
      </c>
    </row>
    <row r="154" spans="2:8" ht="15" x14ac:dyDescent="0.2">
      <c r="B154" s="9" t="s">
        <v>149</v>
      </c>
      <c r="C154" s="10">
        <v>95534</v>
      </c>
      <c r="D154" s="11" t="s">
        <v>75</v>
      </c>
      <c r="F154" s="148">
        <v>584849</v>
      </c>
      <c r="G154" s="152" t="s">
        <v>221</v>
      </c>
      <c r="H154" s="11" t="s">
        <v>75</v>
      </c>
    </row>
    <row r="155" spans="2:8" ht="15" x14ac:dyDescent="0.2">
      <c r="B155" s="12" t="s">
        <v>147</v>
      </c>
      <c r="C155" s="13">
        <v>95476</v>
      </c>
      <c r="D155" s="14" t="s">
        <v>75</v>
      </c>
      <c r="F155" s="149">
        <v>593602</v>
      </c>
      <c r="G155" s="153" t="s">
        <v>222</v>
      </c>
      <c r="H155" s="14" t="s">
        <v>75</v>
      </c>
    </row>
    <row r="156" spans="2:8" ht="15" x14ac:dyDescent="0.2">
      <c r="B156" s="9" t="s">
        <v>80</v>
      </c>
      <c r="C156" s="10">
        <v>56382</v>
      </c>
      <c r="D156" s="11" t="s">
        <v>75</v>
      </c>
      <c r="F156" s="148">
        <v>624839</v>
      </c>
      <c r="G156" s="152" t="s">
        <v>223</v>
      </c>
      <c r="H156" s="11" t="s">
        <v>75</v>
      </c>
    </row>
    <row r="157" spans="2:8" ht="15" x14ac:dyDescent="0.2">
      <c r="B157" s="12" t="s">
        <v>167</v>
      </c>
      <c r="C157" s="13">
        <v>106445</v>
      </c>
      <c r="D157" s="14" t="s">
        <v>75</v>
      </c>
      <c r="F157" s="149">
        <v>680319</v>
      </c>
      <c r="G157" s="153" t="s">
        <v>224</v>
      </c>
      <c r="H157" s="14" t="s">
        <v>73</v>
      </c>
    </row>
    <row r="158" spans="2:8" ht="15" x14ac:dyDescent="0.2">
      <c r="B158" s="9" t="s">
        <v>132</v>
      </c>
      <c r="C158" s="10">
        <v>82688</v>
      </c>
      <c r="D158" s="11" t="s">
        <v>75</v>
      </c>
      <c r="F158" s="148">
        <v>684935</v>
      </c>
      <c r="G158" s="152" t="s">
        <v>225</v>
      </c>
      <c r="H158" s="11" t="s">
        <v>75</v>
      </c>
    </row>
    <row r="159" spans="2:8" ht="15" x14ac:dyDescent="0.2">
      <c r="B159" s="12" t="s">
        <v>136</v>
      </c>
      <c r="C159" s="13">
        <v>87865</v>
      </c>
      <c r="D159" s="14" t="s">
        <v>75</v>
      </c>
      <c r="F159" s="149">
        <v>822060</v>
      </c>
      <c r="G159" s="153" t="s">
        <v>226</v>
      </c>
      <c r="H159" s="14" t="s">
        <v>73</v>
      </c>
    </row>
    <row r="160" spans="2:8" ht="15" x14ac:dyDescent="0.2">
      <c r="B160" s="9" t="s">
        <v>2</v>
      </c>
      <c r="C160" s="10">
        <v>127184</v>
      </c>
      <c r="D160" s="11" t="s">
        <v>73</v>
      </c>
      <c r="F160" s="148">
        <v>1120714</v>
      </c>
      <c r="G160" s="152" t="s">
        <v>227</v>
      </c>
      <c r="H160" s="11" t="s">
        <v>73</v>
      </c>
    </row>
    <row r="161" spans="2:8" ht="15" x14ac:dyDescent="0.2">
      <c r="B161" s="12" t="s">
        <v>187</v>
      </c>
      <c r="C161" s="13">
        <v>108952</v>
      </c>
      <c r="D161" s="14" t="s">
        <v>75</v>
      </c>
      <c r="F161" s="149">
        <v>1319773</v>
      </c>
      <c r="G161" s="153" t="s">
        <v>228</v>
      </c>
      <c r="H161" s="14" t="s">
        <v>75</v>
      </c>
    </row>
    <row r="162" spans="2:8" ht="15" x14ac:dyDescent="0.2">
      <c r="B162" s="9" t="s">
        <v>115</v>
      </c>
      <c r="C162" s="10">
        <v>75445</v>
      </c>
      <c r="D162" s="11" t="s">
        <v>75</v>
      </c>
      <c r="F162" s="148">
        <v>1330207</v>
      </c>
      <c r="G162" s="152" t="s">
        <v>229</v>
      </c>
      <c r="H162" s="11" t="s">
        <v>75</v>
      </c>
    </row>
    <row r="163" spans="2:8" ht="15" x14ac:dyDescent="0.2">
      <c r="B163" s="12" t="s">
        <v>252</v>
      </c>
      <c r="C163" s="13">
        <v>7803512</v>
      </c>
      <c r="D163" s="14" t="s">
        <v>73</v>
      </c>
      <c r="F163" s="149">
        <v>1332214</v>
      </c>
      <c r="G163" s="153" t="s">
        <v>230</v>
      </c>
      <c r="H163" s="14" t="s">
        <v>73</v>
      </c>
    </row>
    <row r="164" spans="2:8" ht="15" x14ac:dyDescent="0.2">
      <c r="B164" s="9" t="s">
        <v>249</v>
      </c>
      <c r="C164" s="10">
        <v>7723140</v>
      </c>
      <c r="D164" s="11" t="s">
        <v>73</v>
      </c>
      <c r="F164" s="148">
        <v>1336363</v>
      </c>
      <c r="G164" s="152" t="s">
        <v>231</v>
      </c>
      <c r="H164" s="11" t="s">
        <v>75</v>
      </c>
    </row>
    <row r="165" spans="2:8" ht="15" x14ac:dyDescent="0.2">
      <c r="B165" s="12" t="s">
        <v>134</v>
      </c>
      <c r="C165" s="13">
        <v>85449</v>
      </c>
      <c r="D165" s="14" t="s">
        <v>73</v>
      </c>
      <c r="F165" s="149">
        <v>1582098</v>
      </c>
      <c r="G165" s="153" t="s">
        <v>232</v>
      </c>
      <c r="H165" s="14" t="s">
        <v>73</v>
      </c>
    </row>
    <row r="166" spans="2:8" ht="15" x14ac:dyDescent="0.2">
      <c r="B166" s="9" t="s">
        <v>231</v>
      </c>
      <c r="C166" s="10">
        <v>1336363</v>
      </c>
      <c r="D166" s="11" t="s">
        <v>75</v>
      </c>
      <c r="F166" s="148">
        <v>1634044</v>
      </c>
      <c r="G166" s="152" t="s">
        <v>233</v>
      </c>
      <c r="H166" s="11" t="s">
        <v>75</v>
      </c>
    </row>
    <row r="167" spans="2:8" ht="15" x14ac:dyDescent="0.2">
      <c r="B167" s="12" t="s">
        <v>169</v>
      </c>
      <c r="C167" s="13">
        <v>106503</v>
      </c>
      <c r="D167" s="14" t="s">
        <v>75</v>
      </c>
      <c r="F167" s="149">
        <v>1746016</v>
      </c>
      <c r="G167" s="153" t="s">
        <v>234</v>
      </c>
      <c r="H167" s="14" t="s">
        <v>73</v>
      </c>
    </row>
    <row r="168" spans="2:8" ht="15" x14ac:dyDescent="0.2">
      <c r="B168" s="9" t="s">
        <v>202</v>
      </c>
      <c r="C168" s="10">
        <v>123386</v>
      </c>
      <c r="D168" s="11" t="s">
        <v>75</v>
      </c>
      <c r="F168" s="148">
        <v>3547044</v>
      </c>
      <c r="G168" s="152" t="s">
        <v>235</v>
      </c>
      <c r="H168" s="11" t="s">
        <v>75</v>
      </c>
    </row>
    <row r="169" spans="2:8" ht="15" x14ac:dyDescent="0.2">
      <c r="B169" s="12" t="s">
        <v>190</v>
      </c>
      <c r="C169" s="13">
        <v>114261</v>
      </c>
      <c r="D169" s="14" t="s">
        <v>73</v>
      </c>
      <c r="F169" s="149">
        <v>7439921</v>
      </c>
      <c r="G169" s="153" t="s">
        <v>236</v>
      </c>
      <c r="H169" s="14" t="s">
        <v>73</v>
      </c>
    </row>
    <row r="170" spans="2:8" ht="15" x14ac:dyDescent="0.2">
      <c r="B170" s="9" t="s">
        <v>117</v>
      </c>
      <c r="C170" s="10">
        <v>75569</v>
      </c>
      <c r="D170" s="11" t="s">
        <v>75</v>
      </c>
      <c r="F170" s="148">
        <v>7439965</v>
      </c>
      <c r="G170" s="152" t="s">
        <v>237</v>
      </c>
      <c r="H170" s="11" t="s">
        <v>73</v>
      </c>
    </row>
    <row r="171" spans="2:8" ht="15" x14ac:dyDescent="0.2">
      <c r="B171" s="12" t="s">
        <v>166</v>
      </c>
      <c r="C171" s="13">
        <v>106423</v>
      </c>
      <c r="D171" s="14" t="s">
        <v>75</v>
      </c>
      <c r="F171" s="149">
        <v>7439976</v>
      </c>
      <c r="G171" s="153" t="s">
        <v>238</v>
      </c>
      <c r="H171" s="14" t="s">
        <v>73</v>
      </c>
    </row>
    <row r="172" spans="2:8" ht="15" x14ac:dyDescent="0.2">
      <c r="B172" s="9" t="s">
        <v>140</v>
      </c>
      <c r="C172" s="10">
        <v>91225</v>
      </c>
      <c r="D172" s="11" t="s">
        <v>75</v>
      </c>
      <c r="F172" s="148">
        <v>7440020</v>
      </c>
      <c r="G172" s="152" t="s">
        <v>239</v>
      </c>
      <c r="H172" s="11" t="s">
        <v>73</v>
      </c>
    </row>
    <row r="173" spans="2:8" ht="15" x14ac:dyDescent="0.2">
      <c r="B173" s="12" t="s">
        <v>170</v>
      </c>
      <c r="C173" s="13">
        <v>106514</v>
      </c>
      <c r="D173" s="14" t="s">
        <v>75</v>
      </c>
      <c r="F173" s="149">
        <v>7440360</v>
      </c>
      <c r="G173" s="153" t="s">
        <v>240</v>
      </c>
      <c r="H173" s="14" t="s">
        <v>73</v>
      </c>
    </row>
    <row r="174" spans="2:8" ht="15" x14ac:dyDescent="0.2">
      <c r="B174" s="9" t="s">
        <v>250</v>
      </c>
      <c r="C174" s="10">
        <v>7782492</v>
      </c>
      <c r="D174" s="11" t="s">
        <v>73</v>
      </c>
      <c r="F174" s="148">
        <v>7440382</v>
      </c>
      <c r="G174" s="152" t="s">
        <v>241</v>
      </c>
      <c r="H174" s="11" t="s">
        <v>73</v>
      </c>
    </row>
    <row r="175" spans="2:8" ht="15" x14ac:dyDescent="0.2">
      <c r="B175" s="12" t="s">
        <v>161</v>
      </c>
      <c r="C175" s="13">
        <v>100425</v>
      </c>
      <c r="D175" s="14" t="s">
        <v>75</v>
      </c>
      <c r="F175" s="149">
        <v>7440417</v>
      </c>
      <c r="G175" s="153" t="s">
        <v>242</v>
      </c>
      <c r="H175" s="14" t="s">
        <v>73</v>
      </c>
    </row>
    <row r="176" spans="2:8" ht="15" x14ac:dyDescent="0.2">
      <c r="B176" s="9" t="s">
        <v>152</v>
      </c>
      <c r="C176" s="10">
        <v>96093</v>
      </c>
      <c r="D176" s="11" t="s">
        <v>75</v>
      </c>
      <c r="F176" s="148">
        <v>7440439</v>
      </c>
      <c r="G176" s="152" t="s">
        <v>243</v>
      </c>
      <c r="H176" s="11" t="s">
        <v>73</v>
      </c>
    </row>
    <row r="177" spans="2:8" ht="15" x14ac:dyDescent="0.2">
      <c r="B177" s="12" t="s">
        <v>246</v>
      </c>
      <c r="C177" s="13">
        <v>7550450</v>
      </c>
      <c r="D177" s="14" t="s">
        <v>73</v>
      </c>
      <c r="F177" s="149">
        <v>7440473</v>
      </c>
      <c r="G177" s="153" t="s">
        <v>244</v>
      </c>
      <c r="H177" s="14" t="s">
        <v>73</v>
      </c>
    </row>
    <row r="178" spans="2:8" ht="15" x14ac:dyDescent="0.2">
      <c r="B178" s="9" t="s">
        <v>1</v>
      </c>
      <c r="C178" s="10">
        <v>108883</v>
      </c>
      <c r="D178" s="11" t="s">
        <v>75</v>
      </c>
      <c r="F178" s="148">
        <v>7440484</v>
      </c>
      <c r="G178" s="152" t="s">
        <v>245</v>
      </c>
      <c r="H178" s="11" t="s">
        <v>73</v>
      </c>
    </row>
    <row r="179" spans="2:8" ht="15" x14ac:dyDescent="0.2">
      <c r="B179" s="12" t="s">
        <v>253</v>
      </c>
      <c r="C179" s="13">
        <v>8001352</v>
      </c>
      <c r="D179" s="14" t="s">
        <v>73</v>
      </c>
      <c r="F179" s="149">
        <v>7550450</v>
      </c>
      <c r="G179" s="153" t="s">
        <v>246</v>
      </c>
      <c r="H179" s="14" t="s">
        <v>73</v>
      </c>
    </row>
    <row r="180" spans="2:8" ht="15" x14ac:dyDescent="0.2">
      <c r="B180" s="9" t="s">
        <v>124</v>
      </c>
      <c r="C180" s="10">
        <v>79016</v>
      </c>
      <c r="D180" s="11" t="s">
        <v>75</v>
      </c>
      <c r="F180" s="148">
        <v>7647010</v>
      </c>
      <c r="G180" s="152" t="s">
        <v>247</v>
      </c>
      <c r="H180" s="11" t="s">
        <v>73</v>
      </c>
    </row>
    <row r="181" spans="2:8" ht="15" x14ac:dyDescent="0.2">
      <c r="B181" s="12" t="s">
        <v>198</v>
      </c>
      <c r="C181" s="13">
        <v>121448</v>
      </c>
      <c r="D181" s="14" t="s">
        <v>75</v>
      </c>
      <c r="F181" s="149">
        <v>7664393</v>
      </c>
      <c r="G181" s="153" t="s">
        <v>248</v>
      </c>
      <c r="H181" s="14" t="s">
        <v>73</v>
      </c>
    </row>
    <row r="182" spans="2:8" ht="15" x14ac:dyDescent="0.2">
      <c r="B182" s="9" t="s">
        <v>232</v>
      </c>
      <c r="C182" s="10">
        <v>1582098</v>
      </c>
      <c r="D182" s="11" t="s">
        <v>73</v>
      </c>
      <c r="F182" s="148">
        <v>7723140</v>
      </c>
      <c r="G182" s="152" t="s">
        <v>249</v>
      </c>
      <c r="H182" s="11" t="s">
        <v>73</v>
      </c>
    </row>
    <row r="183" spans="2:8" ht="15" x14ac:dyDescent="0.2">
      <c r="B183" s="12" t="s">
        <v>181</v>
      </c>
      <c r="C183" s="13">
        <v>108054</v>
      </c>
      <c r="D183" s="14" t="s">
        <v>75</v>
      </c>
      <c r="F183" s="149">
        <v>7782492</v>
      </c>
      <c r="G183" s="153" t="s">
        <v>250</v>
      </c>
      <c r="H183" s="14" t="s">
        <v>73</v>
      </c>
    </row>
    <row r="184" spans="2:8" ht="15" x14ac:dyDescent="0.2">
      <c r="B184" s="9" t="s">
        <v>222</v>
      </c>
      <c r="C184" s="10">
        <v>593602</v>
      </c>
      <c r="D184" s="11" t="s">
        <v>75</v>
      </c>
      <c r="F184" s="148">
        <v>7782505</v>
      </c>
      <c r="G184" s="152" t="s">
        <v>251</v>
      </c>
      <c r="H184" s="11" t="s">
        <v>73</v>
      </c>
    </row>
    <row r="185" spans="2:8" ht="15" x14ac:dyDescent="0.2">
      <c r="B185" s="12" t="s">
        <v>106</v>
      </c>
      <c r="C185" s="13">
        <v>75014</v>
      </c>
      <c r="D185" s="14" t="s">
        <v>75</v>
      </c>
      <c r="F185" s="149">
        <v>7803512</v>
      </c>
      <c r="G185" s="153" t="s">
        <v>252</v>
      </c>
      <c r="H185" s="14" t="s">
        <v>73</v>
      </c>
    </row>
    <row r="186" spans="2:8" ht="15.75" thickBot="1" x14ac:dyDescent="0.25">
      <c r="B186" s="15" t="s">
        <v>229</v>
      </c>
      <c r="C186" s="16">
        <v>1330207</v>
      </c>
      <c r="D186" s="17" t="s">
        <v>75</v>
      </c>
      <c r="F186" s="155">
        <v>8001352</v>
      </c>
      <c r="G186" s="156" t="s">
        <v>253</v>
      </c>
      <c r="H186" s="17" t="s">
        <v>73</v>
      </c>
    </row>
    <row r="187" spans="2:8" ht="13.5" thickTop="1" x14ac:dyDescent="0.2"/>
    <row r="192" spans="2:8" x14ac:dyDescent="0.2">
      <c r="C192" s="2"/>
      <c r="D192" s="2"/>
    </row>
    <row r="193" spans="3:4" x14ac:dyDescent="0.2">
      <c r="C193" s="2"/>
      <c r="D193" s="2"/>
    </row>
    <row r="194" spans="3:4" x14ac:dyDescent="0.2">
      <c r="C194" s="2"/>
      <c r="D194" s="2"/>
    </row>
    <row r="195" spans="3:4" x14ac:dyDescent="0.2">
      <c r="C195" s="2"/>
      <c r="D195" s="2"/>
    </row>
    <row r="196" spans="3:4" x14ac:dyDescent="0.2">
      <c r="C196" s="2"/>
      <c r="D196" s="2"/>
    </row>
    <row r="197" spans="3:4" x14ac:dyDescent="0.2">
      <c r="C197" s="2"/>
      <c r="D197" s="2"/>
    </row>
    <row r="198" spans="3:4" x14ac:dyDescent="0.2">
      <c r="C198" s="2"/>
      <c r="D198" s="2"/>
    </row>
    <row r="199" spans="3:4" x14ac:dyDescent="0.2">
      <c r="C199" s="2"/>
      <c r="D199" s="2"/>
    </row>
    <row r="200" spans="3:4" x14ac:dyDescent="0.2">
      <c r="C200" s="2"/>
      <c r="D200" s="2"/>
    </row>
    <row r="201" spans="3:4" x14ac:dyDescent="0.2">
      <c r="C201" s="2"/>
      <c r="D201" s="2"/>
    </row>
    <row r="202" spans="3:4" x14ac:dyDescent="0.2">
      <c r="C202" s="2"/>
      <c r="D202" s="2"/>
    </row>
    <row r="203" spans="3:4" x14ac:dyDescent="0.2">
      <c r="C203" s="2"/>
      <c r="D203" s="2"/>
    </row>
    <row r="204" spans="3:4" x14ac:dyDescent="0.2">
      <c r="C204" s="2"/>
      <c r="D204" s="2"/>
    </row>
    <row r="205" spans="3:4" x14ac:dyDescent="0.2">
      <c r="C205" s="2"/>
      <c r="D205" s="2"/>
    </row>
    <row r="206" spans="3:4" x14ac:dyDescent="0.2">
      <c r="C206" s="2"/>
      <c r="D206" s="2"/>
    </row>
    <row r="207" spans="3:4" x14ac:dyDescent="0.2">
      <c r="C207" s="2"/>
      <c r="D207" s="2"/>
    </row>
    <row r="208" spans="3:4" x14ac:dyDescent="0.2">
      <c r="C208" s="2"/>
      <c r="D208" s="2"/>
    </row>
    <row r="209" spans="3:4" x14ac:dyDescent="0.2">
      <c r="C209" s="2"/>
      <c r="D209" s="2"/>
    </row>
    <row r="210" spans="3:4" x14ac:dyDescent="0.2">
      <c r="C210" s="2"/>
      <c r="D210" s="2"/>
    </row>
    <row r="211" spans="3:4" x14ac:dyDescent="0.2">
      <c r="C211" s="2"/>
      <c r="D211" s="2"/>
    </row>
    <row r="212" spans="3:4" x14ac:dyDescent="0.2">
      <c r="C212" s="2"/>
      <c r="D212" s="2"/>
    </row>
    <row r="213" spans="3:4" x14ac:dyDescent="0.2">
      <c r="C213" s="2"/>
      <c r="D213" s="2"/>
    </row>
    <row r="214" spans="3:4" x14ac:dyDescent="0.2">
      <c r="C214" s="2"/>
      <c r="D214" s="2"/>
    </row>
    <row r="215" spans="3:4" x14ac:dyDescent="0.2">
      <c r="C215" s="2"/>
      <c r="D215" s="2"/>
    </row>
    <row r="216" spans="3:4" x14ac:dyDescent="0.2">
      <c r="C216" s="2"/>
      <c r="D216" s="2"/>
    </row>
    <row r="217" spans="3:4" x14ac:dyDescent="0.2">
      <c r="C217" s="2"/>
      <c r="D217" s="2"/>
    </row>
    <row r="218" spans="3:4" x14ac:dyDescent="0.2">
      <c r="C218" s="2"/>
      <c r="D218" s="2"/>
    </row>
    <row r="219" spans="3:4" x14ac:dyDescent="0.2">
      <c r="C219" s="2"/>
      <c r="D219" s="2"/>
    </row>
    <row r="220" spans="3:4" x14ac:dyDescent="0.2">
      <c r="C220" s="2"/>
      <c r="D220" s="2"/>
    </row>
    <row r="221" spans="3:4" x14ac:dyDescent="0.2">
      <c r="C221" s="2"/>
      <c r="D221" s="2"/>
    </row>
    <row r="222" spans="3:4" x14ac:dyDescent="0.2">
      <c r="C222" s="2"/>
      <c r="D222" s="2"/>
    </row>
    <row r="223" spans="3:4" x14ac:dyDescent="0.2">
      <c r="C223" s="2"/>
      <c r="D223" s="2"/>
    </row>
    <row r="224" spans="3:4" x14ac:dyDescent="0.2">
      <c r="C224" s="2"/>
      <c r="D224" s="2"/>
    </row>
    <row r="225" spans="3:4" x14ac:dyDescent="0.2">
      <c r="C225" s="2"/>
      <c r="D225" s="2"/>
    </row>
    <row r="226" spans="3:4" x14ac:dyDescent="0.2">
      <c r="C226" s="2"/>
      <c r="D226" s="2"/>
    </row>
    <row r="227" spans="3:4" x14ac:dyDescent="0.2">
      <c r="C227" s="2"/>
      <c r="D227" s="2"/>
    </row>
    <row r="228" spans="3:4" x14ac:dyDescent="0.2">
      <c r="C228" s="2"/>
      <c r="D228" s="2"/>
    </row>
    <row r="229" spans="3:4" x14ac:dyDescent="0.2">
      <c r="C229" s="2"/>
      <c r="D229" s="2"/>
    </row>
    <row r="230" spans="3:4" x14ac:dyDescent="0.2">
      <c r="C230" s="2"/>
      <c r="D230" s="2"/>
    </row>
    <row r="231" spans="3:4" x14ac:dyDescent="0.2">
      <c r="C231" s="2"/>
      <c r="D231" s="2"/>
    </row>
    <row r="232" spans="3:4" x14ac:dyDescent="0.2">
      <c r="C232" s="2"/>
      <c r="D232" s="2"/>
    </row>
    <row r="233" spans="3:4" x14ac:dyDescent="0.2">
      <c r="C233" s="2"/>
      <c r="D233" s="2"/>
    </row>
    <row r="234" spans="3:4" x14ac:dyDescent="0.2">
      <c r="C234" s="2"/>
      <c r="D234" s="2"/>
    </row>
    <row r="235" spans="3:4" x14ac:dyDescent="0.2">
      <c r="C235" s="2"/>
      <c r="D235" s="2"/>
    </row>
    <row r="236" spans="3:4" x14ac:dyDescent="0.2">
      <c r="C236" s="2"/>
      <c r="D236" s="2"/>
    </row>
    <row r="237" spans="3:4" x14ac:dyDescent="0.2">
      <c r="C237" s="2"/>
      <c r="D237" s="2"/>
    </row>
    <row r="238" spans="3:4" x14ac:dyDescent="0.2">
      <c r="C238" s="2"/>
      <c r="D238" s="2"/>
    </row>
    <row r="239" spans="3:4" x14ac:dyDescent="0.2">
      <c r="C239" s="2"/>
      <c r="D239" s="2"/>
    </row>
    <row r="240" spans="3:4" x14ac:dyDescent="0.2">
      <c r="C240" s="2"/>
      <c r="D240" s="2"/>
    </row>
    <row r="241" spans="3:4" x14ac:dyDescent="0.2">
      <c r="C241" s="2"/>
      <c r="D241" s="2"/>
    </row>
    <row r="242" spans="3:4" x14ac:dyDescent="0.2">
      <c r="C242" s="2"/>
      <c r="D242" s="2"/>
    </row>
    <row r="243" spans="3:4" x14ac:dyDescent="0.2">
      <c r="C243" s="2"/>
      <c r="D243" s="2"/>
    </row>
    <row r="244" spans="3:4" x14ac:dyDescent="0.2">
      <c r="C244" s="2"/>
      <c r="D244" s="2"/>
    </row>
    <row r="245" spans="3:4" x14ac:dyDescent="0.2">
      <c r="C245" s="2"/>
      <c r="D245" s="2"/>
    </row>
    <row r="246" spans="3:4" x14ac:dyDescent="0.2">
      <c r="C246" s="2"/>
      <c r="D246" s="2"/>
    </row>
    <row r="247" spans="3:4" x14ac:dyDescent="0.2">
      <c r="C247" s="2"/>
      <c r="D247" s="2"/>
    </row>
    <row r="248" spans="3:4" x14ac:dyDescent="0.2">
      <c r="C248" s="2"/>
      <c r="D248" s="2"/>
    </row>
    <row r="249" spans="3:4" x14ac:dyDescent="0.2">
      <c r="C249" s="2"/>
      <c r="D249" s="2"/>
    </row>
    <row r="250" spans="3:4" x14ac:dyDescent="0.2">
      <c r="C250" s="2"/>
      <c r="D250" s="2"/>
    </row>
    <row r="251" spans="3:4" x14ac:dyDescent="0.2">
      <c r="C251" s="2"/>
      <c r="D251" s="2"/>
    </row>
    <row r="252" spans="3:4" x14ac:dyDescent="0.2">
      <c r="C252" s="2"/>
      <c r="D252" s="2"/>
    </row>
    <row r="253" spans="3:4" x14ac:dyDescent="0.2">
      <c r="C253" s="2"/>
      <c r="D253" s="2"/>
    </row>
    <row r="254" spans="3:4" x14ac:dyDescent="0.2">
      <c r="C254" s="2"/>
      <c r="D254" s="2"/>
    </row>
    <row r="255" spans="3:4" x14ac:dyDescent="0.2">
      <c r="C255" s="2"/>
      <c r="D255" s="2"/>
    </row>
    <row r="256" spans="3:4" x14ac:dyDescent="0.2">
      <c r="C256" s="2"/>
      <c r="D256" s="2"/>
    </row>
    <row r="257" spans="3:4" x14ac:dyDescent="0.2">
      <c r="C257" s="2"/>
      <c r="D257" s="2"/>
    </row>
    <row r="258" spans="3:4" x14ac:dyDescent="0.2">
      <c r="C258" s="2"/>
      <c r="D258" s="2"/>
    </row>
    <row r="259" spans="3:4" x14ac:dyDescent="0.2">
      <c r="C259" s="2"/>
      <c r="D259" s="2"/>
    </row>
    <row r="260" spans="3:4" x14ac:dyDescent="0.2">
      <c r="C260" s="2"/>
      <c r="D260" s="2"/>
    </row>
    <row r="261" spans="3:4" x14ac:dyDescent="0.2">
      <c r="C261" s="2"/>
      <c r="D261" s="2"/>
    </row>
    <row r="262" spans="3:4" x14ac:dyDescent="0.2">
      <c r="C262" s="2"/>
      <c r="D262" s="2"/>
    </row>
    <row r="263" spans="3:4" x14ac:dyDescent="0.2">
      <c r="C263" s="2"/>
      <c r="D263" s="2"/>
    </row>
    <row r="264" spans="3:4" x14ac:dyDescent="0.2">
      <c r="C264" s="2"/>
      <c r="D264" s="2"/>
    </row>
    <row r="265" spans="3:4" x14ac:dyDescent="0.2">
      <c r="C265" s="2"/>
      <c r="D265" s="2"/>
    </row>
    <row r="266" spans="3:4" x14ac:dyDescent="0.2">
      <c r="C266" s="2"/>
      <c r="D266" s="2"/>
    </row>
    <row r="267" spans="3:4" x14ac:dyDescent="0.2">
      <c r="C267" s="2"/>
      <c r="D267" s="2"/>
    </row>
    <row r="268" spans="3:4" x14ac:dyDescent="0.2">
      <c r="C268" s="2"/>
      <c r="D268" s="2"/>
    </row>
    <row r="269" spans="3:4" x14ac:dyDescent="0.2">
      <c r="C269" s="2"/>
      <c r="D269" s="2"/>
    </row>
    <row r="270" spans="3:4" x14ac:dyDescent="0.2">
      <c r="C270" s="2"/>
      <c r="D270" s="2"/>
    </row>
    <row r="271" spans="3:4" x14ac:dyDescent="0.2">
      <c r="C271" s="2"/>
      <c r="D271" s="2"/>
    </row>
    <row r="272" spans="3:4" x14ac:dyDescent="0.2">
      <c r="C272" s="2"/>
      <c r="D272" s="2"/>
    </row>
    <row r="273" spans="3:4" x14ac:dyDescent="0.2">
      <c r="C273" s="2"/>
      <c r="D273" s="2"/>
    </row>
    <row r="274" spans="3:4" x14ac:dyDescent="0.2">
      <c r="C274" s="2"/>
      <c r="D274" s="2"/>
    </row>
    <row r="275" spans="3:4" x14ac:dyDescent="0.2">
      <c r="C275" s="2"/>
      <c r="D275" s="2"/>
    </row>
    <row r="276" spans="3:4" x14ac:dyDescent="0.2">
      <c r="C276" s="2"/>
      <c r="D276" s="2"/>
    </row>
    <row r="277" spans="3:4" x14ac:dyDescent="0.2">
      <c r="C277" s="2"/>
      <c r="D277" s="2"/>
    </row>
    <row r="278" spans="3:4" x14ac:dyDescent="0.2">
      <c r="C278" s="2"/>
      <c r="D278" s="2"/>
    </row>
    <row r="279" spans="3:4" x14ac:dyDescent="0.2">
      <c r="C279" s="2"/>
      <c r="D279" s="2"/>
    </row>
    <row r="280" spans="3:4" x14ac:dyDescent="0.2">
      <c r="C280" s="2"/>
      <c r="D280" s="2"/>
    </row>
    <row r="281" spans="3:4" x14ac:dyDescent="0.2">
      <c r="C281" s="2"/>
      <c r="D281" s="2"/>
    </row>
    <row r="282" spans="3:4" x14ac:dyDescent="0.2">
      <c r="C282" s="2"/>
      <c r="D282" s="2"/>
    </row>
    <row r="283" spans="3:4" x14ac:dyDescent="0.2">
      <c r="C283" s="2"/>
      <c r="D283" s="2"/>
    </row>
    <row r="284" spans="3:4" x14ac:dyDescent="0.2">
      <c r="C284" s="2"/>
      <c r="D284" s="2"/>
    </row>
    <row r="285" spans="3:4" x14ac:dyDescent="0.2">
      <c r="C285" s="2"/>
      <c r="D285" s="2"/>
    </row>
    <row r="286" spans="3:4" x14ac:dyDescent="0.2">
      <c r="C286" s="2"/>
      <c r="D286" s="2"/>
    </row>
    <row r="287" spans="3:4" x14ac:dyDescent="0.2">
      <c r="C287" s="2"/>
      <c r="D287" s="2"/>
    </row>
    <row r="288" spans="3:4" x14ac:dyDescent="0.2">
      <c r="C288" s="2"/>
      <c r="D288" s="2"/>
    </row>
    <row r="289" spans="3:4" x14ac:dyDescent="0.2">
      <c r="C289" s="2"/>
      <c r="D289" s="2"/>
    </row>
    <row r="290" spans="3:4" x14ac:dyDescent="0.2">
      <c r="C290" s="2"/>
      <c r="D290" s="2"/>
    </row>
    <row r="291" spans="3:4" x14ac:dyDescent="0.2">
      <c r="C291" s="2"/>
      <c r="D291" s="2"/>
    </row>
    <row r="292" spans="3:4" x14ac:dyDescent="0.2">
      <c r="C292" s="2"/>
      <c r="D292" s="2"/>
    </row>
    <row r="293" spans="3:4" x14ac:dyDescent="0.2">
      <c r="C293" s="2"/>
      <c r="D293" s="2"/>
    </row>
    <row r="294" spans="3:4" x14ac:dyDescent="0.2">
      <c r="C294" s="2"/>
      <c r="D294" s="2"/>
    </row>
    <row r="295" spans="3:4" x14ac:dyDescent="0.2">
      <c r="C295" s="2"/>
      <c r="D295" s="2"/>
    </row>
    <row r="296" spans="3:4" x14ac:dyDescent="0.2">
      <c r="C296" s="2"/>
      <c r="D296" s="2"/>
    </row>
    <row r="297" spans="3:4" x14ac:dyDescent="0.2">
      <c r="C297" s="2"/>
      <c r="D297" s="2"/>
    </row>
    <row r="298" spans="3:4" x14ac:dyDescent="0.2">
      <c r="C298" s="2"/>
      <c r="D298" s="2"/>
    </row>
    <row r="299" spans="3:4" x14ac:dyDescent="0.2">
      <c r="C299" s="2"/>
      <c r="D299" s="2"/>
    </row>
    <row r="300" spans="3:4" x14ac:dyDescent="0.2">
      <c r="C300" s="2"/>
      <c r="D300" s="2"/>
    </row>
    <row r="301" spans="3:4" x14ac:dyDescent="0.2">
      <c r="C301" s="2"/>
      <c r="D301" s="2"/>
    </row>
    <row r="302" spans="3:4" x14ac:dyDescent="0.2">
      <c r="C302" s="2"/>
      <c r="D302" s="2"/>
    </row>
    <row r="303" spans="3:4" x14ac:dyDescent="0.2">
      <c r="C303" s="2"/>
      <c r="D303" s="2"/>
    </row>
    <row r="304" spans="3:4" x14ac:dyDescent="0.2">
      <c r="C304" s="2"/>
      <c r="D304" s="2"/>
    </row>
    <row r="305" spans="3:4" x14ac:dyDescent="0.2">
      <c r="C305" s="2"/>
      <c r="D305" s="2"/>
    </row>
    <row r="306" spans="3:4" x14ac:dyDescent="0.2">
      <c r="C306" s="2"/>
      <c r="D306" s="2"/>
    </row>
    <row r="307" spans="3:4" x14ac:dyDescent="0.2">
      <c r="C307" s="2"/>
      <c r="D307" s="2"/>
    </row>
    <row r="308" spans="3:4" x14ac:dyDescent="0.2">
      <c r="C308" s="2"/>
      <c r="D308" s="2"/>
    </row>
    <row r="309" spans="3:4" x14ac:dyDescent="0.2">
      <c r="C309" s="2"/>
      <c r="D309" s="2"/>
    </row>
    <row r="310" spans="3:4" x14ac:dyDescent="0.2">
      <c r="C310" s="2"/>
      <c r="D310" s="2"/>
    </row>
    <row r="311" spans="3:4" x14ac:dyDescent="0.2">
      <c r="C311" s="2"/>
      <c r="D311" s="2"/>
    </row>
    <row r="312" spans="3:4" x14ac:dyDescent="0.2">
      <c r="C312" s="2"/>
      <c r="D312" s="2"/>
    </row>
    <row r="313" spans="3:4" x14ac:dyDescent="0.2">
      <c r="C313" s="2"/>
      <c r="D313" s="2"/>
    </row>
    <row r="314" spans="3:4" x14ac:dyDescent="0.2">
      <c r="C314" s="2"/>
      <c r="D314" s="2"/>
    </row>
    <row r="315" spans="3:4" x14ac:dyDescent="0.2">
      <c r="C315" s="2"/>
      <c r="D315" s="2"/>
    </row>
    <row r="316" spans="3:4" x14ac:dyDescent="0.2">
      <c r="C316" s="2"/>
      <c r="D316" s="2"/>
    </row>
    <row r="317" spans="3:4" x14ac:dyDescent="0.2">
      <c r="C317" s="2"/>
      <c r="D317" s="2"/>
    </row>
    <row r="318" spans="3:4" x14ac:dyDescent="0.2">
      <c r="C318" s="2"/>
      <c r="D318" s="2"/>
    </row>
    <row r="319" spans="3:4" x14ac:dyDescent="0.2">
      <c r="C319" s="2"/>
      <c r="D319" s="2"/>
    </row>
    <row r="320" spans="3:4" x14ac:dyDescent="0.2">
      <c r="C320" s="2"/>
      <c r="D320" s="2"/>
    </row>
    <row r="321" spans="3:4" x14ac:dyDescent="0.2">
      <c r="C321" s="2"/>
      <c r="D321" s="2"/>
    </row>
    <row r="322" spans="3:4" x14ac:dyDescent="0.2">
      <c r="C322" s="2"/>
      <c r="D322" s="2"/>
    </row>
    <row r="323" spans="3:4" x14ac:dyDescent="0.2">
      <c r="C323" s="2"/>
      <c r="D323" s="2"/>
    </row>
    <row r="324" spans="3:4" x14ac:dyDescent="0.2">
      <c r="C324" s="2"/>
      <c r="D324" s="2"/>
    </row>
    <row r="325" spans="3:4" x14ac:dyDescent="0.2">
      <c r="C325" s="2"/>
      <c r="D325" s="2"/>
    </row>
    <row r="326" spans="3:4" x14ac:dyDescent="0.2">
      <c r="C326" s="2"/>
      <c r="D326" s="2"/>
    </row>
    <row r="327" spans="3:4" x14ac:dyDescent="0.2">
      <c r="C327" s="2"/>
      <c r="D327" s="2"/>
    </row>
    <row r="328" spans="3:4" x14ac:dyDescent="0.2">
      <c r="C328" s="2"/>
      <c r="D328" s="2"/>
    </row>
    <row r="329" spans="3:4" x14ac:dyDescent="0.2">
      <c r="C329" s="2"/>
      <c r="D329" s="2"/>
    </row>
    <row r="330" spans="3:4" x14ac:dyDescent="0.2">
      <c r="C330" s="2"/>
      <c r="D330" s="2"/>
    </row>
    <row r="331" spans="3:4" x14ac:dyDescent="0.2">
      <c r="C331" s="2"/>
      <c r="D331" s="2"/>
    </row>
    <row r="332" spans="3:4" x14ac:dyDescent="0.2">
      <c r="C332" s="2"/>
      <c r="D332" s="2"/>
    </row>
    <row r="333" spans="3:4" x14ac:dyDescent="0.2">
      <c r="C333" s="2"/>
      <c r="D333" s="2"/>
    </row>
    <row r="334" spans="3:4" x14ac:dyDescent="0.2">
      <c r="C334" s="2"/>
      <c r="D334" s="2"/>
    </row>
    <row r="335" spans="3:4" x14ac:dyDescent="0.2">
      <c r="C335" s="2"/>
      <c r="D335" s="2"/>
    </row>
    <row r="336" spans="3:4" x14ac:dyDescent="0.2">
      <c r="C336" s="2"/>
      <c r="D336" s="2"/>
    </row>
    <row r="337" spans="3:4" x14ac:dyDescent="0.2">
      <c r="C337" s="2"/>
      <c r="D337" s="2"/>
    </row>
    <row r="338" spans="3:4" x14ac:dyDescent="0.2">
      <c r="C338" s="2"/>
      <c r="D338" s="2"/>
    </row>
    <row r="339" spans="3:4" x14ac:dyDescent="0.2">
      <c r="C339" s="2"/>
      <c r="D339" s="2"/>
    </row>
    <row r="340" spans="3:4" x14ac:dyDescent="0.2">
      <c r="C340" s="2"/>
      <c r="D340" s="2"/>
    </row>
    <row r="341" spans="3:4" x14ac:dyDescent="0.2">
      <c r="C341" s="2"/>
      <c r="D341" s="2"/>
    </row>
    <row r="342" spans="3:4" x14ac:dyDescent="0.2">
      <c r="C342" s="2"/>
      <c r="D342" s="2"/>
    </row>
    <row r="343" spans="3:4" x14ac:dyDescent="0.2">
      <c r="C343" s="2"/>
      <c r="D343" s="2"/>
    </row>
    <row r="344" spans="3:4" x14ac:dyDescent="0.2">
      <c r="C344" s="2"/>
      <c r="D344" s="2"/>
    </row>
    <row r="345" spans="3:4" x14ac:dyDescent="0.2">
      <c r="C345" s="2"/>
      <c r="D345" s="2"/>
    </row>
    <row r="346" spans="3:4" x14ac:dyDescent="0.2">
      <c r="C346" s="2"/>
      <c r="D346" s="2"/>
    </row>
    <row r="347" spans="3:4" x14ac:dyDescent="0.2">
      <c r="C347" s="2"/>
      <c r="D347" s="2"/>
    </row>
    <row r="348" spans="3:4" x14ac:dyDescent="0.2">
      <c r="C348" s="2"/>
      <c r="D348" s="2"/>
    </row>
    <row r="349" spans="3:4" x14ac:dyDescent="0.2">
      <c r="C349" s="2"/>
      <c r="D349" s="2"/>
    </row>
    <row r="350" spans="3:4" x14ac:dyDescent="0.2">
      <c r="C350" s="2"/>
      <c r="D350" s="2"/>
    </row>
    <row r="351" spans="3:4" x14ac:dyDescent="0.2">
      <c r="C351" s="2"/>
      <c r="D351" s="2"/>
    </row>
    <row r="352" spans="3:4" x14ac:dyDescent="0.2">
      <c r="C352" s="2"/>
      <c r="D352" s="2"/>
    </row>
    <row r="353" spans="3:4" x14ac:dyDescent="0.2">
      <c r="C353" s="2"/>
      <c r="D353" s="2"/>
    </row>
    <row r="354" spans="3:4" x14ac:dyDescent="0.2">
      <c r="C354" s="2"/>
      <c r="D354" s="2"/>
    </row>
    <row r="355" spans="3:4" x14ac:dyDescent="0.2">
      <c r="C355" s="2"/>
      <c r="D355" s="2"/>
    </row>
    <row r="356" spans="3:4" x14ac:dyDescent="0.2">
      <c r="C356" s="2"/>
      <c r="D356" s="2"/>
    </row>
    <row r="357" spans="3:4" x14ac:dyDescent="0.2">
      <c r="C357" s="2"/>
      <c r="D357" s="2"/>
    </row>
    <row r="358" spans="3:4" x14ac:dyDescent="0.2">
      <c r="C358" s="2"/>
      <c r="D358" s="2"/>
    </row>
    <row r="359" spans="3:4" x14ac:dyDescent="0.2">
      <c r="C359" s="2"/>
      <c r="D359" s="2"/>
    </row>
    <row r="360" spans="3:4" x14ac:dyDescent="0.2">
      <c r="C360" s="2"/>
      <c r="D360" s="2"/>
    </row>
    <row r="361" spans="3:4" x14ac:dyDescent="0.2">
      <c r="C361" s="2"/>
      <c r="D361" s="2"/>
    </row>
    <row r="362" spans="3:4" x14ac:dyDescent="0.2">
      <c r="C362" s="2"/>
      <c r="D362" s="2"/>
    </row>
    <row r="363" spans="3:4" x14ac:dyDescent="0.2">
      <c r="C363" s="2"/>
      <c r="D363" s="2"/>
    </row>
    <row r="364" spans="3:4" x14ac:dyDescent="0.2">
      <c r="C364" s="2"/>
      <c r="D364" s="2"/>
    </row>
    <row r="365" spans="3:4" x14ac:dyDescent="0.2">
      <c r="C365" s="2"/>
      <c r="D365" s="2"/>
    </row>
    <row r="366" spans="3:4" x14ac:dyDescent="0.2">
      <c r="C366" s="2"/>
      <c r="D366" s="2"/>
    </row>
    <row r="367" spans="3:4" x14ac:dyDescent="0.2">
      <c r="C367" s="2"/>
      <c r="D367" s="2"/>
    </row>
    <row r="368" spans="3:4" x14ac:dyDescent="0.2">
      <c r="C368" s="2"/>
      <c r="D368" s="2"/>
    </row>
    <row r="369" spans="3:4" x14ac:dyDescent="0.2">
      <c r="C369" s="2"/>
      <c r="D369" s="2"/>
    </row>
    <row r="370" spans="3:4" x14ac:dyDescent="0.2">
      <c r="C370" s="2"/>
      <c r="D370" s="2"/>
    </row>
    <row r="371" spans="3:4" x14ac:dyDescent="0.2">
      <c r="C371" s="2"/>
      <c r="D371" s="2"/>
    </row>
    <row r="372" spans="3:4" x14ac:dyDescent="0.2">
      <c r="C372" s="2"/>
      <c r="D372" s="2"/>
    </row>
    <row r="373" spans="3:4" x14ac:dyDescent="0.2">
      <c r="C373" s="2"/>
      <c r="D373" s="2"/>
    </row>
    <row r="374" spans="3:4" x14ac:dyDescent="0.2">
      <c r="C374" s="2"/>
      <c r="D374" s="2"/>
    </row>
    <row r="375" spans="3:4" x14ac:dyDescent="0.2">
      <c r="C375" s="2"/>
      <c r="D375" s="2"/>
    </row>
  </sheetData>
  <sheetProtection password="CCBE" sheet="1" objects="1" scenarios="1"/>
  <mergeCells count="3">
    <mergeCell ref="B2:D2"/>
    <mergeCell ref="B1:H1"/>
    <mergeCell ref="F2:H2"/>
  </mergeCells>
  <printOptions horizontalCentered="1"/>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4">
    <tabColor rgb="FF00B050"/>
    <pageSetUpPr fitToPage="1"/>
  </sheetPr>
  <dimension ref="A1:B1067"/>
  <sheetViews>
    <sheetView workbookViewId="0"/>
  </sheetViews>
  <sheetFormatPr defaultRowHeight="15" x14ac:dyDescent="0.25"/>
  <cols>
    <col min="1" max="1" width="16.85546875" style="25" customWidth="1"/>
    <col min="2" max="2" width="103.42578125" style="25" customWidth="1"/>
    <col min="3" max="257" width="9.140625" style="25"/>
    <col min="258" max="258" width="103.42578125" style="25" customWidth="1"/>
    <col min="259" max="513" width="9.140625" style="25"/>
    <col min="514" max="514" width="103.42578125" style="25" customWidth="1"/>
    <col min="515" max="769" width="9.140625" style="25"/>
    <col min="770" max="770" width="103.42578125" style="25" customWidth="1"/>
    <col min="771" max="1025" width="9.140625" style="25"/>
    <col min="1026" max="1026" width="103.42578125" style="25" customWidth="1"/>
    <col min="1027" max="1281" width="9.140625" style="25"/>
    <col min="1282" max="1282" width="103.42578125" style="25" customWidth="1"/>
    <col min="1283" max="1537" width="9.140625" style="25"/>
    <col min="1538" max="1538" width="103.42578125" style="25" customWidth="1"/>
    <col min="1539" max="1793" width="9.140625" style="25"/>
    <col min="1794" max="1794" width="103.42578125" style="25" customWidth="1"/>
    <col min="1795" max="2049" width="9.140625" style="25"/>
    <col min="2050" max="2050" width="103.42578125" style="25" customWidth="1"/>
    <col min="2051" max="2305" width="9.140625" style="25"/>
    <col min="2306" max="2306" width="103.42578125" style="25" customWidth="1"/>
    <col min="2307" max="2561" width="9.140625" style="25"/>
    <col min="2562" max="2562" width="103.42578125" style="25" customWidth="1"/>
    <col min="2563" max="2817" width="9.140625" style="25"/>
    <col min="2818" max="2818" width="103.42578125" style="25" customWidth="1"/>
    <col min="2819" max="3073" width="9.140625" style="25"/>
    <col min="3074" max="3074" width="103.42578125" style="25" customWidth="1"/>
    <col min="3075" max="3329" width="9.140625" style="25"/>
    <col min="3330" max="3330" width="103.42578125" style="25" customWidth="1"/>
    <col min="3331" max="3585" width="9.140625" style="25"/>
    <col min="3586" max="3586" width="103.42578125" style="25" customWidth="1"/>
    <col min="3587" max="3841" width="9.140625" style="25"/>
    <col min="3842" max="3842" width="103.42578125" style="25" customWidth="1"/>
    <col min="3843" max="4097" width="9.140625" style="25"/>
    <col min="4098" max="4098" width="103.42578125" style="25" customWidth="1"/>
    <col min="4099" max="4353" width="9.140625" style="25"/>
    <col min="4354" max="4354" width="103.42578125" style="25" customWidth="1"/>
    <col min="4355" max="4609" width="9.140625" style="25"/>
    <col min="4610" max="4610" width="103.42578125" style="25" customWidth="1"/>
    <col min="4611" max="4865" width="9.140625" style="25"/>
    <col min="4866" max="4866" width="103.42578125" style="25" customWidth="1"/>
    <col min="4867" max="5121" width="9.140625" style="25"/>
    <col min="5122" max="5122" width="103.42578125" style="25" customWidth="1"/>
    <col min="5123" max="5377" width="9.140625" style="25"/>
    <col min="5378" max="5378" width="103.42578125" style="25" customWidth="1"/>
    <col min="5379" max="5633" width="9.140625" style="25"/>
    <col min="5634" max="5634" width="103.42578125" style="25" customWidth="1"/>
    <col min="5635" max="5889" width="9.140625" style="25"/>
    <col min="5890" max="5890" width="103.42578125" style="25" customWidth="1"/>
    <col min="5891" max="6145" width="9.140625" style="25"/>
    <col min="6146" max="6146" width="103.42578125" style="25" customWidth="1"/>
    <col min="6147" max="6401" width="9.140625" style="25"/>
    <col min="6402" max="6402" width="103.42578125" style="25" customWidth="1"/>
    <col min="6403" max="6657" width="9.140625" style="25"/>
    <col min="6658" max="6658" width="103.42578125" style="25" customWidth="1"/>
    <col min="6659" max="6913" width="9.140625" style="25"/>
    <col min="6914" max="6914" width="103.42578125" style="25" customWidth="1"/>
    <col min="6915" max="7169" width="9.140625" style="25"/>
    <col min="7170" max="7170" width="103.42578125" style="25" customWidth="1"/>
    <col min="7171" max="7425" width="9.140625" style="25"/>
    <col min="7426" max="7426" width="103.42578125" style="25" customWidth="1"/>
    <col min="7427" max="7681" width="9.140625" style="25"/>
    <col min="7682" max="7682" width="103.42578125" style="25" customWidth="1"/>
    <col min="7683" max="7937" width="9.140625" style="25"/>
    <col min="7938" max="7938" width="103.42578125" style="25" customWidth="1"/>
    <col min="7939" max="8193" width="9.140625" style="25"/>
    <col min="8194" max="8194" width="103.42578125" style="25" customWidth="1"/>
    <col min="8195" max="8449" width="9.140625" style="25"/>
    <col min="8450" max="8450" width="103.42578125" style="25" customWidth="1"/>
    <col min="8451" max="8705" width="9.140625" style="25"/>
    <col min="8706" max="8706" width="103.42578125" style="25" customWidth="1"/>
    <col min="8707" max="8961" width="9.140625" style="25"/>
    <col min="8962" max="8962" width="103.42578125" style="25" customWidth="1"/>
    <col min="8963" max="9217" width="9.140625" style="25"/>
    <col min="9218" max="9218" width="103.42578125" style="25" customWidth="1"/>
    <col min="9219" max="9473" width="9.140625" style="25"/>
    <col min="9474" max="9474" width="103.42578125" style="25" customWidth="1"/>
    <col min="9475" max="9729" width="9.140625" style="25"/>
    <col min="9730" max="9730" width="103.42578125" style="25" customWidth="1"/>
    <col min="9731" max="9985" width="9.140625" style="25"/>
    <col min="9986" max="9986" width="103.42578125" style="25" customWidth="1"/>
    <col min="9987" max="10241" width="9.140625" style="25"/>
    <col min="10242" max="10242" width="103.42578125" style="25" customWidth="1"/>
    <col min="10243" max="10497" width="9.140625" style="25"/>
    <col min="10498" max="10498" width="103.42578125" style="25" customWidth="1"/>
    <col min="10499" max="10753" width="9.140625" style="25"/>
    <col min="10754" max="10754" width="103.42578125" style="25" customWidth="1"/>
    <col min="10755" max="11009" width="9.140625" style="25"/>
    <col min="11010" max="11010" width="103.42578125" style="25" customWidth="1"/>
    <col min="11011" max="11265" width="9.140625" style="25"/>
    <col min="11266" max="11266" width="103.42578125" style="25" customWidth="1"/>
    <col min="11267" max="11521" width="9.140625" style="25"/>
    <col min="11522" max="11522" width="103.42578125" style="25" customWidth="1"/>
    <col min="11523" max="11777" width="9.140625" style="25"/>
    <col min="11778" max="11778" width="103.42578125" style="25" customWidth="1"/>
    <col min="11779" max="12033" width="9.140625" style="25"/>
    <col min="12034" max="12034" width="103.42578125" style="25" customWidth="1"/>
    <col min="12035" max="12289" width="9.140625" style="25"/>
    <col min="12290" max="12290" width="103.42578125" style="25" customWidth="1"/>
    <col min="12291" max="12545" width="9.140625" style="25"/>
    <col min="12546" max="12546" width="103.42578125" style="25" customWidth="1"/>
    <col min="12547" max="12801" width="9.140625" style="25"/>
    <col min="12802" max="12802" width="103.42578125" style="25" customWidth="1"/>
    <col min="12803" max="13057" width="9.140625" style="25"/>
    <col min="13058" max="13058" width="103.42578125" style="25" customWidth="1"/>
    <col min="13059" max="13313" width="9.140625" style="25"/>
    <col min="13314" max="13314" width="103.42578125" style="25" customWidth="1"/>
    <col min="13315" max="13569" width="9.140625" style="25"/>
    <col min="13570" max="13570" width="103.42578125" style="25" customWidth="1"/>
    <col min="13571" max="13825" width="9.140625" style="25"/>
    <col min="13826" max="13826" width="103.42578125" style="25" customWidth="1"/>
    <col min="13827" max="14081" width="9.140625" style="25"/>
    <col min="14082" max="14082" width="103.42578125" style="25" customWidth="1"/>
    <col min="14083" max="14337" width="9.140625" style="25"/>
    <col min="14338" max="14338" width="103.42578125" style="25" customWidth="1"/>
    <col min="14339" max="14593" width="9.140625" style="25"/>
    <col min="14594" max="14594" width="103.42578125" style="25" customWidth="1"/>
    <col min="14595" max="14849" width="9.140625" style="25"/>
    <col min="14850" max="14850" width="103.42578125" style="25" customWidth="1"/>
    <col min="14851" max="15105" width="9.140625" style="25"/>
    <col min="15106" max="15106" width="103.42578125" style="25" customWidth="1"/>
    <col min="15107" max="15361" width="9.140625" style="25"/>
    <col min="15362" max="15362" width="103.42578125" style="25" customWidth="1"/>
    <col min="15363" max="15617" width="9.140625" style="25"/>
    <col min="15618" max="15618" width="103.42578125" style="25" customWidth="1"/>
    <col min="15619" max="15873" width="9.140625" style="25"/>
    <col min="15874" max="15874" width="103.42578125" style="25" customWidth="1"/>
    <col min="15875" max="16129" width="9.140625" style="25"/>
    <col min="16130" max="16130" width="103.42578125" style="25" customWidth="1"/>
    <col min="16131" max="16384" width="9.140625" style="25"/>
  </cols>
  <sheetData>
    <row r="1" spans="1:2" s="186" customFormat="1" ht="38.25" customHeight="1" thickBot="1" x14ac:dyDescent="0.25">
      <c r="A1" s="184" t="s">
        <v>299</v>
      </c>
      <c r="B1" s="185" t="s">
        <v>300</v>
      </c>
    </row>
    <row r="2" spans="1:2" x14ac:dyDescent="0.25">
      <c r="A2" s="187"/>
      <c r="B2" s="187"/>
    </row>
    <row r="3" spans="1:2" x14ac:dyDescent="0.25">
      <c r="A3" s="187">
        <v>111110</v>
      </c>
      <c r="B3" s="187" t="s">
        <v>301</v>
      </c>
    </row>
    <row r="4" spans="1:2" x14ac:dyDescent="0.25">
      <c r="A4" s="187">
        <v>111120</v>
      </c>
      <c r="B4" s="187" t="s">
        <v>302</v>
      </c>
    </row>
    <row r="5" spans="1:2" x14ac:dyDescent="0.25">
      <c r="A5" s="187">
        <v>111130</v>
      </c>
      <c r="B5" s="187" t="s">
        <v>303</v>
      </c>
    </row>
    <row r="6" spans="1:2" x14ac:dyDescent="0.25">
      <c r="A6" s="187">
        <v>111140</v>
      </c>
      <c r="B6" s="187" t="s">
        <v>304</v>
      </c>
    </row>
    <row r="7" spans="1:2" x14ac:dyDescent="0.25">
      <c r="A7" s="187">
        <v>111150</v>
      </c>
      <c r="B7" s="187" t="s">
        <v>305</v>
      </c>
    </row>
    <row r="8" spans="1:2" x14ac:dyDescent="0.25">
      <c r="A8" s="187">
        <v>111160</v>
      </c>
      <c r="B8" s="187" t="s">
        <v>306</v>
      </c>
    </row>
    <row r="9" spans="1:2" x14ac:dyDescent="0.25">
      <c r="A9" s="187">
        <v>111191</v>
      </c>
      <c r="B9" s="187" t="s">
        <v>307</v>
      </c>
    </row>
    <row r="10" spans="1:2" x14ac:dyDescent="0.25">
      <c r="A10" s="187">
        <v>111199</v>
      </c>
      <c r="B10" s="187" t="s">
        <v>308</v>
      </c>
    </row>
    <row r="11" spans="1:2" x14ac:dyDescent="0.25">
      <c r="A11" s="187">
        <v>111211</v>
      </c>
      <c r="B11" s="187" t="s">
        <v>309</v>
      </c>
    </row>
    <row r="12" spans="1:2" x14ac:dyDescent="0.25">
      <c r="A12" s="187">
        <v>111219</v>
      </c>
      <c r="B12" s="187" t="s">
        <v>310</v>
      </c>
    </row>
    <row r="13" spans="1:2" x14ac:dyDescent="0.25">
      <c r="A13" s="187">
        <v>111310</v>
      </c>
      <c r="B13" s="187" t="s">
        <v>311</v>
      </c>
    </row>
    <row r="14" spans="1:2" x14ac:dyDescent="0.25">
      <c r="A14" s="187">
        <v>111320</v>
      </c>
      <c r="B14" s="187" t="s">
        <v>312</v>
      </c>
    </row>
    <row r="15" spans="1:2" x14ac:dyDescent="0.25">
      <c r="A15" s="187">
        <v>111331</v>
      </c>
      <c r="B15" s="187" t="s">
        <v>313</v>
      </c>
    </row>
    <row r="16" spans="1:2" x14ac:dyDescent="0.25">
      <c r="A16" s="187">
        <v>111332</v>
      </c>
      <c r="B16" s="187" t="s">
        <v>314</v>
      </c>
    </row>
    <row r="17" spans="1:2" x14ac:dyDescent="0.25">
      <c r="A17" s="187">
        <v>111333</v>
      </c>
      <c r="B17" s="187" t="s">
        <v>315</v>
      </c>
    </row>
    <row r="18" spans="1:2" x14ac:dyDescent="0.25">
      <c r="A18" s="187">
        <v>111334</v>
      </c>
      <c r="B18" s="187" t="s">
        <v>316</v>
      </c>
    </row>
    <row r="19" spans="1:2" x14ac:dyDescent="0.25">
      <c r="A19" s="187">
        <v>111335</v>
      </c>
      <c r="B19" s="187" t="s">
        <v>317</v>
      </c>
    </row>
    <row r="20" spans="1:2" x14ac:dyDescent="0.25">
      <c r="A20" s="187">
        <v>111336</v>
      </c>
      <c r="B20" s="187" t="s">
        <v>318</v>
      </c>
    </row>
    <row r="21" spans="1:2" x14ac:dyDescent="0.25">
      <c r="A21" s="187">
        <v>111339</v>
      </c>
      <c r="B21" s="187" t="s">
        <v>319</v>
      </c>
    </row>
    <row r="22" spans="1:2" x14ac:dyDescent="0.25">
      <c r="A22" s="187">
        <v>111411</v>
      </c>
      <c r="B22" s="187" t="s">
        <v>320</v>
      </c>
    </row>
    <row r="23" spans="1:2" x14ac:dyDescent="0.25">
      <c r="A23" s="187">
        <v>111419</v>
      </c>
      <c r="B23" s="187" t="s">
        <v>321</v>
      </c>
    </row>
    <row r="24" spans="1:2" x14ac:dyDescent="0.25">
      <c r="A24" s="187">
        <v>111421</v>
      </c>
      <c r="B24" s="187" t="s">
        <v>322</v>
      </c>
    </row>
    <row r="25" spans="1:2" x14ac:dyDescent="0.25">
      <c r="A25" s="187">
        <v>111422</v>
      </c>
      <c r="B25" s="187" t="s">
        <v>323</v>
      </c>
    </row>
    <row r="26" spans="1:2" x14ac:dyDescent="0.25">
      <c r="A26" s="187">
        <v>111910</v>
      </c>
      <c r="B26" s="187" t="s">
        <v>324</v>
      </c>
    </row>
    <row r="27" spans="1:2" x14ac:dyDescent="0.25">
      <c r="A27" s="187">
        <v>111920</v>
      </c>
      <c r="B27" s="187" t="s">
        <v>325</v>
      </c>
    </row>
    <row r="28" spans="1:2" x14ac:dyDescent="0.25">
      <c r="A28" s="187">
        <v>111930</v>
      </c>
      <c r="B28" s="187" t="s">
        <v>326</v>
      </c>
    </row>
    <row r="29" spans="1:2" x14ac:dyDescent="0.25">
      <c r="A29" s="187">
        <v>111940</v>
      </c>
      <c r="B29" s="187" t="s">
        <v>327</v>
      </c>
    </row>
    <row r="30" spans="1:2" x14ac:dyDescent="0.25">
      <c r="A30" s="187">
        <v>111991</v>
      </c>
      <c r="B30" s="187" t="s">
        <v>328</v>
      </c>
    </row>
    <row r="31" spans="1:2" x14ac:dyDescent="0.25">
      <c r="A31" s="187">
        <v>111992</v>
      </c>
      <c r="B31" s="187" t="s">
        <v>329</v>
      </c>
    </row>
    <row r="32" spans="1:2" x14ac:dyDescent="0.25">
      <c r="A32" s="187">
        <v>111998</v>
      </c>
      <c r="B32" s="187" t="s">
        <v>330</v>
      </c>
    </row>
    <row r="33" spans="1:2" x14ac:dyDescent="0.25">
      <c r="A33" s="187">
        <v>112111</v>
      </c>
      <c r="B33" s="187" t="s">
        <v>331</v>
      </c>
    </row>
    <row r="34" spans="1:2" x14ac:dyDescent="0.25">
      <c r="A34" s="187">
        <v>112112</v>
      </c>
      <c r="B34" s="187" t="s">
        <v>332</v>
      </c>
    </row>
    <row r="35" spans="1:2" x14ac:dyDescent="0.25">
      <c r="A35" s="187">
        <v>112120</v>
      </c>
      <c r="B35" s="187" t="s">
        <v>333</v>
      </c>
    </row>
    <row r="36" spans="1:2" x14ac:dyDescent="0.25">
      <c r="A36" s="187">
        <v>112130</v>
      </c>
      <c r="B36" s="187" t="s">
        <v>334</v>
      </c>
    </row>
    <row r="37" spans="1:2" x14ac:dyDescent="0.25">
      <c r="A37" s="187">
        <v>112210</v>
      </c>
      <c r="B37" s="187" t="s">
        <v>335</v>
      </c>
    </row>
    <row r="38" spans="1:2" x14ac:dyDescent="0.25">
      <c r="A38" s="187">
        <v>112310</v>
      </c>
      <c r="B38" s="187" t="s">
        <v>336</v>
      </c>
    </row>
    <row r="39" spans="1:2" x14ac:dyDescent="0.25">
      <c r="A39" s="187">
        <v>112320</v>
      </c>
      <c r="B39" s="187" t="s">
        <v>337</v>
      </c>
    </row>
    <row r="40" spans="1:2" x14ac:dyDescent="0.25">
      <c r="A40" s="187">
        <v>112330</v>
      </c>
      <c r="B40" s="187" t="s">
        <v>338</v>
      </c>
    </row>
    <row r="41" spans="1:2" x14ac:dyDescent="0.25">
      <c r="A41" s="187">
        <v>112340</v>
      </c>
      <c r="B41" s="187" t="s">
        <v>339</v>
      </c>
    </row>
    <row r="42" spans="1:2" x14ac:dyDescent="0.25">
      <c r="A42" s="187">
        <v>112390</v>
      </c>
      <c r="B42" s="187" t="s">
        <v>340</v>
      </c>
    </row>
    <row r="43" spans="1:2" x14ac:dyDescent="0.25">
      <c r="A43" s="187">
        <v>112410</v>
      </c>
      <c r="B43" s="187" t="s">
        <v>341</v>
      </c>
    </row>
    <row r="44" spans="1:2" x14ac:dyDescent="0.25">
      <c r="A44" s="187">
        <v>112420</v>
      </c>
      <c r="B44" s="187" t="s">
        <v>342</v>
      </c>
    </row>
    <row r="45" spans="1:2" x14ac:dyDescent="0.25">
      <c r="A45" s="187">
        <v>112511</v>
      </c>
      <c r="B45" s="187" t="s">
        <v>343</v>
      </c>
    </row>
    <row r="46" spans="1:2" x14ac:dyDescent="0.25">
      <c r="A46" s="187">
        <v>112512</v>
      </c>
      <c r="B46" s="187" t="s">
        <v>344</v>
      </c>
    </row>
    <row r="47" spans="1:2" x14ac:dyDescent="0.25">
      <c r="A47" s="187">
        <v>112519</v>
      </c>
      <c r="B47" s="187" t="s">
        <v>345</v>
      </c>
    </row>
    <row r="48" spans="1:2" x14ac:dyDescent="0.25">
      <c r="A48" s="187">
        <v>112910</v>
      </c>
      <c r="B48" s="187" t="s">
        <v>346</v>
      </c>
    </row>
    <row r="49" spans="1:2" x14ac:dyDescent="0.25">
      <c r="A49" s="187">
        <v>112920</v>
      </c>
      <c r="B49" s="187" t="s">
        <v>347</v>
      </c>
    </row>
    <row r="50" spans="1:2" x14ac:dyDescent="0.25">
      <c r="A50" s="187">
        <v>112930</v>
      </c>
      <c r="B50" s="187" t="s">
        <v>348</v>
      </c>
    </row>
    <row r="51" spans="1:2" x14ac:dyDescent="0.25">
      <c r="A51" s="187">
        <v>112990</v>
      </c>
      <c r="B51" s="187" t="s">
        <v>349</v>
      </c>
    </row>
    <row r="52" spans="1:2" x14ac:dyDescent="0.25">
      <c r="A52" s="187">
        <v>113110</v>
      </c>
      <c r="B52" s="187" t="s">
        <v>350</v>
      </c>
    </row>
    <row r="53" spans="1:2" x14ac:dyDescent="0.25">
      <c r="A53" s="187">
        <v>113210</v>
      </c>
      <c r="B53" s="187" t="s">
        <v>351</v>
      </c>
    </row>
    <row r="54" spans="1:2" x14ac:dyDescent="0.25">
      <c r="A54" s="187">
        <v>113310</v>
      </c>
      <c r="B54" s="187" t="s">
        <v>352</v>
      </c>
    </row>
    <row r="55" spans="1:2" x14ac:dyDescent="0.25">
      <c r="A55" s="187">
        <v>114111</v>
      </c>
      <c r="B55" s="187" t="s">
        <v>353</v>
      </c>
    </row>
    <row r="56" spans="1:2" x14ac:dyDescent="0.25">
      <c r="A56" s="187">
        <v>114112</v>
      </c>
      <c r="B56" s="187" t="s">
        <v>354</v>
      </c>
    </row>
    <row r="57" spans="1:2" x14ac:dyDescent="0.25">
      <c r="A57" s="187">
        <v>114119</v>
      </c>
      <c r="B57" s="187" t="s">
        <v>355</v>
      </c>
    </row>
    <row r="58" spans="1:2" x14ac:dyDescent="0.25">
      <c r="A58" s="187">
        <v>114210</v>
      </c>
      <c r="B58" s="187" t="s">
        <v>356</v>
      </c>
    </row>
    <row r="59" spans="1:2" x14ac:dyDescent="0.25">
      <c r="A59" s="187">
        <v>115111</v>
      </c>
      <c r="B59" s="187" t="s">
        <v>357</v>
      </c>
    </row>
    <row r="60" spans="1:2" x14ac:dyDescent="0.25">
      <c r="A60" s="187">
        <v>115112</v>
      </c>
      <c r="B60" s="187" t="s">
        <v>358</v>
      </c>
    </row>
    <row r="61" spans="1:2" x14ac:dyDescent="0.25">
      <c r="A61" s="187">
        <v>115113</v>
      </c>
      <c r="B61" s="187" t="s">
        <v>359</v>
      </c>
    </row>
    <row r="62" spans="1:2" x14ac:dyDescent="0.25">
      <c r="A62" s="187">
        <v>115114</v>
      </c>
      <c r="B62" s="187" t="s">
        <v>360</v>
      </c>
    </row>
    <row r="63" spans="1:2" x14ac:dyDescent="0.25">
      <c r="A63" s="187">
        <v>115115</v>
      </c>
      <c r="B63" s="187" t="s">
        <v>361</v>
      </c>
    </row>
    <row r="64" spans="1:2" x14ac:dyDescent="0.25">
      <c r="A64" s="187">
        <v>115116</v>
      </c>
      <c r="B64" s="187" t="s">
        <v>362</v>
      </c>
    </row>
    <row r="65" spans="1:2" x14ac:dyDescent="0.25">
      <c r="A65" s="187">
        <v>115210</v>
      </c>
      <c r="B65" s="187" t="s">
        <v>363</v>
      </c>
    </row>
    <row r="66" spans="1:2" x14ac:dyDescent="0.25">
      <c r="A66" s="187">
        <v>115310</v>
      </c>
      <c r="B66" s="187" t="s">
        <v>364</v>
      </c>
    </row>
    <row r="67" spans="1:2" x14ac:dyDescent="0.25">
      <c r="A67" s="187">
        <v>211111</v>
      </c>
      <c r="B67" s="187" t="s">
        <v>365</v>
      </c>
    </row>
    <row r="68" spans="1:2" x14ac:dyDescent="0.25">
      <c r="A68" s="187">
        <v>211112</v>
      </c>
      <c r="B68" s="187" t="s">
        <v>366</v>
      </c>
    </row>
    <row r="69" spans="1:2" x14ac:dyDescent="0.25">
      <c r="A69" s="187">
        <v>212111</v>
      </c>
      <c r="B69" s="187" t="s">
        <v>367</v>
      </c>
    </row>
    <row r="70" spans="1:2" x14ac:dyDescent="0.25">
      <c r="A70" s="187">
        <v>212112</v>
      </c>
      <c r="B70" s="187" t="s">
        <v>368</v>
      </c>
    </row>
    <row r="71" spans="1:2" x14ac:dyDescent="0.25">
      <c r="A71" s="187">
        <v>212113</v>
      </c>
      <c r="B71" s="187" t="s">
        <v>369</v>
      </c>
    </row>
    <row r="72" spans="1:2" x14ac:dyDescent="0.25">
      <c r="A72" s="187">
        <v>212210</v>
      </c>
      <c r="B72" s="187" t="s">
        <v>370</v>
      </c>
    </row>
    <row r="73" spans="1:2" x14ac:dyDescent="0.25">
      <c r="A73" s="187">
        <v>212221</v>
      </c>
      <c r="B73" s="187" t="s">
        <v>371</v>
      </c>
    </row>
    <row r="74" spans="1:2" x14ac:dyDescent="0.25">
      <c r="A74" s="187">
        <v>212222</v>
      </c>
      <c r="B74" s="187" t="s">
        <v>372</v>
      </c>
    </row>
    <row r="75" spans="1:2" x14ac:dyDescent="0.25">
      <c r="A75" s="187">
        <v>212231</v>
      </c>
      <c r="B75" s="187" t="s">
        <v>373</v>
      </c>
    </row>
    <row r="76" spans="1:2" x14ac:dyDescent="0.25">
      <c r="A76" s="187">
        <v>212234</v>
      </c>
      <c r="B76" s="187" t="s">
        <v>374</v>
      </c>
    </row>
    <row r="77" spans="1:2" x14ac:dyDescent="0.25">
      <c r="A77" s="187">
        <v>212291</v>
      </c>
      <c r="B77" s="187" t="s">
        <v>375</v>
      </c>
    </row>
    <row r="78" spans="1:2" x14ac:dyDescent="0.25">
      <c r="A78" s="187">
        <v>212299</v>
      </c>
      <c r="B78" s="187" t="s">
        <v>376</v>
      </c>
    </row>
    <row r="79" spans="1:2" x14ac:dyDescent="0.25">
      <c r="A79" s="187">
        <v>212311</v>
      </c>
      <c r="B79" s="187" t="s">
        <v>377</v>
      </c>
    </row>
    <row r="80" spans="1:2" x14ac:dyDescent="0.25">
      <c r="A80" s="187">
        <v>212312</v>
      </c>
      <c r="B80" s="187" t="s">
        <v>378</v>
      </c>
    </row>
    <row r="81" spans="1:2" x14ac:dyDescent="0.25">
      <c r="A81" s="187">
        <v>212313</v>
      </c>
      <c r="B81" s="187" t="s">
        <v>379</v>
      </c>
    </row>
    <row r="82" spans="1:2" x14ac:dyDescent="0.25">
      <c r="A82" s="187">
        <v>212319</v>
      </c>
      <c r="B82" s="187" t="s">
        <v>380</v>
      </c>
    </row>
    <row r="83" spans="1:2" x14ac:dyDescent="0.25">
      <c r="A83" s="187">
        <v>212321</v>
      </c>
      <c r="B83" s="187" t="s">
        <v>381</v>
      </c>
    </row>
    <row r="84" spans="1:2" x14ac:dyDescent="0.25">
      <c r="A84" s="187">
        <v>212322</v>
      </c>
      <c r="B84" s="187" t="s">
        <v>382</v>
      </c>
    </row>
    <row r="85" spans="1:2" x14ac:dyDescent="0.25">
      <c r="A85" s="187">
        <v>212324</v>
      </c>
      <c r="B85" s="187" t="s">
        <v>383</v>
      </c>
    </row>
    <row r="86" spans="1:2" x14ac:dyDescent="0.25">
      <c r="A86" s="187">
        <v>212325</v>
      </c>
      <c r="B86" s="187" t="s">
        <v>384</v>
      </c>
    </row>
    <row r="87" spans="1:2" x14ac:dyDescent="0.25">
      <c r="A87" s="187">
        <v>212391</v>
      </c>
      <c r="B87" s="187" t="s">
        <v>385</v>
      </c>
    </row>
    <row r="88" spans="1:2" x14ac:dyDescent="0.25">
      <c r="A88" s="187">
        <v>212392</v>
      </c>
      <c r="B88" s="187" t="s">
        <v>386</v>
      </c>
    </row>
    <row r="89" spans="1:2" x14ac:dyDescent="0.25">
      <c r="A89" s="187">
        <v>212393</v>
      </c>
      <c r="B89" s="187" t="s">
        <v>387</v>
      </c>
    </row>
    <row r="90" spans="1:2" x14ac:dyDescent="0.25">
      <c r="A90" s="187">
        <v>212399</v>
      </c>
      <c r="B90" s="187" t="s">
        <v>388</v>
      </c>
    </row>
    <row r="91" spans="1:2" x14ac:dyDescent="0.25">
      <c r="A91" s="187">
        <v>213111</v>
      </c>
      <c r="B91" s="187" t="s">
        <v>389</v>
      </c>
    </row>
    <row r="92" spans="1:2" x14ac:dyDescent="0.25">
      <c r="A92" s="187">
        <v>213112</v>
      </c>
      <c r="B92" s="187" t="s">
        <v>390</v>
      </c>
    </row>
    <row r="93" spans="1:2" x14ac:dyDescent="0.25">
      <c r="A93" s="187">
        <v>213113</v>
      </c>
      <c r="B93" s="187" t="s">
        <v>391</v>
      </c>
    </row>
    <row r="94" spans="1:2" x14ac:dyDescent="0.25">
      <c r="A94" s="187">
        <v>213114</v>
      </c>
      <c r="B94" s="187" t="s">
        <v>392</v>
      </c>
    </row>
    <row r="95" spans="1:2" x14ac:dyDescent="0.25">
      <c r="A95" s="187">
        <v>213115</v>
      </c>
      <c r="B95" s="187" t="s">
        <v>393</v>
      </c>
    </row>
    <row r="96" spans="1:2" x14ac:dyDescent="0.25">
      <c r="A96" s="187">
        <v>221111</v>
      </c>
      <c r="B96" s="187" t="s">
        <v>394</v>
      </c>
    </row>
    <row r="97" spans="1:2" x14ac:dyDescent="0.25">
      <c r="A97" s="187">
        <v>221112</v>
      </c>
      <c r="B97" s="187" t="s">
        <v>395</v>
      </c>
    </row>
    <row r="98" spans="1:2" x14ac:dyDescent="0.25">
      <c r="A98" s="187">
        <v>221113</v>
      </c>
      <c r="B98" s="187" t="s">
        <v>396</v>
      </c>
    </row>
    <row r="99" spans="1:2" x14ac:dyDescent="0.25">
      <c r="A99" s="187">
        <v>221114</v>
      </c>
      <c r="B99" s="187" t="s">
        <v>397</v>
      </c>
    </row>
    <row r="100" spans="1:2" x14ac:dyDescent="0.25">
      <c r="A100" s="187">
        <v>221115</v>
      </c>
      <c r="B100" s="187" t="s">
        <v>398</v>
      </c>
    </row>
    <row r="101" spans="1:2" x14ac:dyDescent="0.25">
      <c r="A101" s="187">
        <v>221116</v>
      </c>
      <c r="B101" s="187" t="s">
        <v>399</v>
      </c>
    </row>
    <row r="102" spans="1:2" x14ac:dyDescent="0.25">
      <c r="A102" s="187">
        <v>221117</v>
      </c>
      <c r="B102" s="187" t="s">
        <v>400</v>
      </c>
    </row>
    <row r="103" spans="1:2" x14ac:dyDescent="0.25">
      <c r="A103" s="187">
        <v>221118</v>
      </c>
      <c r="B103" s="187" t="s">
        <v>401</v>
      </c>
    </row>
    <row r="104" spans="1:2" x14ac:dyDescent="0.25">
      <c r="A104" s="187">
        <v>221121</v>
      </c>
      <c r="B104" s="187" t="s">
        <v>402</v>
      </c>
    </row>
    <row r="105" spans="1:2" x14ac:dyDescent="0.25">
      <c r="A105" s="187">
        <v>221122</v>
      </c>
      <c r="B105" s="187" t="s">
        <v>403</v>
      </c>
    </row>
    <row r="106" spans="1:2" x14ac:dyDescent="0.25">
      <c r="A106" s="187">
        <v>221210</v>
      </c>
      <c r="B106" s="187" t="s">
        <v>404</v>
      </c>
    </row>
    <row r="107" spans="1:2" x14ac:dyDescent="0.25">
      <c r="A107" s="187">
        <v>221310</v>
      </c>
      <c r="B107" s="187" t="s">
        <v>405</v>
      </c>
    </row>
    <row r="108" spans="1:2" x14ac:dyDescent="0.25">
      <c r="A108" s="187">
        <v>221320</v>
      </c>
      <c r="B108" s="187" t="s">
        <v>406</v>
      </c>
    </row>
    <row r="109" spans="1:2" x14ac:dyDescent="0.25">
      <c r="A109" s="187">
        <v>221330</v>
      </c>
      <c r="B109" s="187" t="s">
        <v>407</v>
      </c>
    </row>
    <row r="110" spans="1:2" x14ac:dyDescent="0.25">
      <c r="A110" s="187">
        <v>236115</v>
      </c>
      <c r="B110" s="187" t="s">
        <v>408</v>
      </c>
    </row>
    <row r="111" spans="1:2" x14ac:dyDescent="0.25">
      <c r="A111" s="187">
        <v>236116</v>
      </c>
      <c r="B111" s="187" t="s">
        <v>409</v>
      </c>
    </row>
    <row r="112" spans="1:2" x14ac:dyDescent="0.25">
      <c r="A112" s="187">
        <v>236117</v>
      </c>
      <c r="B112" s="187" t="s">
        <v>410</v>
      </c>
    </row>
    <row r="113" spans="1:2" x14ac:dyDescent="0.25">
      <c r="A113" s="187">
        <v>236118</v>
      </c>
      <c r="B113" s="187" t="s">
        <v>411</v>
      </c>
    </row>
    <row r="114" spans="1:2" x14ac:dyDescent="0.25">
      <c r="A114" s="187">
        <v>236210</v>
      </c>
      <c r="B114" s="187" t="s">
        <v>412</v>
      </c>
    </row>
    <row r="115" spans="1:2" x14ac:dyDescent="0.25">
      <c r="A115" s="187">
        <v>236220</v>
      </c>
      <c r="B115" s="187" t="s">
        <v>413</v>
      </c>
    </row>
    <row r="116" spans="1:2" x14ac:dyDescent="0.25">
      <c r="A116" s="187">
        <v>237110</v>
      </c>
      <c r="B116" s="187" t="s">
        <v>414</v>
      </c>
    </row>
    <row r="117" spans="1:2" x14ac:dyDescent="0.25">
      <c r="A117" s="187">
        <v>237120</v>
      </c>
      <c r="B117" s="187" t="s">
        <v>415</v>
      </c>
    </row>
    <row r="118" spans="1:2" x14ac:dyDescent="0.25">
      <c r="A118" s="187">
        <v>237130</v>
      </c>
      <c r="B118" s="187" t="s">
        <v>416</v>
      </c>
    </row>
    <row r="119" spans="1:2" x14ac:dyDescent="0.25">
      <c r="A119" s="187">
        <v>237210</v>
      </c>
      <c r="B119" s="187" t="s">
        <v>417</v>
      </c>
    </row>
    <row r="120" spans="1:2" x14ac:dyDescent="0.25">
      <c r="A120" s="187">
        <v>237310</v>
      </c>
      <c r="B120" s="187" t="s">
        <v>418</v>
      </c>
    </row>
    <row r="121" spans="1:2" x14ac:dyDescent="0.25">
      <c r="A121" s="187">
        <v>237990</v>
      </c>
      <c r="B121" s="187" t="s">
        <v>419</v>
      </c>
    </row>
    <row r="122" spans="1:2" x14ac:dyDescent="0.25">
      <c r="A122" s="187">
        <v>238110</v>
      </c>
      <c r="B122" s="187" t="s">
        <v>420</v>
      </c>
    </row>
    <row r="123" spans="1:2" x14ac:dyDescent="0.25">
      <c r="A123" s="187">
        <v>238120</v>
      </c>
      <c r="B123" s="187" t="s">
        <v>421</v>
      </c>
    </row>
    <row r="124" spans="1:2" x14ac:dyDescent="0.25">
      <c r="A124" s="187">
        <v>238130</v>
      </c>
      <c r="B124" s="187" t="s">
        <v>422</v>
      </c>
    </row>
    <row r="125" spans="1:2" x14ac:dyDescent="0.25">
      <c r="A125" s="187">
        <v>238140</v>
      </c>
      <c r="B125" s="187" t="s">
        <v>423</v>
      </c>
    </row>
    <row r="126" spans="1:2" x14ac:dyDescent="0.25">
      <c r="A126" s="187">
        <v>238150</v>
      </c>
      <c r="B126" s="187" t="s">
        <v>424</v>
      </c>
    </row>
    <row r="127" spans="1:2" x14ac:dyDescent="0.25">
      <c r="A127" s="187">
        <v>238160</v>
      </c>
      <c r="B127" s="187" t="s">
        <v>425</v>
      </c>
    </row>
    <row r="128" spans="1:2" x14ac:dyDescent="0.25">
      <c r="A128" s="187">
        <v>238170</v>
      </c>
      <c r="B128" s="187" t="s">
        <v>426</v>
      </c>
    </row>
    <row r="129" spans="1:2" x14ac:dyDescent="0.25">
      <c r="A129" s="187">
        <v>238190</v>
      </c>
      <c r="B129" s="187" t="s">
        <v>427</v>
      </c>
    </row>
    <row r="130" spans="1:2" x14ac:dyDescent="0.25">
      <c r="A130" s="187">
        <v>238210</v>
      </c>
      <c r="B130" s="187" t="s">
        <v>428</v>
      </c>
    </row>
    <row r="131" spans="1:2" x14ac:dyDescent="0.25">
      <c r="A131" s="187">
        <v>238220</v>
      </c>
      <c r="B131" s="187" t="s">
        <v>429</v>
      </c>
    </row>
    <row r="132" spans="1:2" x14ac:dyDescent="0.25">
      <c r="A132" s="187">
        <v>238290</v>
      </c>
      <c r="B132" s="187" t="s">
        <v>430</v>
      </c>
    </row>
    <row r="133" spans="1:2" x14ac:dyDescent="0.25">
      <c r="A133" s="187">
        <v>238310</v>
      </c>
      <c r="B133" s="187" t="s">
        <v>431</v>
      </c>
    </row>
    <row r="134" spans="1:2" x14ac:dyDescent="0.25">
      <c r="A134" s="187">
        <v>238320</v>
      </c>
      <c r="B134" s="187" t="s">
        <v>432</v>
      </c>
    </row>
    <row r="135" spans="1:2" x14ac:dyDescent="0.25">
      <c r="A135" s="187">
        <v>238330</v>
      </c>
      <c r="B135" s="187" t="s">
        <v>433</v>
      </c>
    </row>
    <row r="136" spans="1:2" x14ac:dyDescent="0.25">
      <c r="A136" s="187">
        <v>238340</v>
      </c>
      <c r="B136" s="187" t="s">
        <v>434</v>
      </c>
    </row>
    <row r="137" spans="1:2" x14ac:dyDescent="0.25">
      <c r="A137" s="187">
        <v>238350</v>
      </c>
      <c r="B137" s="187" t="s">
        <v>435</v>
      </c>
    </row>
    <row r="138" spans="1:2" x14ac:dyDescent="0.25">
      <c r="A138" s="187">
        <v>238390</v>
      </c>
      <c r="B138" s="187" t="s">
        <v>436</v>
      </c>
    </row>
    <row r="139" spans="1:2" x14ac:dyDescent="0.25">
      <c r="A139" s="187">
        <v>238910</v>
      </c>
      <c r="B139" s="187" t="s">
        <v>437</v>
      </c>
    </row>
    <row r="140" spans="1:2" x14ac:dyDescent="0.25">
      <c r="A140" s="187">
        <v>238990</v>
      </c>
      <c r="B140" s="187" t="s">
        <v>438</v>
      </c>
    </row>
    <row r="141" spans="1:2" x14ac:dyDescent="0.25">
      <c r="A141" s="187">
        <v>311111</v>
      </c>
      <c r="B141" s="187" t="s">
        <v>439</v>
      </c>
    </row>
    <row r="142" spans="1:2" x14ac:dyDescent="0.25">
      <c r="A142" s="187">
        <v>311119</v>
      </c>
      <c r="B142" s="187" t="s">
        <v>440</v>
      </c>
    </row>
    <row r="143" spans="1:2" x14ac:dyDescent="0.25">
      <c r="A143" s="187">
        <v>311211</v>
      </c>
      <c r="B143" s="187" t="s">
        <v>441</v>
      </c>
    </row>
    <row r="144" spans="1:2" x14ac:dyDescent="0.25">
      <c r="A144" s="187">
        <v>311212</v>
      </c>
      <c r="B144" s="187" t="s">
        <v>442</v>
      </c>
    </row>
    <row r="145" spans="1:2" x14ac:dyDescent="0.25">
      <c r="A145" s="187">
        <v>311213</v>
      </c>
      <c r="B145" s="187" t="s">
        <v>443</v>
      </c>
    </row>
    <row r="146" spans="1:2" x14ac:dyDescent="0.25">
      <c r="A146" s="187">
        <v>311221</v>
      </c>
      <c r="B146" s="187" t="s">
        <v>444</v>
      </c>
    </row>
    <row r="147" spans="1:2" x14ac:dyDescent="0.25">
      <c r="A147" s="187">
        <v>311224</v>
      </c>
      <c r="B147" s="187" t="s">
        <v>445</v>
      </c>
    </row>
    <row r="148" spans="1:2" x14ac:dyDescent="0.25">
      <c r="A148" s="187">
        <v>311225</v>
      </c>
      <c r="B148" s="187" t="s">
        <v>446</v>
      </c>
    </row>
    <row r="149" spans="1:2" x14ac:dyDescent="0.25">
      <c r="A149" s="187">
        <v>311230</v>
      </c>
      <c r="B149" s="187" t="s">
        <v>447</v>
      </c>
    </row>
    <row r="150" spans="1:2" x14ac:dyDescent="0.25">
      <c r="A150" s="187">
        <v>311313</v>
      </c>
      <c r="B150" s="187" t="s">
        <v>448</v>
      </c>
    </row>
    <row r="151" spans="1:2" x14ac:dyDescent="0.25">
      <c r="A151" s="187">
        <v>311314</v>
      </c>
      <c r="B151" s="187" t="s">
        <v>449</v>
      </c>
    </row>
    <row r="152" spans="1:2" x14ac:dyDescent="0.25">
      <c r="A152" s="187">
        <v>311340</v>
      </c>
      <c r="B152" s="187" t="s">
        <v>450</v>
      </c>
    </row>
    <row r="153" spans="1:2" x14ac:dyDescent="0.25">
      <c r="A153" s="187">
        <v>311351</v>
      </c>
      <c r="B153" s="187" t="s">
        <v>451</v>
      </c>
    </row>
    <row r="154" spans="1:2" x14ac:dyDescent="0.25">
      <c r="A154" s="187">
        <v>311352</v>
      </c>
      <c r="B154" s="187" t="s">
        <v>452</v>
      </c>
    </row>
    <row r="155" spans="1:2" x14ac:dyDescent="0.25">
      <c r="A155" s="187">
        <v>311411</v>
      </c>
      <c r="B155" s="187" t="s">
        <v>453</v>
      </c>
    </row>
    <row r="156" spans="1:2" x14ac:dyDescent="0.25">
      <c r="A156" s="187">
        <v>311412</v>
      </c>
      <c r="B156" s="187" t="s">
        <v>454</v>
      </c>
    </row>
    <row r="157" spans="1:2" x14ac:dyDescent="0.25">
      <c r="A157" s="187">
        <v>311421</v>
      </c>
      <c r="B157" s="187" t="s">
        <v>455</v>
      </c>
    </row>
    <row r="158" spans="1:2" x14ac:dyDescent="0.25">
      <c r="A158" s="187">
        <v>311422</v>
      </c>
      <c r="B158" s="187" t="s">
        <v>456</v>
      </c>
    </row>
    <row r="159" spans="1:2" x14ac:dyDescent="0.25">
      <c r="A159" s="187">
        <v>311423</v>
      </c>
      <c r="B159" s="187" t="s">
        <v>457</v>
      </c>
    </row>
    <row r="160" spans="1:2" x14ac:dyDescent="0.25">
      <c r="A160" s="187">
        <v>311511</v>
      </c>
      <c r="B160" s="187" t="s">
        <v>458</v>
      </c>
    </row>
    <row r="161" spans="1:2" x14ac:dyDescent="0.25">
      <c r="A161" s="187">
        <v>311512</v>
      </c>
      <c r="B161" s="187" t="s">
        <v>459</v>
      </c>
    </row>
    <row r="162" spans="1:2" x14ac:dyDescent="0.25">
      <c r="A162" s="187">
        <v>311513</v>
      </c>
      <c r="B162" s="187" t="s">
        <v>460</v>
      </c>
    </row>
    <row r="163" spans="1:2" x14ac:dyDescent="0.25">
      <c r="A163" s="187">
        <v>311514</v>
      </c>
      <c r="B163" s="187" t="s">
        <v>461</v>
      </c>
    </row>
    <row r="164" spans="1:2" x14ac:dyDescent="0.25">
      <c r="A164" s="187">
        <v>311520</v>
      </c>
      <c r="B164" s="187" t="s">
        <v>462</v>
      </c>
    </row>
    <row r="165" spans="1:2" x14ac:dyDescent="0.25">
      <c r="A165" s="187">
        <v>311611</v>
      </c>
      <c r="B165" s="187" t="s">
        <v>463</v>
      </c>
    </row>
    <row r="166" spans="1:2" x14ac:dyDescent="0.25">
      <c r="A166" s="187">
        <v>311612</v>
      </c>
      <c r="B166" s="187" t="s">
        <v>464</v>
      </c>
    </row>
    <row r="167" spans="1:2" x14ac:dyDescent="0.25">
      <c r="A167" s="187">
        <v>311613</v>
      </c>
      <c r="B167" s="187" t="s">
        <v>465</v>
      </c>
    </row>
    <row r="168" spans="1:2" x14ac:dyDescent="0.25">
      <c r="A168" s="187">
        <v>311615</v>
      </c>
      <c r="B168" s="187" t="s">
        <v>466</v>
      </c>
    </row>
    <row r="169" spans="1:2" x14ac:dyDescent="0.25">
      <c r="A169" s="187">
        <v>311710</v>
      </c>
      <c r="B169" s="187" t="s">
        <v>467</v>
      </c>
    </row>
    <row r="170" spans="1:2" x14ac:dyDescent="0.25">
      <c r="A170" s="187">
        <v>311811</v>
      </c>
      <c r="B170" s="187" t="s">
        <v>468</v>
      </c>
    </row>
    <row r="171" spans="1:2" x14ac:dyDescent="0.25">
      <c r="A171" s="187">
        <v>311812</v>
      </c>
      <c r="B171" s="187" t="s">
        <v>469</v>
      </c>
    </row>
    <row r="172" spans="1:2" x14ac:dyDescent="0.25">
      <c r="A172" s="187">
        <v>311813</v>
      </c>
      <c r="B172" s="187" t="s">
        <v>470</v>
      </c>
    </row>
    <row r="173" spans="1:2" x14ac:dyDescent="0.25">
      <c r="A173" s="187">
        <v>311821</v>
      </c>
      <c r="B173" s="187" t="s">
        <v>471</v>
      </c>
    </row>
    <row r="174" spans="1:2" x14ac:dyDescent="0.25">
      <c r="A174" s="187">
        <v>311824</v>
      </c>
      <c r="B174" s="187" t="s">
        <v>472</v>
      </c>
    </row>
    <row r="175" spans="1:2" x14ac:dyDescent="0.25">
      <c r="A175" s="187">
        <v>311830</v>
      </c>
      <c r="B175" s="187" t="s">
        <v>473</v>
      </c>
    </row>
    <row r="176" spans="1:2" x14ac:dyDescent="0.25">
      <c r="A176" s="187">
        <v>311911</v>
      </c>
      <c r="B176" s="187" t="s">
        <v>474</v>
      </c>
    </row>
    <row r="177" spans="1:2" x14ac:dyDescent="0.25">
      <c r="A177" s="187">
        <v>311919</v>
      </c>
      <c r="B177" s="187" t="s">
        <v>475</v>
      </c>
    </row>
    <row r="178" spans="1:2" x14ac:dyDescent="0.25">
      <c r="A178" s="187">
        <v>311920</v>
      </c>
      <c r="B178" s="187" t="s">
        <v>476</v>
      </c>
    </row>
    <row r="179" spans="1:2" x14ac:dyDescent="0.25">
      <c r="A179" s="187">
        <v>311930</v>
      </c>
      <c r="B179" s="187" t="s">
        <v>477</v>
      </c>
    </row>
    <row r="180" spans="1:2" x14ac:dyDescent="0.25">
      <c r="A180" s="187">
        <v>311941</v>
      </c>
      <c r="B180" s="187" t="s">
        <v>478</v>
      </c>
    </row>
    <row r="181" spans="1:2" x14ac:dyDescent="0.25">
      <c r="A181" s="187">
        <v>311942</v>
      </c>
      <c r="B181" s="187" t="s">
        <v>479</v>
      </c>
    </row>
    <row r="182" spans="1:2" x14ac:dyDescent="0.25">
      <c r="A182" s="187">
        <v>311991</v>
      </c>
      <c r="B182" s="187" t="s">
        <v>480</v>
      </c>
    </row>
    <row r="183" spans="1:2" x14ac:dyDescent="0.25">
      <c r="A183" s="187">
        <v>311999</v>
      </c>
      <c r="B183" s="187" t="s">
        <v>481</v>
      </c>
    </row>
    <row r="184" spans="1:2" x14ac:dyDescent="0.25">
      <c r="A184" s="187">
        <v>312111</v>
      </c>
      <c r="B184" s="187" t="s">
        <v>482</v>
      </c>
    </row>
    <row r="185" spans="1:2" x14ac:dyDescent="0.25">
      <c r="A185" s="187">
        <v>312112</v>
      </c>
      <c r="B185" s="187" t="s">
        <v>483</v>
      </c>
    </row>
    <row r="186" spans="1:2" x14ac:dyDescent="0.25">
      <c r="A186" s="187">
        <v>312113</v>
      </c>
      <c r="B186" s="187" t="s">
        <v>484</v>
      </c>
    </row>
    <row r="187" spans="1:2" x14ac:dyDescent="0.25">
      <c r="A187" s="187">
        <v>312120</v>
      </c>
      <c r="B187" s="187" t="s">
        <v>289</v>
      </c>
    </row>
    <row r="188" spans="1:2" x14ac:dyDescent="0.25">
      <c r="A188" s="187">
        <v>312130</v>
      </c>
      <c r="B188" s="187" t="s">
        <v>485</v>
      </c>
    </row>
    <row r="189" spans="1:2" x14ac:dyDescent="0.25">
      <c r="A189" s="187">
        <v>312140</v>
      </c>
      <c r="B189" s="187" t="s">
        <v>486</v>
      </c>
    </row>
    <row r="190" spans="1:2" x14ac:dyDescent="0.25">
      <c r="A190" s="187">
        <v>312230</v>
      </c>
      <c r="B190" s="187" t="s">
        <v>487</v>
      </c>
    </row>
    <row r="191" spans="1:2" x14ac:dyDescent="0.25">
      <c r="A191" s="187">
        <v>313110</v>
      </c>
      <c r="B191" s="187" t="s">
        <v>488</v>
      </c>
    </row>
    <row r="192" spans="1:2" x14ac:dyDescent="0.25">
      <c r="A192" s="187">
        <v>313210</v>
      </c>
      <c r="B192" s="187" t="s">
        <v>489</v>
      </c>
    </row>
    <row r="193" spans="1:2" x14ac:dyDescent="0.25">
      <c r="A193" s="187">
        <v>313220</v>
      </c>
      <c r="B193" s="187" t="s">
        <v>490</v>
      </c>
    </row>
    <row r="194" spans="1:2" x14ac:dyDescent="0.25">
      <c r="A194" s="187">
        <v>313230</v>
      </c>
      <c r="B194" s="187" t="s">
        <v>491</v>
      </c>
    </row>
    <row r="195" spans="1:2" x14ac:dyDescent="0.25">
      <c r="A195" s="187">
        <v>313240</v>
      </c>
      <c r="B195" s="187" t="s">
        <v>492</v>
      </c>
    </row>
    <row r="196" spans="1:2" x14ac:dyDescent="0.25">
      <c r="A196" s="187">
        <v>313310</v>
      </c>
      <c r="B196" s="187" t="s">
        <v>493</v>
      </c>
    </row>
    <row r="197" spans="1:2" x14ac:dyDescent="0.25">
      <c r="A197" s="187">
        <v>313320</v>
      </c>
      <c r="B197" s="187" t="s">
        <v>494</v>
      </c>
    </row>
    <row r="198" spans="1:2" x14ac:dyDescent="0.25">
      <c r="A198" s="187">
        <v>314110</v>
      </c>
      <c r="B198" s="187" t="s">
        <v>495</v>
      </c>
    </row>
    <row r="199" spans="1:2" x14ac:dyDescent="0.25">
      <c r="A199" s="187">
        <v>314120</v>
      </c>
      <c r="B199" s="187" t="s">
        <v>496</v>
      </c>
    </row>
    <row r="200" spans="1:2" x14ac:dyDescent="0.25">
      <c r="A200" s="187">
        <v>314910</v>
      </c>
      <c r="B200" s="187" t="s">
        <v>497</v>
      </c>
    </row>
    <row r="201" spans="1:2" x14ac:dyDescent="0.25">
      <c r="A201" s="187">
        <v>314994</v>
      </c>
      <c r="B201" s="187" t="s">
        <v>498</v>
      </c>
    </row>
    <row r="202" spans="1:2" x14ac:dyDescent="0.25">
      <c r="A202" s="187">
        <v>314999</v>
      </c>
      <c r="B202" s="187" t="s">
        <v>499</v>
      </c>
    </row>
    <row r="203" spans="1:2" x14ac:dyDescent="0.25">
      <c r="A203" s="187">
        <v>315110</v>
      </c>
      <c r="B203" s="187" t="s">
        <v>500</v>
      </c>
    </row>
    <row r="204" spans="1:2" x14ac:dyDescent="0.25">
      <c r="A204" s="187">
        <v>315190</v>
      </c>
      <c r="B204" s="187" t="s">
        <v>501</v>
      </c>
    </row>
    <row r="205" spans="1:2" x14ac:dyDescent="0.25">
      <c r="A205" s="187">
        <v>315210</v>
      </c>
      <c r="B205" s="187" t="s">
        <v>502</v>
      </c>
    </row>
    <row r="206" spans="1:2" x14ac:dyDescent="0.25">
      <c r="A206" s="187">
        <v>315220</v>
      </c>
      <c r="B206" s="187" t="s">
        <v>503</v>
      </c>
    </row>
    <row r="207" spans="1:2" x14ac:dyDescent="0.25">
      <c r="A207" s="187">
        <v>315240</v>
      </c>
      <c r="B207" s="187" t="s">
        <v>504</v>
      </c>
    </row>
    <row r="208" spans="1:2" x14ac:dyDescent="0.25">
      <c r="A208" s="187">
        <v>315280</v>
      </c>
      <c r="B208" s="187" t="s">
        <v>505</v>
      </c>
    </row>
    <row r="209" spans="1:2" x14ac:dyDescent="0.25">
      <c r="A209" s="187">
        <v>315990</v>
      </c>
      <c r="B209" s="187" t="s">
        <v>506</v>
      </c>
    </row>
    <row r="210" spans="1:2" x14ac:dyDescent="0.25">
      <c r="A210" s="187">
        <v>316110</v>
      </c>
      <c r="B210" s="187" t="s">
        <v>507</v>
      </c>
    </row>
    <row r="211" spans="1:2" x14ac:dyDescent="0.25">
      <c r="A211" s="187">
        <v>316210</v>
      </c>
      <c r="B211" s="187" t="s">
        <v>508</v>
      </c>
    </row>
    <row r="212" spans="1:2" x14ac:dyDescent="0.25">
      <c r="A212" s="187">
        <v>316992</v>
      </c>
      <c r="B212" s="187" t="s">
        <v>509</v>
      </c>
    </row>
    <row r="213" spans="1:2" x14ac:dyDescent="0.25">
      <c r="A213" s="187">
        <v>316998</v>
      </c>
      <c r="B213" s="187" t="s">
        <v>510</v>
      </c>
    </row>
    <row r="214" spans="1:2" x14ac:dyDescent="0.25">
      <c r="A214" s="187">
        <v>321113</v>
      </c>
      <c r="B214" s="187" t="s">
        <v>511</v>
      </c>
    </row>
    <row r="215" spans="1:2" x14ac:dyDescent="0.25">
      <c r="A215" s="187">
        <v>321114</v>
      </c>
      <c r="B215" s="187" t="s">
        <v>512</v>
      </c>
    </row>
    <row r="216" spans="1:2" x14ac:dyDescent="0.25">
      <c r="A216" s="187">
        <v>321211</v>
      </c>
      <c r="B216" s="187" t="s">
        <v>513</v>
      </c>
    </row>
    <row r="217" spans="1:2" x14ac:dyDescent="0.25">
      <c r="A217" s="187">
        <v>321212</v>
      </c>
      <c r="B217" s="187" t="s">
        <v>514</v>
      </c>
    </row>
    <row r="218" spans="1:2" x14ac:dyDescent="0.25">
      <c r="A218" s="187">
        <v>321213</v>
      </c>
      <c r="B218" s="187" t="s">
        <v>515</v>
      </c>
    </row>
    <row r="219" spans="1:2" x14ac:dyDescent="0.25">
      <c r="A219" s="187">
        <v>321214</v>
      </c>
      <c r="B219" s="187" t="s">
        <v>516</v>
      </c>
    </row>
    <row r="220" spans="1:2" x14ac:dyDescent="0.25">
      <c r="A220" s="187">
        <v>321219</v>
      </c>
      <c r="B220" s="187" t="s">
        <v>517</v>
      </c>
    </row>
    <row r="221" spans="1:2" x14ac:dyDescent="0.25">
      <c r="A221" s="187">
        <v>321911</v>
      </c>
      <c r="B221" s="187" t="s">
        <v>518</v>
      </c>
    </row>
    <row r="222" spans="1:2" x14ac:dyDescent="0.25">
      <c r="A222" s="187">
        <v>321912</v>
      </c>
      <c r="B222" s="187" t="s">
        <v>519</v>
      </c>
    </row>
    <row r="223" spans="1:2" x14ac:dyDescent="0.25">
      <c r="A223" s="187">
        <v>321918</v>
      </c>
      <c r="B223" s="187" t="s">
        <v>520</v>
      </c>
    </row>
    <row r="224" spans="1:2" x14ac:dyDescent="0.25">
      <c r="A224" s="187">
        <v>321920</v>
      </c>
      <c r="B224" s="187" t="s">
        <v>521</v>
      </c>
    </row>
    <row r="225" spans="1:2" x14ac:dyDescent="0.25">
      <c r="A225" s="187">
        <v>321991</v>
      </c>
      <c r="B225" s="187" t="s">
        <v>522</v>
      </c>
    </row>
    <row r="226" spans="1:2" x14ac:dyDescent="0.25">
      <c r="A226" s="187">
        <v>321992</v>
      </c>
      <c r="B226" s="187" t="s">
        <v>523</v>
      </c>
    </row>
    <row r="227" spans="1:2" x14ac:dyDescent="0.25">
      <c r="A227" s="187">
        <v>321999</v>
      </c>
      <c r="B227" s="187" t="s">
        <v>524</v>
      </c>
    </row>
    <row r="228" spans="1:2" x14ac:dyDescent="0.25">
      <c r="A228" s="187">
        <v>322110</v>
      </c>
      <c r="B228" s="187" t="s">
        <v>525</v>
      </c>
    </row>
    <row r="229" spans="1:2" x14ac:dyDescent="0.25">
      <c r="A229" s="187">
        <v>322121</v>
      </c>
      <c r="B229" s="187" t="s">
        <v>526</v>
      </c>
    </row>
    <row r="230" spans="1:2" x14ac:dyDescent="0.25">
      <c r="A230" s="187">
        <v>322122</v>
      </c>
      <c r="B230" s="187" t="s">
        <v>527</v>
      </c>
    </row>
    <row r="231" spans="1:2" x14ac:dyDescent="0.25">
      <c r="A231" s="187">
        <v>322130</v>
      </c>
      <c r="B231" s="187" t="s">
        <v>528</v>
      </c>
    </row>
    <row r="232" spans="1:2" x14ac:dyDescent="0.25">
      <c r="A232" s="187">
        <v>322211</v>
      </c>
      <c r="B232" s="187" t="s">
        <v>529</v>
      </c>
    </row>
    <row r="233" spans="1:2" x14ac:dyDescent="0.25">
      <c r="A233" s="187">
        <v>322212</v>
      </c>
      <c r="B233" s="187" t="s">
        <v>530</v>
      </c>
    </row>
    <row r="234" spans="1:2" x14ac:dyDescent="0.25">
      <c r="A234" s="187">
        <v>322219</v>
      </c>
      <c r="B234" s="187" t="s">
        <v>531</v>
      </c>
    </row>
    <row r="235" spans="1:2" x14ac:dyDescent="0.25">
      <c r="A235" s="187">
        <v>322220</v>
      </c>
      <c r="B235" s="187" t="s">
        <v>532</v>
      </c>
    </row>
    <row r="236" spans="1:2" x14ac:dyDescent="0.25">
      <c r="A236" s="187">
        <v>322230</v>
      </c>
      <c r="B236" s="187" t="s">
        <v>533</v>
      </c>
    </row>
    <row r="237" spans="1:2" x14ac:dyDescent="0.25">
      <c r="A237" s="187">
        <v>322291</v>
      </c>
      <c r="B237" s="187" t="s">
        <v>534</v>
      </c>
    </row>
    <row r="238" spans="1:2" x14ac:dyDescent="0.25">
      <c r="A238" s="187">
        <v>322299</v>
      </c>
      <c r="B238" s="187" t="s">
        <v>535</v>
      </c>
    </row>
    <row r="239" spans="1:2" x14ac:dyDescent="0.25">
      <c r="A239" s="187">
        <v>323111</v>
      </c>
      <c r="B239" s="187" t="s">
        <v>536</v>
      </c>
    </row>
    <row r="240" spans="1:2" x14ac:dyDescent="0.25">
      <c r="A240" s="187">
        <v>323113</v>
      </c>
      <c r="B240" s="187" t="s">
        <v>537</v>
      </c>
    </row>
    <row r="241" spans="1:2" x14ac:dyDescent="0.25">
      <c r="A241" s="187">
        <v>323117</v>
      </c>
      <c r="B241" s="187" t="s">
        <v>538</v>
      </c>
    </row>
    <row r="242" spans="1:2" x14ac:dyDescent="0.25">
      <c r="A242" s="187">
        <v>323120</v>
      </c>
      <c r="B242" s="187" t="s">
        <v>539</v>
      </c>
    </row>
    <row r="243" spans="1:2" x14ac:dyDescent="0.25">
      <c r="A243" s="187">
        <v>324110</v>
      </c>
      <c r="B243" s="187" t="s">
        <v>540</v>
      </c>
    </row>
    <row r="244" spans="1:2" x14ac:dyDescent="0.25">
      <c r="A244" s="187">
        <v>324121</v>
      </c>
      <c r="B244" s="187" t="s">
        <v>541</v>
      </c>
    </row>
    <row r="245" spans="1:2" x14ac:dyDescent="0.25">
      <c r="A245" s="187">
        <v>324122</v>
      </c>
      <c r="B245" s="187" t="s">
        <v>542</v>
      </c>
    </row>
    <row r="246" spans="1:2" x14ac:dyDescent="0.25">
      <c r="A246" s="187">
        <v>324191</v>
      </c>
      <c r="B246" s="187" t="s">
        <v>543</v>
      </c>
    </row>
    <row r="247" spans="1:2" x14ac:dyDescent="0.25">
      <c r="A247" s="187">
        <v>324199</v>
      </c>
      <c r="B247" s="187" t="s">
        <v>544</v>
      </c>
    </row>
    <row r="248" spans="1:2" x14ac:dyDescent="0.25">
      <c r="A248" s="187">
        <v>325110</v>
      </c>
      <c r="B248" s="187" t="s">
        <v>545</v>
      </c>
    </row>
    <row r="249" spans="1:2" x14ac:dyDescent="0.25">
      <c r="A249" s="187">
        <v>325120</v>
      </c>
      <c r="B249" s="187" t="s">
        <v>546</v>
      </c>
    </row>
    <row r="250" spans="1:2" x14ac:dyDescent="0.25">
      <c r="A250" s="187">
        <v>325130</v>
      </c>
      <c r="B250" s="187" t="s">
        <v>547</v>
      </c>
    </row>
    <row r="251" spans="1:2" x14ac:dyDescent="0.25">
      <c r="A251" s="187">
        <v>325180</v>
      </c>
      <c r="B251" s="187" t="s">
        <v>548</v>
      </c>
    </row>
    <row r="252" spans="1:2" x14ac:dyDescent="0.25">
      <c r="A252" s="187">
        <v>325193</v>
      </c>
      <c r="B252" s="187" t="s">
        <v>549</v>
      </c>
    </row>
    <row r="253" spans="1:2" x14ac:dyDescent="0.25">
      <c r="A253" s="187">
        <v>325194</v>
      </c>
      <c r="B253" s="187" t="s">
        <v>550</v>
      </c>
    </row>
    <row r="254" spans="1:2" x14ac:dyDescent="0.25">
      <c r="A254" s="187">
        <v>325199</v>
      </c>
      <c r="B254" s="187" t="s">
        <v>551</v>
      </c>
    </row>
    <row r="255" spans="1:2" x14ac:dyDescent="0.25">
      <c r="A255" s="187">
        <v>325211</v>
      </c>
      <c r="B255" s="187" t="s">
        <v>552</v>
      </c>
    </row>
    <row r="256" spans="1:2" x14ac:dyDescent="0.25">
      <c r="A256" s="187">
        <v>325212</v>
      </c>
      <c r="B256" s="187" t="s">
        <v>553</v>
      </c>
    </row>
    <row r="257" spans="1:2" x14ac:dyDescent="0.25">
      <c r="A257" s="187">
        <v>325220</v>
      </c>
      <c r="B257" s="187" t="s">
        <v>554</v>
      </c>
    </row>
    <row r="258" spans="1:2" x14ac:dyDescent="0.25">
      <c r="A258" s="187">
        <v>325311</v>
      </c>
      <c r="B258" s="187" t="s">
        <v>555</v>
      </c>
    </row>
    <row r="259" spans="1:2" x14ac:dyDescent="0.25">
      <c r="A259" s="187">
        <v>325312</v>
      </c>
      <c r="B259" s="187" t="s">
        <v>556</v>
      </c>
    </row>
    <row r="260" spans="1:2" x14ac:dyDescent="0.25">
      <c r="A260" s="187">
        <v>325314</v>
      </c>
      <c r="B260" s="187" t="s">
        <v>557</v>
      </c>
    </row>
    <row r="261" spans="1:2" x14ac:dyDescent="0.25">
      <c r="A261" s="187">
        <v>325320</v>
      </c>
      <c r="B261" s="187" t="s">
        <v>558</v>
      </c>
    </row>
    <row r="262" spans="1:2" x14ac:dyDescent="0.25">
      <c r="A262" s="187">
        <v>325411</v>
      </c>
      <c r="B262" s="187" t="s">
        <v>559</v>
      </c>
    </row>
    <row r="263" spans="1:2" x14ac:dyDescent="0.25">
      <c r="A263" s="187">
        <v>325412</v>
      </c>
      <c r="B263" s="187" t="s">
        <v>560</v>
      </c>
    </row>
    <row r="264" spans="1:2" x14ac:dyDescent="0.25">
      <c r="A264" s="187">
        <v>325413</v>
      </c>
      <c r="B264" s="187" t="s">
        <v>561</v>
      </c>
    </row>
    <row r="265" spans="1:2" x14ac:dyDescent="0.25">
      <c r="A265" s="187">
        <v>325414</v>
      </c>
      <c r="B265" s="187" t="s">
        <v>562</v>
      </c>
    </row>
    <row r="266" spans="1:2" x14ac:dyDescent="0.25">
      <c r="A266" s="187">
        <v>325510</v>
      </c>
      <c r="B266" s="187" t="s">
        <v>563</v>
      </c>
    </row>
    <row r="267" spans="1:2" x14ac:dyDescent="0.25">
      <c r="A267" s="187">
        <v>325520</v>
      </c>
      <c r="B267" s="187" t="s">
        <v>564</v>
      </c>
    </row>
    <row r="268" spans="1:2" x14ac:dyDescent="0.25">
      <c r="A268" s="187">
        <v>325611</v>
      </c>
      <c r="B268" s="187" t="s">
        <v>565</v>
      </c>
    </row>
    <row r="269" spans="1:2" x14ac:dyDescent="0.25">
      <c r="A269" s="187">
        <v>325612</v>
      </c>
      <c r="B269" s="187" t="s">
        <v>566</v>
      </c>
    </row>
    <row r="270" spans="1:2" x14ac:dyDescent="0.25">
      <c r="A270" s="187">
        <v>325613</v>
      </c>
      <c r="B270" s="187" t="s">
        <v>567</v>
      </c>
    </row>
    <row r="271" spans="1:2" x14ac:dyDescent="0.25">
      <c r="A271" s="187">
        <v>325620</v>
      </c>
      <c r="B271" s="187" t="s">
        <v>568</v>
      </c>
    </row>
    <row r="272" spans="1:2" x14ac:dyDescent="0.25">
      <c r="A272" s="187">
        <v>325910</v>
      </c>
      <c r="B272" s="187" t="s">
        <v>569</v>
      </c>
    </row>
    <row r="273" spans="1:2" x14ac:dyDescent="0.25">
      <c r="A273" s="187">
        <v>325920</v>
      </c>
      <c r="B273" s="187" t="s">
        <v>570</v>
      </c>
    </row>
    <row r="274" spans="1:2" x14ac:dyDescent="0.25">
      <c r="A274" s="187">
        <v>325991</v>
      </c>
      <c r="B274" s="187" t="s">
        <v>571</v>
      </c>
    </row>
    <row r="275" spans="1:2" x14ac:dyDescent="0.25">
      <c r="A275" s="187">
        <v>325992</v>
      </c>
      <c r="B275" s="187" t="s">
        <v>572</v>
      </c>
    </row>
    <row r="276" spans="1:2" x14ac:dyDescent="0.25">
      <c r="A276" s="187">
        <v>325998</v>
      </c>
      <c r="B276" s="187" t="s">
        <v>573</v>
      </c>
    </row>
    <row r="277" spans="1:2" x14ac:dyDescent="0.25">
      <c r="A277" s="187">
        <v>326111</v>
      </c>
      <c r="B277" s="187" t="s">
        <v>574</v>
      </c>
    </row>
    <row r="278" spans="1:2" x14ac:dyDescent="0.25">
      <c r="A278" s="187">
        <v>326112</v>
      </c>
      <c r="B278" s="187" t="s">
        <v>575</v>
      </c>
    </row>
    <row r="279" spans="1:2" x14ac:dyDescent="0.25">
      <c r="A279" s="187">
        <v>326113</v>
      </c>
      <c r="B279" s="187" t="s">
        <v>576</v>
      </c>
    </row>
    <row r="280" spans="1:2" x14ac:dyDescent="0.25">
      <c r="A280" s="187">
        <v>326121</v>
      </c>
      <c r="B280" s="187" t="s">
        <v>577</v>
      </c>
    </row>
    <row r="281" spans="1:2" x14ac:dyDescent="0.25">
      <c r="A281" s="187">
        <v>326122</v>
      </c>
      <c r="B281" s="187" t="s">
        <v>578</v>
      </c>
    </row>
    <row r="282" spans="1:2" x14ac:dyDescent="0.25">
      <c r="A282" s="187">
        <v>326130</v>
      </c>
      <c r="B282" s="187" t="s">
        <v>579</v>
      </c>
    </row>
    <row r="283" spans="1:2" x14ac:dyDescent="0.25">
      <c r="A283" s="187">
        <v>326140</v>
      </c>
      <c r="B283" s="187" t="s">
        <v>580</v>
      </c>
    </row>
    <row r="284" spans="1:2" x14ac:dyDescent="0.25">
      <c r="A284" s="187">
        <v>326150</v>
      </c>
      <c r="B284" s="187" t="s">
        <v>581</v>
      </c>
    </row>
    <row r="285" spans="1:2" x14ac:dyDescent="0.25">
      <c r="A285" s="187">
        <v>326160</v>
      </c>
      <c r="B285" s="187" t="s">
        <v>582</v>
      </c>
    </row>
    <row r="286" spans="1:2" x14ac:dyDescent="0.25">
      <c r="A286" s="187">
        <v>326191</v>
      </c>
      <c r="B286" s="187" t="s">
        <v>583</v>
      </c>
    </row>
    <row r="287" spans="1:2" x14ac:dyDescent="0.25">
      <c r="A287" s="187">
        <v>326199</v>
      </c>
      <c r="B287" s="187" t="s">
        <v>584</v>
      </c>
    </row>
    <row r="288" spans="1:2" x14ac:dyDescent="0.25">
      <c r="A288" s="187">
        <v>326211</v>
      </c>
      <c r="B288" s="187" t="s">
        <v>585</v>
      </c>
    </row>
    <row r="289" spans="1:2" x14ac:dyDescent="0.25">
      <c r="A289" s="187">
        <v>326212</v>
      </c>
      <c r="B289" s="187" t="s">
        <v>586</v>
      </c>
    </row>
    <row r="290" spans="1:2" x14ac:dyDescent="0.25">
      <c r="A290" s="187">
        <v>326220</v>
      </c>
      <c r="B290" s="187" t="s">
        <v>587</v>
      </c>
    </row>
    <row r="291" spans="1:2" x14ac:dyDescent="0.25">
      <c r="A291" s="187">
        <v>326291</v>
      </c>
      <c r="B291" s="187" t="s">
        <v>588</v>
      </c>
    </row>
    <row r="292" spans="1:2" x14ac:dyDescent="0.25">
      <c r="A292" s="187">
        <v>326299</v>
      </c>
      <c r="B292" s="187" t="s">
        <v>589</v>
      </c>
    </row>
    <row r="293" spans="1:2" x14ac:dyDescent="0.25">
      <c r="A293" s="187">
        <v>327110</v>
      </c>
      <c r="B293" s="187" t="s">
        <v>590</v>
      </c>
    </row>
    <row r="294" spans="1:2" x14ac:dyDescent="0.25">
      <c r="A294" s="187">
        <v>327120</v>
      </c>
      <c r="B294" s="187" t="s">
        <v>591</v>
      </c>
    </row>
    <row r="295" spans="1:2" x14ac:dyDescent="0.25">
      <c r="A295" s="187">
        <v>327211</v>
      </c>
      <c r="B295" s="187" t="s">
        <v>592</v>
      </c>
    </row>
    <row r="296" spans="1:2" x14ac:dyDescent="0.25">
      <c r="A296" s="187">
        <v>327212</v>
      </c>
      <c r="B296" s="187" t="s">
        <v>593</v>
      </c>
    </row>
    <row r="297" spans="1:2" x14ac:dyDescent="0.25">
      <c r="A297" s="187">
        <v>327213</v>
      </c>
      <c r="B297" s="187" t="s">
        <v>594</v>
      </c>
    </row>
    <row r="298" spans="1:2" x14ac:dyDescent="0.25">
      <c r="A298" s="187">
        <v>327215</v>
      </c>
      <c r="B298" s="187" t="s">
        <v>595</v>
      </c>
    </row>
    <row r="299" spans="1:2" x14ac:dyDescent="0.25">
      <c r="A299" s="187">
        <v>327310</v>
      </c>
      <c r="B299" s="187" t="s">
        <v>596</v>
      </c>
    </row>
    <row r="300" spans="1:2" x14ac:dyDescent="0.25">
      <c r="A300" s="187">
        <v>327320</v>
      </c>
      <c r="B300" s="187" t="s">
        <v>597</v>
      </c>
    </row>
    <row r="301" spans="1:2" x14ac:dyDescent="0.25">
      <c r="A301" s="187">
        <v>327331</v>
      </c>
      <c r="B301" s="187" t="s">
        <v>598</v>
      </c>
    </row>
    <row r="302" spans="1:2" x14ac:dyDescent="0.25">
      <c r="A302" s="187">
        <v>327332</v>
      </c>
      <c r="B302" s="187" t="s">
        <v>599</v>
      </c>
    </row>
    <row r="303" spans="1:2" x14ac:dyDescent="0.25">
      <c r="A303" s="187">
        <v>327390</v>
      </c>
      <c r="B303" s="187" t="s">
        <v>600</v>
      </c>
    </row>
    <row r="304" spans="1:2" x14ac:dyDescent="0.25">
      <c r="A304" s="187">
        <v>327410</v>
      </c>
      <c r="B304" s="187" t="s">
        <v>601</v>
      </c>
    </row>
    <row r="305" spans="1:2" x14ac:dyDescent="0.25">
      <c r="A305" s="187">
        <v>327420</v>
      </c>
      <c r="B305" s="187" t="s">
        <v>602</v>
      </c>
    </row>
    <row r="306" spans="1:2" x14ac:dyDescent="0.25">
      <c r="A306" s="187">
        <v>327910</v>
      </c>
      <c r="B306" s="187" t="s">
        <v>603</v>
      </c>
    </row>
    <row r="307" spans="1:2" x14ac:dyDescent="0.25">
      <c r="A307" s="187">
        <v>327991</v>
      </c>
      <c r="B307" s="187" t="s">
        <v>604</v>
      </c>
    </row>
    <row r="308" spans="1:2" x14ac:dyDescent="0.25">
      <c r="A308" s="187">
        <v>327992</v>
      </c>
      <c r="B308" s="187" t="s">
        <v>605</v>
      </c>
    </row>
    <row r="309" spans="1:2" x14ac:dyDescent="0.25">
      <c r="A309" s="187">
        <v>327993</v>
      </c>
      <c r="B309" s="187" t="s">
        <v>606</v>
      </c>
    </row>
    <row r="310" spans="1:2" x14ac:dyDescent="0.25">
      <c r="A310" s="187">
        <v>327999</v>
      </c>
      <c r="B310" s="187" t="s">
        <v>607</v>
      </c>
    </row>
    <row r="311" spans="1:2" x14ac:dyDescent="0.25">
      <c r="A311" s="187">
        <v>331110</v>
      </c>
      <c r="B311" s="187" t="s">
        <v>608</v>
      </c>
    </row>
    <row r="312" spans="1:2" x14ac:dyDescent="0.25">
      <c r="A312" s="187">
        <v>331210</v>
      </c>
      <c r="B312" s="187" t="s">
        <v>609</v>
      </c>
    </row>
    <row r="313" spans="1:2" x14ac:dyDescent="0.25">
      <c r="A313" s="187">
        <v>331221</v>
      </c>
      <c r="B313" s="187" t="s">
        <v>610</v>
      </c>
    </row>
    <row r="314" spans="1:2" x14ac:dyDescent="0.25">
      <c r="A314" s="187">
        <v>331222</v>
      </c>
      <c r="B314" s="187" t="s">
        <v>611</v>
      </c>
    </row>
    <row r="315" spans="1:2" x14ac:dyDescent="0.25">
      <c r="A315" s="187">
        <v>331313</v>
      </c>
      <c r="B315" s="187" t="s">
        <v>612</v>
      </c>
    </row>
    <row r="316" spans="1:2" x14ac:dyDescent="0.25">
      <c r="A316" s="187">
        <v>331314</v>
      </c>
      <c r="B316" s="187" t="s">
        <v>613</v>
      </c>
    </row>
    <row r="317" spans="1:2" x14ac:dyDescent="0.25">
      <c r="A317" s="187">
        <v>331315</v>
      </c>
      <c r="B317" s="187" t="s">
        <v>614</v>
      </c>
    </row>
    <row r="318" spans="1:2" x14ac:dyDescent="0.25">
      <c r="A318" s="187">
        <v>331318</v>
      </c>
      <c r="B318" s="187" t="s">
        <v>615</v>
      </c>
    </row>
    <row r="319" spans="1:2" x14ac:dyDescent="0.25">
      <c r="A319" s="187">
        <v>331410</v>
      </c>
      <c r="B319" s="187" t="s">
        <v>616</v>
      </c>
    </row>
    <row r="320" spans="1:2" x14ac:dyDescent="0.25">
      <c r="A320" s="187">
        <v>331420</v>
      </c>
      <c r="B320" s="187" t="s">
        <v>617</v>
      </c>
    </row>
    <row r="321" spans="1:2" x14ac:dyDescent="0.25">
      <c r="A321" s="187">
        <v>331491</v>
      </c>
      <c r="B321" s="187" t="s">
        <v>618</v>
      </c>
    </row>
    <row r="322" spans="1:2" x14ac:dyDescent="0.25">
      <c r="A322" s="187">
        <v>331492</v>
      </c>
      <c r="B322" s="187" t="s">
        <v>619</v>
      </c>
    </row>
    <row r="323" spans="1:2" x14ac:dyDescent="0.25">
      <c r="A323" s="187">
        <v>331511</v>
      </c>
      <c r="B323" s="187" t="s">
        <v>620</v>
      </c>
    </row>
    <row r="324" spans="1:2" x14ac:dyDescent="0.25">
      <c r="A324" s="187">
        <v>331512</v>
      </c>
      <c r="B324" s="187" t="s">
        <v>621</v>
      </c>
    </row>
    <row r="325" spans="1:2" x14ac:dyDescent="0.25">
      <c r="A325" s="187">
        <v>331513</v>
      </c>
      <c r="B325" s="187" t="s">
        <v>622</v>
      </c>
    </row>
    <row r="326" spans="1:2" x14ac:dyDescent="0.25">
      <c r="A326" s="187">
        <v>331523</v>
      </c>
      <c r="B326" s="187" t="s">
        <v>623</v>
      </c>
    </row>
    <row r="327" spans="1:2" x14ac:dyDescent="0.25">
      <c r="A327" s="187">
        <v>331524</v>
      </c>
      <c r="B327" s="187" t="s">
        <v>624</v>
      </c>
    </row>
    <row r="328" spans="1:2" x14ac:dyDescent="0.25">
      <c r="A328" s="187">
        <v>331529</v>
      </c>
      <c r="B328" s="187" t="s">
        <v>625</v>
      </c>
    </row>
    <row r="329" spans="1:2" x14ac:dyDescent="0.25">
      <c r="A329" s="187">
        <v>332111</v>
      </c>
      <c r="B329" s="187" t="s">
        <v>626</v>
      </c>
    </row>
    <row r="330" spans="1:2" x14ac:dyDescent="0.25">
      <c r="A330" s="187">
        <v>332112</v>
      </c>
      <c r="B330" s="187" t="s">
        <v>627</v>
      </c>
    </row>
    <row r="331" spans="1:2" x14ac:dyDescent="0.25">
      <c r="A331" s="187">
        <v>332114</v>
      </c>
      <c r="B331" s="187" t="s">
        <v>628</v>
      </c>
    </row>
    <row r="332" spans="1:2" x14ac:dyDescent="0.25">
      <c r="A332" s="187">
        <v>332117</v>
      </c>
      <c r="B332" s="187" t="s">
        <v>629</v>
      </c>
    </row>
    <row r="333" spans="1:2" x14ac:dyDescent="0.25">
      <c r="A333" s="187">
        <v>332119</v>
      </c>
      <c r="B333" s="187" t="s">
        <v>630</v>
      </c>
    </row>
    <row r="334" spans="1:2" x14ac:dyDescent="0.25">
      <c r="A334" s="187">
        <v>332215</v>
      </c>
      <c r="B334" s="187" t="s">
        <v>631</v>
      </c>
    </row>
    <row r="335" spans="1:2" x14ac:dyDescent="0.25">
      <c r="A335" s="187">
        <v>332216</v>
      </c>
      <c r="B335" s="187" t="s">
        <v>632</v>
      </c>
    </row>
    <row r="336" spans="1:2" x14ac:dyDescent="0.25">
      <c r="A336" s="187">
        <v>332311</v>
      </c>
      <c r="B336" s="187" t="s">
        <v>633</v>
      </c>
    </row>
    <row r="337" spans="1:2" x14ac:dyDescent="0.25">
      <c r="A337" s="187">
        <v>332312</v>
      </c>
      <c r="B337" s="187" t="s">
        <v>634</v>
      </c>
    </row>
    <row r="338" spans="1:2" x14ac:dyDescent="0.25">
      <c r="A338" s="187">
        <v>332313</v>
      </c>
      <c r="B338" s="187" t="s">
        <v>635</v>
      </c>
    </row>
    <row r="339" spans="1:2" x14ac:dyDescent="0.25">
      <c r="A339" s="187">
        <v>332321</v>
      </c>
      <c r="B339" s="187" t="s">
        <v>636</v>
      </c>
    </row>
    <row r="340" spans="1:2" x14ac:dyDescent="0.25">
      <c r="A340" s="187">
        <v>332322</v>
      </c>
      <c r="B340" s="187" t="s">
        <v>637</v>
      </c>
    </row>
    <row r="341" spans="1:2" x14ac:dyDescent="0.25">
      <c r="A341" s="187">
        <v>332323</v>
      </c>
      <c r="B341" s="187" t="s">
        <v>638</v>
      </c>
    </row>
    <row r="342" spans="1:2" x14ac:dyDescent="0.25">
      <c r="A342" s="187">
        <v>332410</v>
      </c>
      <c r="B342" s="187" t="s">
        <v>639</v>
      </c>
    </row>
    <row r="343" spans="1:2" x14ac:dyDescent="0.25">
      <c r="A343" s="187">
        <v>332420</v>
      </c>
      <c r="B343" s="187" t="s">
        <v>640</v>
      </c>
    </row>
    <row r="344" spans="1:2" x14ac:dyDescent="0.25">
      <c r="A344" s="187">
        <v>332431</v>
      </c>
      <c r="B344" s="187" t="s">
        <v>641</v>
      </c>
    </row>
    <row r="345" spans="1:2" x14ac:dyDescent="0.25">
      <c r="A345" s="187">
        <v>332439</v>
      </c>
      <c r="B345" s="187" t="s">
        <v>642</v>
      </c>
    </row>
    <row r="346" spans="1:2" x14ac:dyDescent="0.25">
      <c r="A346" s="187">
        <v>332510</v>
      </c>
      <c r="B346" s="187" t="s">
        <v>643</v>
      </c>
    </row>
    <row r="347" spans="1:2" x14ac:dyDescent="0.25">
      <c r="A347" s="187">
        <v>332613</v>
      </c>
      <c r="B347" s="187" t="s">
        <v>644</v>
      </c>
    </row>
    <row r="348" spans="1:2" x14ac:dyDescent="0.25">
      <c r="A348" s="187">
        <v>332618</v>
      </c>
      <c r="B348" s="187" t="s">
        <v>645</v>
      </c>
    </row>
    <row r="349" spans="1:2" x14ac:dyDescent="0.25">
      <c r="A349" s="187">
        <v>332710</v>
      </c>
      <c r="B349" s="187" t="s">
        <v>646</v>
      </c>
    </row>
    <row r="350" spans="1:2" x14ac:dyDescent="0.25">
      <c r="A350" s="187">
        <v>332721</v>
      </c>
      <c r="B350" s="187" t="s">
        <v>647</v>
      </c>
    </row>
    <row r="351" spans="1:2" x14ac:dyDescent="0.25">
      <c r="A351" s="187">
        <v>332722</v>
      </c>
      <c r="B351" s="187" t="s">
        <v>648</v>
      </c>
    </row>
    <row r="352" spans="1:2" x14ac:dyDescent="0.25">
      <c r="A352" s="187">
        <v>332811</v>
      </c>
      <c r="B352" s="187" t="s">
        <v>649</v>
      </c>
    </row>
    <row r="353" spans="1:2" x14ac:dyDescent="0.25">
      <c r="A353" s="187">
        <v>332812</v>
      </c>
      <c r="B353" s="187" t="s">
        <v>650</v>
      </c>
    </row>
    <row r="354" spans="1:2" x14ac:dyDescent="0.25">
      <c r="A354" s="187">
        <v>332813</v>
      </c>
      <c r="B354" s="187" t="s">
        <v>651</v>
      </c>
    </row>
    <row r="355" spans="1:2" x14ac:dyDescent="0.25">
      <c r="A355" s="187">
        <v>332911</v>
      </c>
      <c r="B355" s="187" t="s">
        <v>652</v>
      </c>
    </row>
    <row r="356" spans="1:2" x14ac:dyDescent="0.25">
      <c r="A356" s="187">
        <v>332912</v>
      </c>
      <c r="B356" s="187" t="s">
        <v>653</v>
      </c>
    </row>
    <row r="357" spans="1:2" x14ac:dyDescent="0.25">
      <c r="A357" s="187">
        <v>332913</v>
      </c>
      <c r="B357" s="187" t="s">
        <v>654</v>
      </c>
    </row>
    <row r="358" spans="1:2" x14ac:dyDescent="0.25">
      <c r="A358" s="187">
        <v>332919</v>
      </c>
      <c r="B358" s="187" t="s">
        <v>655</v>
      </c>
    </row>
    <row r="359" spans="1:2" x14ac:dyDescent="0.25">
      <c r="A359" s="187">
        <v>332991</v>
      </c>
      <c r="B359" s="187" t="s">
        <v>656</v>
      </c>
    </row>
    <row r="360" spans="1:2" x14ac:dyDescent="0.25">
      <c r="A360" s="187">
        <v>332992</v>
      </c>
      <c r="B360" s="187" t="s">
        <v>657</v>
      </c>
    </row>
    <row r="361" spans="1:2" x14ac:dyDescent="0.25">
      <c r="A361" s="187">
        <v>332993</v>
      </c>
      <c r="B361" s="187" t="s">
        <v>658</v>
      </c>
    </row>
    <row r="362" spans="1:2" x14ac:dyDescent="0.25">
      <c r="A362" s="187">
        <v>332994</v>
      </c>
      <c r="B362" s="187" t="s">
        <v>659</v>
      </c>
    </row>
    <row r="363" spans="1:2" x14ac:dyDescent="0.25">
      <c r="A363" s="187">
        <v>332996</v>
      </c>
      <c r="B363" s="187" t="s">
        <v>660</v>
      </c>
    </row>
    <row r="364" spans="1:2" x14ac:dyDescent="0.25">
      <c r="A364" s="187">
        <v>332999</v>
      </c>
      <c r="B364" s="187" t="s">
        <v>661</v>
      </c>
    </row>
    <row r="365" spans="1:2" x14ac:dyDescent="0.25">
      <c r="A365" s="187">
        <v>333111</v>
      </c>
      <c r="B365" s="187" t="s">
        <v>662</v>
      </c>
    </row>
    <row r="366" spans="1:2" x14ac:dyDescent="0.25">
      <c r="A366" s="187">
        <v>333112</v>
      </c>
      <c r="B366" s="187" t="s">
        <v>663</v>
      </c>
    </row>
    <row r="367" spans="1:2" x14ac:dyDescent="0.25">
      <c r="A367" s="187">
        <v>333120</v>
      </c>
      <c r="B367" s="187" t="s">
        <v>664</v>
      </c>
    </row>
    <row r="368" spans="1:2" x14ac:dyDescent="0.25">
      <c r="A368" s="187">
        <v>333131</v>
      </c>
      <c r="B368" s="187" t="s">
        <v>665</v>
      </c>
    </row>
    <row r="369" spans="1:2" x14ac:dyDescent="0.25">
      <c r="A369" s="187">
        <v>333132</v>
      </c>
      <c r="B369" s="187" t="s">
        <v>666</v>
      </c>
    </row>
    <row r="370" spans="1:2" x14ac:dyDescent="0.25">
      <c r="A370" s="187">
        <v>333241</v>
      </c>
      <c r="B370" s="187" t="s">
        <v>667</v>
      </c>
    </row>
    <row r="371" spans="1:2" x14ac:dyDescent="0.25">
      <c r="A371" s="187">
        <v>333242</v>
      </c>
      <c r="B371" s="187" t="s">
        <v>668</v>
      </c>
    </row>
    <row r="372" spans="1:2" x14ac:dyDescent="0.25">
      <c r="A372" s="187">
        <v>333243</v>
      </c>
      <c r="B372" s="187" t="s">
        <v>669</v>
      </c>
    </row>
    <row r="373" spans="1:2" x14ac:dyDescent="0.25">
      <c r="A373" s="187">
        <v>333244</v>
      </c>
      <c r="B373" s="187" t="s">
        <v>670</v>
      </c>
    </row>
    <row r="374" spans="1:2" x14ac:dyDescent="0.25">
      <c r="A374" s="187">
        <v>333249</v>
      </c>
      <c r="B374" s="187" t="s">
        <v>671</v>
      </c>
    </row>
    <row r="375" spans="1:2" x14ac:dyDescent="0.25">
      <c r="A375" s="187">
        <v>333314</v>
      </c>
      <c r="B375" s="187" t="s">
        <v>672</v>
      </c>
    </row>
    <row r="376" spans="1:2" x14ac:dyDescent="0.25">
      <c r="A376" s="187">
        <v>333316</v>
      </c>
      <c r="B376" s="187" t="s">
        <v>673</v>
      </c>
    </row>
    <row r="377" spans="1:2" x14ac:dyDescent="0.25">
      <c r="A377" s="187">
        <v>333318</v>
      </c>
      <c r="B377" s="187" t="s">
        <v>674</v>
      </c>
    </row>
    <row r="378" spans="1:2" x14ac:dyDescent="0.25">
      <c r="A378" s="187">
        <v>333413</v>
      </c>
      <c r="B378" s="187" t="s">
        <v>675</v>
      </c>
    </row>
    <row r="379" spans="1:2" x14ac:dyDescent="0.25">
      <c r="A379" s="187">
        <v>333414</v>
      </c>
      <c r="B379" s="187" t="s">
        <v>676</v>
      </c>
    </row>
    <row r="380" spans="1:2" x14ac:dyDescent="0.25">
      <c r="A380" s="187">
        <v>333415</v>
      </c>
      <c r="B380" s="187" t="s">
        <v>677</v>
      </c>
    </row>
    <row r="381" spans="1:2" x14ac:dyDescent="0.25">
      <c r="A381" s="187">
        <v>333511</v>
      </c>
      <c r="B381" s="187" t="s">
        <v>678</v>
      </c>
    </row>
    <row r="382" spans="1:2" x14ac:dyDescent="0.25">
      <c r="A382" s="187">
        <v>333514</v>
      </c>
      <c r="B382" s="187" t="s">
        <v>679</v>
      </c>
    </row>
    <row r="383" spans="1:2" x14ac:dyDescent="0.25">
      <c r="A383" s="187">
        <v>333515</v>
      </c>
      <c r="B383" s="187" t="s">
        <v>680</v>
      </c>
    </row>
    <row r="384" spans="1:2" x14ac:dyDescent="0.25">
      <c r="A384" s="187">
        <v>333517</v>
      </c>
      <c r="B384" s="187" t="s">
        <v>681</v>
      </c>
    </row>
    <row r="385" spans="1:2" x14ac:dyDescent="0.25">
      <c r="A385" s="187">
        <v>333519</v>
      </c>
      <c r="B385" s="187" t="s">
        <v>682</v>
      </c>
    </row>
    <row r="386" spans="1:2" x14ac:dyDescent="0.25">
      <c r="A386" s="187">
        <v>333611</v>
      </c>
      <c r="B386" s="187" t="s">
        <v>683</v>
      </c>
    </row>
    <row r="387" spans="1:2" x14ac:dyDescent="0.25">
      <c r="A387" s="187">
        <v>333612</v>
      </c>
      <c r="B387" s="187" t="s">
        <v>684</v>
      </c>
    </row>
    <row r="388" spans="1:2" x14ac:dyDescent="0.25">
      <c r="A388" s="187">
        <v>333613</v>
      </c>
      <c r="B388" s="187" t="s">
        <v>685</v>
      </c>
    </row>
    <row r="389" spans="1:2" x14ac:dyDescent="0.25">
      <c r="A389" s="187">
        <v>333618</v>
      </c>
      <c r="B389" s="187" t="s">
        <v>686</v>
      </c>
    </row>
    <row r="390" spans="1:2" x14ac:dyDescent="0.25">
      <c r="A390" s="187">
        <v>333911</v>
      </c>
      <c r="B390" s="187" t="s">
        <v>687</v>
      </c>
    </row>
    <row r="391" spans="1:2" x14ac:dyDescent="0.25">
      <c r="A391" s="187">
        <v>333912</v>
      </c>
      <c r="B391" s="187" t="s">
        <v>688</v>
      </c>
    </row>
    <row r="392" spans="1:2" x14ac:dyDescent="0.25">
      <c r="A392" s="187">
        <v>333913</v>
      </c>
      <c r="B392" s="187" t="s">
        <v>689</v>
      </c>
    </row>
    <row r="393" spans="1:2" x14ac:dyDescent="0.25">
      <c r="A393" s="187">
        <v>333921</v>
      </c>
      <c r="B393" s="187" t="s">
        <v>690</v>
      </c>
    </row>
    <row r="394" spans="1:2" x14ac:dyDescent="0.25">
      <c r="A394" s="187">
        <v>333922</v>
      </c>
      <c r="B394" s="187" t="s">
        <v>691</v>
      </c>
    </row>
    <row r="395" spans="1:2" x14ac:dyDescent="0.25">
      <c r="A395" s="187">
        <v>333923</v>
      </c>
      <c r="B395" s="187" t="s">
        <v>692</v>
      </c>
    </row>
    <row r="396" spans="1:2" x14ac:dyDescent="0.25">
      <c r="A396" s="187">
        <v>333924</v>
      </c>
      <c r="B396" s="187" t="s">
        <v>693</v>
      </c>
    </row>
    <row r="397" spans="1:2" x14ac:dyDescent="0.25">
      <c r="A397" s="187">
        <v>333991</v>
      </c>
      <c r="B397" s="187" t="s">
        <v>694</v>
      </c>
    </row>
    <row r="398" spans="1:2" x14ac:dyDescent="0.25">
      <c r="A398" s="187">
        <v>333992</v>
      </c>
      <c r="B398" s="187" t="s">
        <v>695</v>
      </c>
    </row>
    <row r="399" spans="1:2" x14ac:dyDescent="0.25">
      <c r="A399" s="187">
        <v>333993</v>
      </c>
      <c r="B399" s="187" t="s">
        <v>696</v>
      </c>
    </row>
    <row r="400" spans="1:2" x14ac:dyDescent="0.25">
      <c r="A400" s="187">
        <v>333994</v>
      </c>
      <c r="B400" s="187" t="s">
        <v>697</v>
      </c>
    </row>
    <row r="401" spans="1:2" x14ac:dyDescent="0.25">
      <c r="A401" s="187">
        <v>333995</v>
      </c>
      <c r="B401" s="187" t="s">
        <v>698</v>
      </c>
    </row>
    <row r="402" spans="1:2" x14ac:dyDescent="0.25">
      <c r="A402" s="187">
        <v>333996</v>
      </c>
      <c r="B402" s="187" t="s">
        <v>699</v>
      </c>
    </row>
    <row r="403" spans="1:2" x14ac:dyDescent="0.25">
      <c r="A403" s="187">
        <v>333997</v>
      </c>
      <c r="B403" s="187" t="s">
        <v>700</v>
      </c>
    </row>
    <row r="404" spans="1:2" x14ac:dyDescent="0.25">
      <c r="A404" s="187">
        <v>333999</v>
      </c>
      <c r="B404" s="187" t="s">
        <v>701</v>
      </c>
    </row>
    <row r="405" spans="1:2" x14ac:dyDescent="0.25">
      <c r="A405" s="187">
        <v>334111</v>
      </c>
      <c r="B405" s="187" t="s">
        <v>702</v>
      </c>
    </row>
    <row r="406" spans="1:2" x14ac:dyDescent="0.25">
      <c r="A406" s="187">
        <v>334112</v>
      </c>
      <c r="B406" s="187" t="s">
        <v>703</v>
      </c>
    </row>
    <row r="407" spans="1:2" x14ac:dyDescent="0.25">
      <c r="A407" s="187">
        <v>334118</v>
      </c>
      <c r="B407" s="187" t="s">
        <v>704</v>
      </c>
    </row>
    <row r="408" spans="1:2" x14ac:dyDescent="0.25">
      <c r="A408" s="187">
        <v>334210</v>
      </c>
      <c r="B408" s="187" t="s">
        <v>705</v>
      </c>
    </row>
    <row r="409" spans="1:2" x14ac:dyDescent="0.25">
      <c r="A409" s="187">
        <v>334220</v>
      </c>
      <c r="B409" s="187" t="s">
        <v>706</v>
      </c>
    </row>
    <row r="410" spans="1:2" x14ac:dyDescent="0.25">
      <c r="A410" s="187">
        <v>334290</v>
      </c>
      <c r="B410" s="187" t="s">
        <v>707</v>
      </c>
    </row>
    <row r="411" spans="1:2" x14ac:dyDescent="0.25">
      <c r="A411" s="187">
        <v>334310</v>
      </c>
      <c r="B411" s="187" t="s">
        <v>708</v>
      </c>
    </row>
    <row r="412" spans="1:2" x14ac:dyDescent="0.25">
      <c r="A412" s="187">
        <v>334412</v>
      </c>
      <c r="B412" s="187" t="s">
        <v>709</v>
      </c>
    </row>
    <row r="413" spans="1:2" x14ac:dyDescent="0.25">
      <c r="A413" s="187">
        <v>334413</v>
      </c>
      <c r="B413" s="187" t="s">
        <v>710</v>
      </c>
    </row>
    <row r="414" spans="1:2" x14ac:dyDescent="0.25">
      <c r="A414" s="187">
        <v>334416</v>
      </c>
      <c r="B414" s="187" t="s">
        <v>711</v>
      </c>
    </row>
    <row r="415" spans="1:2" x14ac:dyDescent="0.25">
      <c r="A415" s="187">
        <v>334417</v>
      </c>
      <c r="B415" s="187" t="s">
        <v>712</v>
      </c>
    </row>
    <row r="416" spans="1:2" x14ac:dyDescent="0.25">
      <c r="A416" s="187">
        <v>334418</v>
      </c>
      <c r="B416" s="187" t="s">
        <v>713</v>
      </c>
    </row>
    <row r="417" spans="1:2" x14ac:dyDescent="0.25">
      <c r="A417" s="187">
        <v>334419</v>
      </c>
      <c r="B417" s="187" t="s">
        <v>714</v>
      </c>
    </row>
    <row r="418" spans="1:2" x14ac:dyDescent="0.25">
      <c r="A418" s="187">
        <v>334510</v>
      </c>
      <c r="B418" s="187" t="s">
        <v>715</v>
      </c>
    </row>
    <row r="419" spans="1:2" x14ac:dyDescent="0.25">
      <c r="A419" s="187">
        <v>334511</v>
      </c>
      <c r="B419" s="187" t="s">
        <v>716</v>
      </c>
    </row>
    <row r="420" spans="1:2" x14ac:dyDescent="0.25">
      <c r="A420" s="187">
        <v>334512</v>
      </c>
      <c r="B420" s="187" t="s">
        <v>717</v>
      </c>
    </row>
    <row r="421" spans="1:2" x14ac:dyDescent="0.25">
      <c r="A421" s="187">
        <v>334513</v>
      </c>
      <c r="B421" s="187" t="s">
        <v>718</v>
      </c>
    </row>
    <row r="422" spans="1:2" x14ac:dyDescent="0.25">
      <c r="A422" s="187">
        <v>334514</v>
      </c>
      <c r="B422" s="187" t="s">
        <v>719</v>
      </c>
    </row>
    <row r="423" spans="1:2" x14ac:dyDescent="0.25">
      <c r="A423" s="187">
        <v>334515</v>
      </c>
      <c r="B423" s="187" t="s">
        <v>720</v>
      </c>
    </row>
    <row r="424" spans="1:2" x14ac:dyDescent="0.25">
      <c r="A424" s="187">
        <v>334516</v>
      </c>
      <c r="B424" s="187" t="s">
        <v>721</v>
      </c>
    </row>
    <row r="425" spans="1:2" x14ac:dyDescent="0.25">
      <c r="A425" s="187">
        <v>334517</v>
      </c>
      <c r="B425" s="187" t="s">
        <v>722</v>
      </c>
    </row>
    <row r="426" spans="1:2" x14ac:dyDescent="0.25">
      <c r="A426" s="187">
        <v>334519</v>
      </c>
      <c r="B426" s="187" t="s">
        <v>723</v>
      </c>
    </row>
    <row r="427" spans="1:2" x14ac:dyDescent="0.25">
      <c r="A427" s="187">
        <v>334613</v>
      </c>
      <c r="B427" s="187" t="s">
        <v>724</v>
      </c>
    </row>
    <row r="428" spans="1:2" x14ac:dyDescent="0.25">
      <c r="A428" s="187">
        <v>334614</v>
      </c>
      <c r="B428" s="187" t="s">
        <v>725</v>
      </c>
    </row>
    <row r="429" spans="1:2" x14ac:dyDescent="0.25">
      <c r="A429" s="187">
        <v>335110</v>
      </c>
      <c r="B429" s="187" t="s">
        <v>726</v>
      </c>
    </row>
    <row r="430" spans="1:2" x14ac:dyDescent="0.25">
      <c r="A430" s="187">
        <v>335121</v>
      </c>
      <c r="B430" s="187" t="s">
        <v>727</v>
      </c>
    </row>
    <row r="431" spans="1:2" x14ac:dyDescent="0.25">
      <c r="A431" s="187">
        <v>335122</v>
      </c>
      <c r="B431" s="187" t="s">
        <v>728</v>
      </c>
    </row>
    <row r="432" spans="1:2" x14ac:dyDescent="0.25">
      <c r="A432" s="187">
        <v>335129</v>
      </c>
      <c r="B432" s="187" t="s">
        <v>729</v>
      </c>
    </row>
    <row r="433" spans="1:2" x14ac:dyDescent="0.25">
      <c r="A433" s="187">
        <v>335210</v>
      </c>
      <c r="B433" s="187" t="s">
        <v>730</v>
      </c>
    </row>
    <row r="434" spans="1:2" x14ac:dyDescent="0.25">
      <c r="A434" s="187">
        <v>335221</v>
      </c>
      <c r="B434" s="187" t="s">
        <v>731</v>
      </c>
    </row>
    <row r="435" spans="1:2" x14ac:dyDescent="0.25">
      <c r="A435" s="187">
        <v>335222</v>
      </c>
      <c r="B435" s="187" t="s">
        <v>732</v>
      </c>
    </row>
    <row r="436" spans="1:2" x14ac:dyDescent="0.25">
      <c r="A436" s="187">
        <v>335224</v>
      </c>
      <c r="B436" s="187" t="s">
        <v>733</v>
      </c>
    </row>
    <row r="437" spans="1:2" x14ac:dyDescent="0.25">
      <c r="A437" s="187">
        <v>335228</v>
      </c>
      <c r="B437" s="187" t="s">
        <v>734</v>
      </c>
    </row>
    <row r="438" spans="1:2" x14ac:dyDescent="0.25">
      <c r="A438" s="187">
        <v>335311</v>
      </c>
      <c r="B438" s="187" t="s">
        <v>735</v>
      </c>
    </row>
    <row r="439" spans="1:2" x14ac:dyDescent="0.25">
      <c r="A439" s="187">
        <v>335312</v>
      </c>
      <c r="B439" s="187" t="s">
        <v>736</v>
      </c>
    </row>
    <row r="440" spans="1:2" x14ac:dyDescent="0.25">
      <c r="A440" s="187">
        <v>335313</v>
      </c>
      <c r="B440" s="187" t="s">
        <v>737</v>
      </c>
    </row>
    <row r="441" spans="1:2" x14ac:dyDescent="0.25">
      <c r="A441" s="187">
        <v>335314</v>
      </c>
      <c r="B441" s="187" t="s">
        <v>738</v>
      </c>
    </row>
    <row r="442" spans="1:2" x14ac:dyDescent="0.25">
      <c r="A442" s="187">
        <v>335911</v>
      </c>
      <c r="B442" s="187" t="s">
        <v>739</v>
      </c>
    </row>
    <row r="443" spans="1:2" x14ac:dyDescent="0.25">
      <c r="A443" s="187">
        <v>335912</v>
      </c>
      <c r="B443" s="187" t="s">
        <v>740</v>
      </c>
    </row>
    <row r="444" spans="1:2" x14ac:dyDescent="0.25">
      <c r="A444" s="187">
        <v>335921</v>
      </c>
      <c r="B444" s="187" t="s">
        <v>741</v>
      </c>
    </row>
    <row r="445" spans="1:2" x14ac:dyDescent="0.25">
      <c r="A445" s="187">
        <v>335929</v>
      </c>
      <c r="B445" s="187" t="s">
        <v>742</v>
      </c>
    </row>
    <row r="446" spans="1:2" x14ac:dyDescent="0.25">
      <c r="A446" s="187">
        <v>335931</v>
      </c>
      <c r="B446" s="187" t="s">
        <v>743</v>
      </c>
    </row>
    <row r="447" spans="1:2" x14ac:dyDescent="0.25">
      <c r="A447" s="187">
        <v>335932</v>
      </c>
      <c r="B447" s="187" t="s">
        <v>744</v>
      </c>
    </row>
    <row r="448" spans="1:2" x14ac:dyDescent="0.25">
      <c r="A448" s="187">
        <v>335991</v>
      </c>
      <c r="B448" s="187" t="s">
        <v>745</v>
      </c>
    </row>
    <row r="449" spans="1:2" x14ac:dyDescent="0.25">
      <c r="A449" s="187">
        <v>335999</v>
      </c>
      <c r="B449" s="187" t="s">
        <v>746</v>
      </c>
    </row>
    <row r="450" spans="1:2" x14ac:dyDescent="0.25">
      <c r="A450" s="187">
        <v>336111</v>
      </c>
      <c r="B450" s="187" t="s">
        <v>747</v>
      </c>
    </row>
    <row r="451" spans="1:2" x14ac:dyDescent="0.25">
      <c r="A451" s="187">
        <v>336112</v>
      </c>
      <c r="B451" s="187" t="s">
        <v>748</v>
      </c>
    </row>
    <row r="452" spans="1:2" x14ac:dyDescent="0.25">
      <c r="A452" s="187">
        <v>336120</v>
      </c>
      <c r="B452" s="187" t="s">
        <v>749</v>
      </c>
    </row>
    <row r="453" spans="1:2" x14ac:dyDescent="0.25">
      <c r="A453" s="187">
        <v>336211</v>
      </c>
      <c r="B453" s="187" t="s">
        <v>750</v>
      </c>
    </row>
    <row r="454" spans="1:2" x14ac:dyDescent="0.25">
      <c r="A454" s="187">
        <v>336212</v>
      </c>
      <c r="B454" s="187" t="s">
        <v>751</v>
      </c>
    </row>
    <row r="455" spans="1:2" x14ac:dyDescent="0.25">
      <c r="A455" s="187">
        <v>336213</v>
      </c>
      <c r="B455" s="187" t="s">
        <v>752</v>
      </c>
    </row>
    <row r="456" spans="1:2" x14ac:dyDescent="0.25">
      <c r="A456" s="187">
        <v>336214</v>
      </c>
      <c r="B456" s="187" t="s">
        <v>753</v>
      </c>
    </row>
    <row r="457" spans="1:2" x14ac:dyDescent="0.25">
      <c r="A457" s="187">
        <v>336310</v>
      </c>
      <c r="B457" s="187" t="s">
        <v>754</v>
      </c>
    </row>
    <row r="458" spans="1:2" x14ac:dyDescent="0.25">
      <c r="A458" s="187">
        <v>336320</v>
      </c>
      <c r="B458" s="187" t="s">
        <v>755</v>
      </c>
    </row>
    <row r="459" spans="1:2" x14ac:dyDescent="0.25">
      <c r="A459" s="187">
        <v>336330</v>
      </c>
      <c r="B459" s="187" t="s">
        <v>756</v>
      </c>
    </row>
    <row r="460" spans="1:2" x14ac:dyDescent="0.25">
      <c r="A460" s="187">
        <v>336340</v>
      </c>
      <c r="B460" s="187" t="s">
        <v>757</v>
      </c>
    </row>
    <row r="461" spans="1:2" x14ac:dyDescent="0.25">
      <c r="A461" s="187">
        <v>336350</v>
      </c>
      <c r="B461" s="187" t="s">
        <v>758</v>
      </c>
    </row>
    <row r="462" spans="1:2" x14ac:dyDescent="0.25">
      <c r="A462" s="187">
        <v>336360</v>
      </c>
      <c r="B462" s="187" t="s">
        <v>759</v>
      </c>
    </row>
    <row r="463" spans="1:2" x14ac:dyDescent="0.25">
      <c r="A463" s="187">
        <v>336370</v>
      </c>
      <c r="B463" s="187" t="s">
        <v>760</v>
      </c>
    </row>
    <row r="464" spans="1:2" x14ac:dyDescent="0.25">
      <c r="A464" s="187">
        <v>336390</v>
      </c>
      <c r="B464" s="187" t="s">
        <v>761</v>
      </c>
    </row>
    <row r="465" spans="1:2" x14ac:dyDescent="0.25">
      <c r="A465" s="187">
        <v>336411</v>
      </c>
      <c r="B465" s="187" t="s">
        <v>762</v>
      </c>
    </row>
    <row r="466" spans="1:2" x14ac:dyDescent="0.25">
      <c r="A466" s="187">
        <v>336412</v>
      </c>
      <c r="B466" s="187" t="s">
        <v>763</v>
      </c>
    </row>
    <row r="467" spans="1:2" x14ac:dyDescent="0.25">
      <c r="A467" s="187">
        <v>336413</v>
      </c>
      <c r="B467" s="187" t="s">
        <v>764</v>
      </c>
    </row>
    <row r="468" spans="1:2" x14ac:dyDescent="0.25">
      <c r="A468" s="187">
        <v>336414</v>
      </c>
      <c r="B468" s="187" t="s">
        <v>765</v>
      </c>
    </row>
    <row r="469" spans="1:2" x14ac:dyDescent="0.25">
      <c r="A469" s="187">
        <v>336415</v>
      </c>
      <c r="B469" s="187" t="s">
        <v>766</v>
      </c>
    </row>
    <row r="470" spans="1:2" x14ac:dyDescent="0.25">
      <c r="A470" s="187">
        <v>336419</v>
      </c>
      <c r="B470" s="187" t="s">
        <v>767</v>
      </c>
    </row>
    <row r="471" spans="1:2" x14ac:dyDescent="0.25">
      <c r="A471" s="187">
        <v>336510</v>
      </c>
      <c r="B471" s="187" t="s">
        <v>768</v>
      </c>
    </row>
    <row r="472" spans="1:2" x14ac:dyDescent="0.25">
      <c r="A472" s="187">
        <v>336611</v>
      </c>
      <c r="B472" s="187" t="s">
        <v>769</v>
      </c>
    </row>
    <row r="473" spans="1:2" x14ac:dyDescent="0.25">
      <c r="A473" s="187">
        <v>336612</v>
      </c>
      <c r="B473" s="187" t="s">
        <v>770</v>
      </c>
    </row>
    <row r="474" spans="1:2" x14ac:dyDescent="0.25">
      <c r="A474" s="187">
        <v>336991</v>
      </c>
      <c r="B474" s="187" t="s">
        <v>771</v>
      </c>
    </row>
    <row r="475" spans="1:2" x14ac:dyDescent="0.25">
      <c r="A475" s="187">
        <v>336992</v>
      </c>
      <c r="B475" s="187" t="s">
        <v>772</v>
      </c>
    </row>
    <row r="476" spans="1:2" x14ac:dyDescent="0.25">
      <c r="A476" s="187">
        <v>336999</v>
      </c>
      <c r="B476" s="187" t="s">
        <v>773</v>
      </c>
    </row>
    <row r="477" spans="1:2" x14ac:dyDescent="0.25">
      <c r="A477" s="187">
        <v>337110</v>
      </c>
      <c r="B477" s="187" t="s">
        <v>774</v>
      </c>
    </row>
    <row r="478" spans="1:2" x14ac:dyDescent="0.25">
      <c r="A478" s="187">
        <v>337121</v>
      </c>
      <c r="B478" s="187" t="s">
        <v>775</v>
      </c>
    </row>
    <row r="479" spans="1:2" x14ac:dyDescent="0.25">
      <c r="A479" s="187">
        <v>337122</v>
      </c>
      <c r="B479" s="187" t="s">
        <v>776</v>
      </c>
    </row>
    <row r="480" spans="1:2" x14ac:dyDescent="0.25">
      <c r="A480" s="187">
        <v>337124</v>
      </c>
      <c r="B480" s="187" t="s">
        <v>777</v>
      </c>
    </row>
    <row r="481" spans="1:2" x14ac:dyDescent="0.25">
      <c r="A481" s="187">
        <v>337125</v>
      </c>
      <c r="B481" s="187" t="s">
        <v>778</v>
      </c>
    </row>
    <row r="482" spans="1:2" x14ac:dyDescent="0.25">
      <c r="A482" s="187">
        <v>337127</v>
      </c>
      <c r="B482" s="187" t="s">
        <v>779</v>
      </c>
    </row>
    <row r="483" spans="1:2" x14ac:dyDescent="0.25">
      <c r="A483" s="187">
        <v>337211</v>
      </c>
      <c r="B483" s="187" t="s">
        <v>780</v>
      </c>
    </row>
    <row r="484" spans="1:2" x14ac:dyDescent="0.25">
      <c r="A484" s="187">
        <v>337212</v>
      </c>
      <c r="B484" s="187" t="s">
        <v>781</v>
      </c>
    </row>
    <row r="485" spans="1:2" x14ac:dyDescent="0.25">
      <c r="A485" s="187">
        <v>337214</v>
      </c>
      <c r="B485" s="187" t="s">
        <v>782</v>
      </c>
    </row>
    <row r="486" spans="1:2" x14ac:dyDescent="0.25">
      <c r="A486" s="187">
        <v>337215</v>
      </c>
      <c r="B486" s="187" t="s">
        <v>783</v>
      </c>
    </row>
    <row r="487" spans="1:2" x14ac:dyDescent="0.25">
      <c r="A487" s="187">
        <v>337910</v>
      </c>
      <c r="B487" s="187" t="s">
        <v>784</v>
      </c>
    </row>
    <row r="488" spans="1:2" x14ac:dyDescent="0.25">
      <c r="A488" s="187">
        <v>337920</v>
      </c>
      <c r="B488" s="187" t="s">
        <v>785</v>
      </c>
    </row>
    <row r="489" spans="1:2" x14ac:dyDescent="0.25">
      <c r="A489" s="187">
        <v>339112</v>
      </c>
      <c r="B489" s="187" t="s">
        <v>786</v>
      </c>
    </row>
    <row r="490" spans="1:2" x14ac:dyDescent="0.25">
      <c r="A490" s="187">
        <v>339113</v>
      </c>
      <c r="B490" s="187" t="s">
        <v>787</v>
      </c>
    </row>
    <row r="491" spans="1:2" x14ac:dyDescent="0.25">
      <c r="A491" s="187">
        <v>339114</v>
      </c>
      <c r="B491" s="187" t="s">
        <v>788</v>
      </c>
    </row>
    <row r="492" spans="1:2" x14ac:dyDescent="0.25">
      <c r="A492" s="187">
        <v>339115</v>
      </c>
      <c r="B492" s="187" t="s">
        <v>789</v>
      </c>
    </row>
    <row r="493" spans="1:2" x14ac:dyDescent="0.25">
      <c r="A493" s="187">
        <v>339116</v>
      </c>
      <c r="B493" s="187" t="s">
        <v>790</v>
      </c>
    </row>
    <row r="494" spans="1:2" x14ac:dyDescent="0.25">
      <c r="A494" s="187">
        <v>339910</v>
      </c>
      <c r="B494" s="187" t="s">
        <v>791</v>
      </c>
    </row>
    <row r="495" spans="1:2" x14ac:dyDescent="0.25">
      <c r="A495" s="187">
        <v>339920</v>
      </c>
      <c r="B495" s="187" t="s">
        <v>792</v>
      </c>
    </row>
    <row r="496" spans="1:2" x14ac:dyDescent="0.25">
      <c r="A496" s="187">
        <v>339930</v>
      </c>
      <c r="B496" s="187" t="s">
        <v>793</v>
      </c>
    </row>
    <row r="497" spans="1:2" x14ac:dyDescent="0.25">
      <c r="A497" s="187">
        <v>339940</v>
      </c>
      <c r="B497" s="187" t="s">
        <v>794</v>
      </c>
    </row>
    <row r="498" spans="1:2" x14ac:dyDescent="0.25">
      <c r="A498" s="187">
        <v>339950</v>
      </c>
      <c r="B498" s="187" t="s">
        <v>795</v>
      </c>
    </row>
    <row r="499" spans="1:2" x14ac:dyDescent="0.25">
      <c r="A499" s="187">
        <v>339991</v>
      </c>
      <c r="B499" s="187" t="s">
        <v>796</v>
      </c>
    </row>
    <row r="500" spans="1:2" x14ac:dyDescent="0.25">
      <c r="A500" s="187">
        <v>339992</v>
      </c>
      <c r="B500" s="187" t="s">
        <v>797</v>
      </c>
    </row>
    <row r="501" spans="1:2" x14ac:dyDescent="0.25">
      <c r="A501" s="187">
        <v>339993</v>
      </c>
      <c r="B501" s="187" t="s">
        <v>798</v>
      </c>
    </row>
    <row r="502" spans="1:2" x14ac:dyDescent="0.25">
      <c r="A502" s="187">
        <v>339994</v>
      </c>
      <c r="B502" s="187" t="s">
        <v>799</v>
      </c>
    </row>
    <row r="503" spans="1:2" x14ac:dyDescent="0.25">
      <c r="A503" s="187">
        <v>339995</v>
      </c>
      <c r="B503" s="187" t="s">
        <v>800</v>
      </c>
    </row>
    <row r="504" spans="1:2" x14ac:dyDescent="0.25">
      <c r="A504" s="187">
        <v>339999</v>
      </c>
      <c r="B504" s="187" t="s">
        <v>801</v>
      </c>
    </row>
    <row r="505" spans="1:2" x14ac:dyDescent="0.25">
      <c r="A505" s="187">
        <v>423110</v>
      </c>
      <c r="B505" s="187" t="s">
        <v>802</v>
      </c>
    </row>
    <row r="506" spans="1:2" x14ac:dyDescent="0.25">
      <c r="A506" s="187">
        <v>423120</v>
      </c>
      <c r="B506" s="187" t="s">
        <v>803</v>
      </c>
    </row>
    <row r="507" spans="1:2" x14ac:dyDescent="0.25">
      <c r="A507" s="187">
        <v>423130</v>
      </c>
      <c r="B507" s="187" t="s">
        <v>804</v>
      </c>
    </row>
    <row r="508" spans="1:2" x14ac:dyDescent="0.25">
      <c r="A508" s="187">
        <v>423140</v>
      </c>
      <c r="B508" s="187" t="s">
        <v>805</v>
      </c>
    </row>
    <row r="509" spans="1:2" x14ac:dyDescent="0.25">
      <c r="A509" s="187">
        <v>423210</v>
      </c>
      <c r="B509" s="187" t="s">
        <v>806</v>
      </c>
    </row>
    <row r="510" spans="1:2" x14ac:dyDescent="0.25">
      <c r="A510" s="187">
        <v>423220</v>
      </c>
      <c r="B510" s="187" t="s">
        <v>807</v>
      </c>
    </row>
    <row r="511" spans="1:2" x14ac:dyDescent="0.25">
      <c r="A511" s="187">
        <v>423310</v>
      </c>
      <c r="B511" s="187" t="s">
        <v>808</v>
      </c>
    </row>
    <row r="512" spans="1:2" x14ac:dyDescent="0.25">
      <c r="A512" s="187">
        <v>423320</v>
      </c>
      <c r="B512" s="187" t="s">
        <v>809</v>
      </c>
    </row>
    <row r="513" spans="1:2" x14ac:dyDescent="0.25">
      <c r="A513" s="187">
        <v>423330</v>
      </c>
      <c r="B513" s="187" t="s">
        <v>810</v>
      </c>
    </row>
    <row r="514" spans="1:2" x14ac:dyDescent="0.25">
      <c r="A514" s="187">
        <v>423390</v>
      </c>
      <c r="B514" s="187" t="s">
        <v>811</v>
      </c>
    </row>
    <row r="515" spans="1:2" x14ac:dyDescent="0.25">
      <c r="A515" s="187">
        <v>423410</v>
      </c>
      <c r="B515" s="187" t="s">
        <v>812</v>
      </c>
    </row>
    <row r="516" spans="1:2" x14ac:dyDescent="0.25">
      <c r="A516" s="187">
        <v>423420</v>
      </c>
      <c r="B516" s="187" t="s">
        <v>813</v>
      </c>
    </row>
    <row r="517" spans="1:2" x14ac:dyDescent="0.25">
      <c r="A517" s="187">
        <v>423430</v>
      </c>
      <c r="B517" s="187" t="s">
        <v>814</v>
      </c>
    </row>
    <row r="518" spans="1:2" x14ac:dyDescent="0.25">
      <c r="A518" s="187">
        <v>423440</v>
      </c>
      <c r="B518" s="187" t="s">
        <v>815</v>
      </c>
    </row>
    <row r="519" spans="1:2" x14ac:dyDescent="0.25">
      <c r="A519" s="187">
        <v>423450</v>
      </c>
      <c r="B519" s="187" t="s">
        <v>816</v>
      </c>
    </row>
    <row r="520" spans="1:2" x14ac:dyDescent="0.25">
      <c r="A520" s="187">
        <v>423460</v>
      </c>
      <c r="B520" s="187" t="s">
        <v>817</v>
      </c>
    </row>
    <row r="521" spans="1:2" x14ac:dyDescent="0.25">
      <c r="A521" s="187">
        <v>423490</v>
      </c>
      <c r="B521" s="187" t="s">
        <v>818</v>
      </c>
    </row>
    <row r="522" spans="1:2" x14ac:dyDescent="0.25">
      <c r="A522" s="187">
        <v>423510</v>
      </c>
      <c r="B522" s="187" t="s">
        <v>819</v>
      </c>
    </row>
    <row r="523" spans="1:2" x14ac:dyDescent="0.25">
      <c r="A523" s="187">
        <v>423520</v>
      </c>
      <c r="B523" s="187" t="s">
        <v>820</v>
      </c>
    </row>
    <row r="524" spans="1:2" x14ac:dyDescent="0.25">
      <c r="A524" s="187">
        <v>423610</v>
      </c>
      <c r="B524" s="187" t="s">
        <v>821</v>
      </c>
    </row>
    <row r="525" spans="1:2" x14ac:dyDescent="0.25">
      <c r="A525" s="187">
        <v>423620</v>
      </c>
      <c r="B525" s="187" t="s">
        <v>822</v>
      </c>
    </row>
    <row r="526" spans="1:2" x14ac:dyDescent="0.25">
      <c r="A526" s="187">
        <v>423690</v>
      </c>
      <c r="B526" s="187" t="s">
        <v>823</v>
      </c>
    </row>
    <row r="527" spans="1:2" x14ac:dyDescent="0.25">
      <c r="A527" s="187">
        <v>423710</v>
      </c>
      <c r="B527" s="187" t="s">
        <v>824</v>
      </c>
    </row>
    <row r="528" spans="1:2" x14ac:dyDescent="0.25">
      <c r="A528" s="187">
        <v>423720</v>
      </c>
      <c r="B528" s="187" t="s">
        <v>825</v>
      </c>
    </row>
    <row r="529" spans="1:2" x14ac:dyDescent="0.25">
      <c r="A529" s="187">
        <v>423730</v>
      </c>
      <c r="B529" s="187" t="s">
        <v>826</v>
      </c>
    </row>
    <row r="530" spans="1:2" x14ac:dyDescent="0.25">
      <c r="A530" s="187">
        <v>423740</v>
      </c>
      <c r="B530" s="187" t="s">
        <v>827</v>
      </c>
    </row>
    <row r="531" spans="1:2" x14ac:dyDescent="0.25">
      <c r="A531" s="187">
        <v>423810</v>
      </c>
      <c r="B531" s="187" t="s">
        <v>828</v>
      </c>
    </row>
    <row r="532" spans="1:2" x14ac:dyDescent="0.25">
      <c r="A532" s="187">
        <v>423820</v>
      </c>
      <c r="B532" s="187" t="s">
        <v>829</v>
      </c>
    </row>
    <row r="533" spans="1:2" x14ac:dyDescent="0.25">
      <c r="A533" s="187">
        <v>423830</v>
      </c>
      <c r="B533" s="187" t="s">
        <v>830</v>
      </c>
    </row>
    <row r="534" spans="1:2" x14ac:dyDescent="0.25">
      <c r="A534" s="187">
        <v>423840</v>
      </c>
      <c r="B534" s="187" t="s">
        <v>831</v>
      </c>
    </row>
    <row r="535" spans="1:2" x14ac:dyDescent="0.25">
      <c r="A535" s="187">
        <v>423850</v>
      </c>
      <c r="B535" s="187" t="s">
        <v>832</v>
      </c>
    </row>
    <row r="536" spans="1:2" x14ac:dyDescent="0.25">
      <c r="A536" s="187">
        <v>423860</v>
      </c>
      <c r="B536" s="187" t="s">
        <v>833</v>
      </c>
    </row>
    <row r="537" spans="1:2" x14ac:dyDescent="0.25">
      <c r="A537" s="187">
        <v>423910</v>
      </c>
      <c r="B537" s="187" t="s">
        <v>834</v>
      </c>
    </row>
    <row r="538" spans="1:2" x14ac:dyDescent="0.25">
      <c r="A538" s="187">
        <v>423920</v>
      </c>
      <c r="B538" s="187" t="s">
        <v>835</v>
      </c>
    </row>
    <row r="539" spans="1:2" x14ac:dyDescent="0.25">
      <c r="A539" s="187">
        <v>423930</v>
      </c>
      <c r="B539" s="187" t="s">
        <v>836</v>
      </c>
    </row>
    <row r="540" spans="1:2" x14ac:dyDescent="0.25">
      <c r="A540" s="187">
        <v>423940</v>
      </c>
      <c r="B540" s="187" t="s">
        <v>837</v>
      </c>
    </row>
    <row r="541" spans="1:2" x14ac:dyDescent="0.25">
      <c r="A541" s="187">
        <v>423990</v>
      </c>
      <c r="B541" s="187" t="s">
        <v>838</v>
      </c>
    </row>
    <row r="542" spans="1:2" x14ac:dyDescent="0.25">
      <c r="A542" s="187">
        <v>424110</v>
      </c>
      <c r="B542" s="187" t="s">
        <v>839</v>
      </c>
    </row>
    <row r="543" spans="1:2" x14ac:dyDescent="0.25">
      <c r="A543" s="187">
        <v>424120</v>
      </c>
      <c r="B543" s="187" t="s">
        <v>840</v>
      </c>
    </row>
    <row r="544" spans="1:2" x14ac:dyDescent="0.25">
      <c r="A544" s="187">
        <v>424130</v>
      </c>
      <c r="B544" s="187" t="s">
        <v>841</v>
      </c>
    </row>
    <row r="545" spans="1:2" x14ac:dyDescent="0.25">
      <c r="A545" s="187">
        <v>424210</v>
      </c>
      <c r="B545" s="187" t="s">
        <v>842</v>
      </c>
    </row>
    <row r="546" spans="1:2" x14ac:dyDescent="0.25">
      <c r="A546" s="187">
        <v>424310</v>
      </c>
      <c r="B546" s="187" t="s">
        <v>843</v>
      </c>
    </row>
    <row r="547" spans="1:2" x14ac:dyDescent="0.25">
      <c r="A547" s="187">
        <v>424320</v>
      </c>
      <c r="B547" s="187" t="s">
        <v>844</v>
      </c>
    </row>
    <row r="548" spans="1:2" x14ac:dyDescent="0.25">
      <c r="A548" s="187">
        <v>424330</v>
      </c>
      <c r="B548" s="187" t="s">
        <v>845</v>
      </c>
    </row>
    <row r="549" spans="1:2" x14ac:dyDescent="0.25">
      <c r="A549" s="187">
        <v>424340</v>
      </c>
      <c r="B549" s="187" t="s">
        <v>846</v>
      </c>
    </row>
    <row r="550" spans="1:2" x14ac:dyDescent="0.25">
      <c r="A550" s="187">
        <v>424410</v>
      </c>
      <c r="B550" s="187" t="s">
        <v>847</v>
      </c>
    </row>
    <row r="551" spans="1:2" x14ac:dyDescent="0.25">
      <c r="A551" s="187">
        <v>424420</v>
      </c>
      <c r="B551" s="187" t="s">
        <v>848</v>
      </c>
    </row>
    <row r="552" spans="1:2" x14ac:dyDescent="0.25">
      <c r="A552" s="187">
        <v>424430</v>
      </c>
      <c r="B552" s="187" t="s">
        <v>849</v>
      </c>
    </row>
    <row r="553" spans="1:2" x14ac:dyDescent="0.25">
      <c r="A553" s="187">
        <v>424440</v>
      </c>
      <c r="B553" s="187" t="s">
        <v>850</v>
      </c>
    </row>
    <row r="554" spans="1:2" x14ac:dyDescent="0.25">
      <c r="A554" s="187">
        <v>424450</v>
      </c>
      <c r="B554" s="187" t="s">
        <v>851</v>
      </c>
    </row>
    <row r="555" spans="1:2" x14ac:dyDescent="0.25">
      <c r="A555" s="187">
        <v>424460</v>
      </c>
      <c r="B555" s="187" t="s">
        <v>852</v>
      </c>
    </row>
    <row r="556" spans="1:2" x14ac:dyDescent="0.25">
      <c r="A556" s="187">
        <v>424470</v>
      </c>
      <c r="B556" s="187" t="s">
        <v>853</v>
      </c>
    </row>
    <row r="557" spans="1:2" x14ac:dyDescent="0.25">
      <c r="A557" s="187">
        <v>424480</v>
      </c>
      <c r="B557" s="187" t="s">
        <v>854</v>
      </c>
    </row>
    <row r="558" spans="1:2" x14ac:dyDescent="0.25">
      <c r="A558" s="187">
        <v>424490</v>
      </c>
      <c r="B558" s="187" t="s">
        <v>855</v>
      </c>
    </row>
    <row r="559" spans="1:2" x14ac:dyDescent="0.25">
      <c r="A559" s="187">
        <v>424510</v>
      </c>
      <c r="B559" s="187" t="s">
        <v>856</v>
      </c>
    </row>
    <row r="560" spans="1:2" x14ac:dyDescent="0.25">
      <c r="A560" s="187">
        <v>424520</v>
      </c>
      <c r="B560" s="187" t="s">
        <v>857</v>
      </c>
    </row>
    <row r="561" spans="1:2" x14ac:dyDescent="0.25">
      <c r="A561" s="187">
        <v>424590</v>
      </c>
      <c r="B561" s="187" t="s">
        <v>858</v>
      </c>
    </row>
    <row r="562" spans="1:2" x14ac:dyDescent="0.25">
      <c r="A562" s="187">
        <v>424610</v>
      </c>
      <c r="B562" s="187" t="s">
        <v>859</v>
      </c>
    </row>
    <row r="563" spans="1:2" x14ac:dyDescent="0.25">
      <c r="A563" s="187">
        <v>424690</v>
      </c>
      <c r="B563" s="187" t="s">
        <v>860</v>
      </c>
    </row>
    <row r="564" spans="1:2" x14ac:dyDescent="0.25">
      <c r="A564" s="187">
        <v>424710</v>
      </c>
      <c r="B564" s="187" t="s">
        <v>861</v>
      </c>
    </row>
    <row r="565" spans="1:2" x14ac:dyDescent="0.25">
      <c r="A565" s="187">
        <v>424720</v>
      </c>
      <c r="B565" s="187" t="s">
        <v>862</v>
      </c>
    </row>
    <row r="566" spans="1:2" x14ac:dyDescent="0.25">
      <c r="A566" s="187">
        <v>424810</v>
      </c>
      <c r="B566" s="187" t="s">
        <v>863</v>
      </c>
    </row>
    <row r="567" spans="1:2" x14ac:dyDescent="0.25">
      <c r="A567" s="187">
        <v>424820</v>
      </c>
      <c r="B567" s="187" t="s">
        <v>864</v>
      </c>
    </row>
    <row r="568" spans="1:2" x14ac:dyDescent="0.25">
      <c r="A568" s="187">
        <v>424910</v>
      </c>
      <c r="B568" s="187" t="s">
        <v>865</v>
      </c>
    </row>
    <row r="569" spans="1:2" x14ac:dyDescent="0.25">
      <c r="A569" s="187">
        <v>424920</v>
      </c>
      <c r="B569" s="187" t="s">
        <v>866</v>
      </c>
    </row>
    <row r="570" spans="1:2" x14ac:dyDescent="0.25">
      <c r="A570" s="187">
        <v>424930</v>
      </c>
      <c r="B570" s="187" t="s">
        <v>867</v>
      </c>
    </row>
    <row r="571" spans="1:2" x14ac:dyDescent="0.25">
      <c r="A571" s="187">
        <v>424940</v>
      </c>
      <c r="B571" s="187" t="s">
        <v>868</v>
      </c>
    </row>
    <row r="572" spans="1:2" x14ac:dyDescent="0.25">
      <c r="A572" s="187">
        <v>424950</v>
      </c>
      <c r="B572" s="187" t="s">
        <v>869</v>
      </c>
    </row>
    <row r="573" spans="1:2" x14ac:dyDescent="0.25">
      <c r="A573" s="187">
        <v>424990</v>
      </c>
      <c r="B573" s="187" t="s">
        <v>870</v>
      </c>
    </row>
    <row r="574" spans="1:2" x14ac:dyDescent="0.25">
      <c r="A574" s="187">
        <v>425110</v>
      </c>
      <c r="B574" s="187" t="s">
        <v>871</v>
      </c>
    </row>
    <row r="575" spans="1:2" x14ac:dyDescent="0.25">
      <c r="A575" s="187">
        <v>425120</v>
      </c>
      <c r="B575" s="187" t="s">
        <v>872</v>
      </c>
    </row>
    <row r="576" spans="1:2" x14ac:dyDescent="0.25">
      <c r="A576" s="187">
        <v>441110</v>
      </c>
      <c r="B576" s="187" t="s">
        <v>873</v>
      </c>
    </row>
    <row r="577" spans="1:2" x14ac:dyDescent="0.25">
      <c r="A577" s="187">
        <v>441120</v>
      </c>
      <c r="B577" s="187" t="s">
        <v>874</v>
      </c>
    </row>
    <row r="578" spans="1:2" x14ac:dyDescent="0.25">
      <c r="A578" s="187">
        <v>441210</v>
      </c>
      <c r="B578" s="187" t="s">
        <v>875</v>
      </c>
    </row>
    <row r="579" spans="1:2" x14ac:dyDescent="0.25">
      <c r="A579" s="187">
        <v>441222</v>
      </c>
      <c r="B579" s="187" t="s">
        <v>876</v>
      </c>
    </row>
    <row r="580" spans="1:2" x14ac:dyDescent="0.25">
      <c r="A580" s="187">
        <v>441228</v>
      </c>
      <c r="B580" s="187" t="s">
        <v>877</v>
      </c>
    </row>
    <row r="581" spans="1:2" x14ac:dyDescent="0.25">
      <c r="A581" s="187">
        <v>441310</v>
      </c>
      <c r="B581" s="187" t="s">
        <v>878</v>
      </c>
    </row>
    <row r="582" spans="1:2" x14ac:dyDescent="0.25">
      <c r="A582" s="187">
        <v>441320</v>
      </c>
      <c r="B582" s="187" t="s">
        <v>879</v>
      </c>
    </row>
    <row r="583" spans="1:2" x14ac:dyDescent="0.25">
      <c r="A583" s="187">
        <v>442110</v>
      </c>
      <c r="B583" s="187" t="s">
        <v>880</v>
      </c>
    </row>
    <row r="584" spans="1:2" x14ac:dyDescent="0.25">
      <c r="A584" s="187">
        <v>442210</v>
      </c>
      <c r="B584" s="187" t="s">
        <v>881</v>
      </c>
    </row>
    <row r="585" spans="1:2" x14ac:dyDescent="0.25">
      <c r="A585" s="187">
        <v>442291</v>
      </c>
      <c r="B585" s="187" t="s">
        <v>882</v>
      </c>
    </row>
    <row r="586" spans="1:2" x14ac:dyDescent="0.25">
      <c r="A586" s="187">
        <v>442299</v>
      </c>
      <c r="B586" s="187" t="s">
        <v>883</v>
      </c>
    </row>
    <row r="587" spans="1:2" x14ac:dyDescent="0.25">
      <c r="A587" s="187">
        <v>443141</v>
      </c>
      <c r="B587" s="187" t="s">
        <v>884</v>
      </c>
    </row>
    <row r="588" spans="1:2" x14ac:dyDescent="0.25">
      <c r="A588" s="187">
        <v>443142</v>
      </c>
      <c r="B588" s="187" t="s">
        <v>885</v>
      </c>
    </row>
    <row r="589" spans="1:2" x14ac:dyDescent="0.25">
      <c r="A589" s="187">
        <v>444110</v>
      </c>
      <c r="B589" s="187" t="s">
        <v>886</v>
      </c>
    </row>
    <row r="590" spans="1:2" x14ac:dyDescent="0.25">
      <c r="A590" s="187">
        <v>444120</v>
      </c>
      <c r="B590" s="187" t="s">
        <v>887</v>
      </c>
    </row>
    <row r="591" spans="1:2" x14ac:dyDescent="0.25">
      <c r="A591" s="187">
        <v>444130</v>
      </c>
      <c r="B591" s="187" t="s">
        <v>888</v>
      </c>
    </row>
    <row r="592" spans="1:2" x14ac:dyDescent="0.25">
      <c r="A592" s="187">
        <v>444190</v>
      </c>
      <c r="B592" s="187" t="s">
        <v>889</v>
      </c>
    </row>
    <row r="593" spans="1:2" x14ac:dyDescent="0.25">
      <c r="A593" s="187">
        <v>444210</v>
      </c>
      <c r="B593" s="187" t="s">
        <v>890</v>
      </c>
    </row>
    <row r="594" spans="1:2" x14ac:dyDescent="0.25">
      <c r="A594" s="187">
        <v>444220</v>
      </c>
      <c r="B594" s="187" t="s">
        <v>891</v>
      </c>
    </row>
    <row r="595" spans="1:2" x14ac:dyDescent="0.25">
      <c r="A595" s="187">
        <v>445110</v>
      </c>
      <c r="B595" s="187" t="s">
        <v>892</v>
      </c>
    </row>
    <row r="596" spans="1:2" x14ac:dyDescent="0.25">
      <c r="A596" s="187">
        <v>445120</v>
      </c>
      <c r="B596" s="187" t="s">
        <v>893</v>
      </c>
    </row>
    <row r="597" spans="1:2" x14ac:dyDescent="0.25">
      <c r="A597" s="187">
        <v>445210</v>
      </c>
      <c r="B597" s="187" t="s">
        <v>894</v>
      </c>
    </row>
    <row r="598" spans="1:2" x14ac:dyDescent="0.25">
      <c r="A598" s="187">
        <v>445220</v>
      </c>
      <c r="B598" s="187" t="s">
        <v>895</v>
      </c>
    </row>
    <row r="599" spans="1:2" x14ac:dyDescent="0.25">
      <c r="A599" s="187">
        <v>445230</v>
      </c>
      <c r="B599" s="187" t="s">
        <v>896</v>
      </c>
    </row>
    <row r="600" spans="1:2" x14ac:dyDescent="0.25">
      <c r="A600" s="187">
        <v>445291</v>
      </c>
      <c r="B600" s="187" t="s">
        <v>897</v>
      </c>
    </row>
    <row r="601" spans="1:2" x14ac:dyDescent="0.25">
      <c r="A601" s="187">
        <v>445292</v>
      </c>
      <c r="B601" s="187" t="s">
        <v>898</v>
      </c>
    </row>
    <row r="602" spans="1:2" x14ac:dyDescent="0.25">
      <c r="A602" s="187">
        <v>445299</v>
      </c>
      <c r="B602" s="187" t="s">
        <v>899</v>
      </c>
    </row>
    <row r="603" spans="1:2" x14ac:dyDescent="0.25">
      <c r="A603" s="187">
        <v>445310</v>
      </c>
      <c r="B603" s="187" t="s">
        <v>900</v>
      </c>
    </row>
    <row r="604" spans="1:2" x14ac:dyDescent="0.25">
      <c r="A604" s="187">
        <v>446110</v>
      </c>
      <c r="B604" s="187" t="s">
        <v>901</v>
      </c>
    </row>
    <row r="605" spans="1:2" x14ac:dyDescent="0.25">
      <c r="A605" s="187">
        <v>446120</v>
      </c>
      <c r="B605" s="187" t="s">
        <v>902</v>
      </c>
    </row>
    <row r="606" spans="1:2" x14ac:dyDescent="0.25">
      <c r="A606" s="187">
        <v>446130</v>
      </c>
      <c r="B606" s="187" t="s">
        <v>903</v>
      </c>
    </row>
    <row r="607" spans="1:2" x14ac:dyDescent="0.25">
      <c r="A607" s="187">
        <v>446191</v>
      </c>
      <c r="B607" s="187" t="s">
        <v>904</v>
      </c>
    </row>
    <row r="608" spans="1:2" x14ac:dyDescent="0.25">
      <c r="A608" s="187">
        <v>446199</v>
      </c>
      <c r="B608" s="187" t="s">
        <v>905</v>
      </c>
    </row>
    <row r="609" spans="1:2" x14ac:dyDescent="0.25">
      <c r="A609" s="187">
        <v>447110</v>
      </c>
      <c r="B609" s="187" t="s">
        <v>906</v>
      </c>
    </row>
    <row r="610" spans="1:2" x14ac:dyDescent="0.25">
      <c r="A610" s="187">
        <v>447190</v>
      </c>
      <c r="B610" s="187" t="s">
        <v>907</v>
      </c>
    </row>
    <row r="611" spans="1:2" x14ac:dyDescent="0.25">
      <c r="A611" s="187">
        <v>448110</v>
      </c>
      <c r="B611" s="187" t="s">
        <v>908</v>
      </c>
    </row>
    <row r="612" spans="1:2" x14ac:dyDescent="0.25">
      <c r="A612" s="187">
        <v>448120</v>
      </c>
      <c r="B612" s="187" t="s">
        <v>909</v>
      </c>
    </row>
    <row r="613" spans="1:2" x14ac:dyDescent="0.25">
      <c r="A613" s="187">
        <v>448130</v>
      </c>
      <c r="B613" s="187" t="s">
        <v>910</v>
      </c>
    </row>
    <row r="614" spans="1:2" x14ac:dyDescent="0.25">
      <c r="A614" s="187">
        <v>448140</v>
      </c>
      <c r="B614" s="187" t="s">
        <v>911</v>
      </c>
    </row>
    <row r="615" spans="1:2" x14ac:dyDescent="0.25">
      <c r="A615" s="187">
        <v>448150</v>
      </c>
      <c r="B615" s="187" t="s">
        <v>912</v>
      </c>
    </row>
    <row r="616" spans="1:2" x14ac:dyDescent="0.25">
      <c r="A616" s="187">
        <v>448190</v>
      </c>
      <c r="B616" s="187" t="s">
        <v>913</v>
      </c>
    </row>
    <row r="617" spans="1:2" x14ac:dyDescent="0.25">
      <c r="A617" s="187">
        <v>448210</v>
      </c>
      <c r="B617" s="187" t="s">
        <v>914</v>
      </c>
    </row>
    <row r="618" spans="1:2" x14ac:dyDescent="0.25">
      <c r="A618" s="187">
        <v>448310</v>
      </c>
      <c r="B618" s="187" t="s">
        <v>915</v>
      </c>
    </row>
    <row r="619" spans="1:2" x14ac:dyDescent="0.25">
      <c r="A619" s="187">
        <v>448320</v>
      </c>
      <c r="B619" s="187" t="s">
        <v>916</v>
      </c>
    </row>
    <row r="620" spans="1:2" x14ac:dyDescent="0.25">
      <c r="A620" s="187">
        <v>451110</v>
      </c>
      <c r="B620" s="187" t="s">
        <v>917</v>
      </c>
    </row>
    <row r="621" spans="1:2" x14ac:dyDescent="0.25">
      <c r="A621" s="187">
        <v>451120</v>
      </c>
      <c r="B621" s="187" t="s">
        <v>918</v>
      </c>
    </row>
    <row r="622" spans="1:2" x14ac:dyDescent="0.25">
      <c r="A622" s="187">
        <v>451130</v>
      </c>
      <c r="B622" s="187" t="s">
        <v>919</v>
      </c>
    </row>
    <row r="623" spans="1:2" x14ac:dyDescent="0.25">
      <c r="A623" s="187">
        <v>451140</v>
      </c>
      <c r="B623" s="187" t="s">
        <v>920</v>
      </c>
    </row>
    <row r="624" spans="1:2" x14ac:dyDescent="0.25">
      <c r="A624" s="187">
        <v>451211</v>
      </c>
      <c r="B624" s="187" t="s">
        <v>921</v>
      </c>
    </row>
    <row r="625" spans="1:2" x14ac:dyDescent="0.25">
      <c r="A625" s="187">
        <v>451212</v>
      </c>
      <c r="B625" s="187" t="s">
        <v>922</v>
      </c>
    </row>
    <row r="626" spans="1:2" x14ac:dyDescent="0.25">
      <c r="A626" s="187">
        <v>452111</v>
      </c>
      <c r="B626" s="187" t="s">
        <v>923</v>
      </c>
    </row>
    <row r="627" spans="1:2" x14ac:dyDescent="0.25">
      <c r="A627" s="187">
        <v>452112</v>
      </c>
      <c r="B627" s="187" t="s">
        <v>924</v>
      </c>
    </row>
    <row r="628" spans="1:2" x14ac:dyDescent="0.25">
      <c r="A628" s="187">
        <v>452910</v>
      </c>
      <c r="B628" s="187" t="s">
        <v>925</v>
      </c>
    </row>
    <row r="629" spans="1:2" x14ac:dyDescent="0.25">
      <c r="A629" s="187">
        <v>452990</v>
      </c>
      <c r="B629" s="187" t="s">
        <v>926</v>
      </c>
    </row>
    <row r="630" spans="1:2" x14ac:dyDescent="0.25">
      <c r="A630" s="187">
        <v>453110</v>
      </c>
      <c r="B630" s="187" t="s">
        <v>927</v>
      </c>
    </row>
    <row r="631" spans="1:2" x14ac:dyDescent="0.25">
      <c r="A631" s="187">
        <v>453210</v>
      </c>
      <c r="B631" s="187" t="s">
        <v>928</v>
      </c>
    </row>
    <row r="632" spans="1:2" x14ac:dyDescent="0.25">
      <c r="A632" s="187">
        <v>453220</v>
      </c>
      <c r="B632" s="187" t="s">
        <v>929</v>
      </c>
    </row>
    <row r="633" spans="1:2" x14ac:dyDescent="0.25">
      <c r="A633" s="187">
        <v>453310</v>
      </c>
      <c r="B633" s="187" t="s">
        <v>930</v>
      </c>
    </row>
    <row r="634" spans="1:2" x14ac:dyDescent="0.25">
      <c r="A634" s="187">
        <v>453910</v>
      </c>
      <c r="B634" s="187" t="s">
        <v>931</v>
      </c>
    </row>
    <row r="635" spans="1:2" x14ac:dyDescent="0.25">
      <c r="A635" s="187">
        <v>453920</v>
      </c>
      <c r="B635" s="187" t="s">
        <v>932</v>
      </c>
    </row>
    <row r="636" spans="1:2" x14ac:dyDescent="0.25">
      <c r="A636" s="187">
        <v>453930</v>
      </c>
      <c r="B636" s="187" t="s">
        <v>933</v>
      </c>
    </row>
    <row r="637" spans="1:2" x14ac:dyDescent="0.25">
      <c r="A637" s="187">
        <v>453991</v>
      </c>
      <c r="B637" s="187" t="s">
        <v>934</v>
      </c>
    </row>
    <row r="638" spans="1:2" x14ac:dyDescent="0.25">
      <c r="A638" s="187">
        <v>453998</v>
      </c>
      <c r="B638" s="187" t="s">
        <v>935</v>
      </c>
    </row>
    <row r="639" spans="1:2" x14ac:dyDescent="0.25">
      <c r="A639" s="187">
        <v>454111</v>
      </c>
      <c r="B639" s="187" t="s">
        <v>936</v>
      </c>
    </row>
    <row r="640" spans="1:2" x14ac:dyDescent="0.25">
      <c r="A640" s="187">
        <v>454112</v>
      </c>
      <c r="B640" s="187" t="s">
        <v>937</v>
      </c>
    </row>
    <row r="641" spans="1:2" x14ac:dyDescent="0.25">
      <c r="A641" s="187">
        <v>454113</v>
      </c>
      <c r="B641" s="187" t="s">
        <v>938</v>
      </c>
    </row>
    <row r="642" spans="1:2" x14ac:dyDescent="0.25">
      <c r="A642" s="187">
        <v>454210</v>
      </c>
      <c r="B642" s="187" t="s">
        <v>939</v>
      </c>
    </row>
    <row r="643" spans="1:2" x14ac:dyDescent="0.25">
      <c r="A643" s="187">
        <v>454310</v>
      </c>
      <c r="B643" s="187" t="s">
        <v>940</v>
      </c>
    </row>
    <row r="644" spans="1:2" x14ac:dyDescent="0.25">
      <c r="A644" s="187">
        <v>454390</v>
      </c>
      <c r="B644" s="187" t="s">
        <v>941</v>
      </c>
    </row>
    <row r="645" spans="1:2" x14ac:dyDescent="0.25">
      <c r="A645" s="187">
        <v>481111</v>
      </c>
      <c r="B645" s="187" t="s">
        <v>942</v>
      </c>
    </row>
    <row r="646" spans="1:2" x14ac:dyDescent="0.25">
      <c r="A646" s="187">
        <v>481112</v>
      </c>
      <c r="B646" s="187" t="s">
        <v>943</v>
      </c>
    </row>
    <row r="647" spans="1:2" x14ac:dyDescent="0.25">
      <c r="A647" s="187">
        <v>481211</v>
      </c>
      <c r="B647" s="187" t="s">
        <v>944</v>
      </c>
    </row>
    <row r="648" spans="1:2" x14ac:dyDescent="0.25">
      <c r="A648" s="187">
        <v>481212</v>
      </c>
      <c r="B648" s="187" t="s">
        <v>945</v>
      </c>
    </row>
    <row r="649" spans="1:2" x14ac:dyDescent="0.25">
      <c r="A649" s="187">
        <v>481219</v>
      </c>
      <c r="B649" s="187" t="s">
        <v>946</v>
      </c>
    </row>
    <row r="650" spans="1:2" x14ac:dyDescent="0.25">
      <c r="A650" s="187">
        <v>482111</v>
      </c>
      <c r="B650" s="187" t="s">
        <v>947</v>
      </c>
    </row>
    <row r="651" spans="1:2" x14ac:dyDescent="0.25">
      <c r="A651" s="187">
        <v>482112</v>
      </c>
      <c r="B651" s="187" t="s">
        <v>948</v>
      </c>
    </row>
    <row r="652" spans="1:2" x14ac:dyDescent="0.25">
      <c r="A652" s="187">
        <v>483111</v>
      </c>
      <c r="B652" s="187" t="s">
        <v>949</v>
      </c>
    </row>
    <row r="653" spans="1:2" x14ac:dyDescent="0.25">
      <c r="A653" s="187">
        <v>483112</v>
      </c>
      <c r="B653" s="187" t="s">
        <v>950</v>
      </c>
    </row>
    <row r="654" spans="1:2" x14ac:dyDescent="0.25">
      <c r="A654" s="187">
        <v>483113</v>
      </c>
      <c r="B654" s="187" t="s">
        <v>951</v>
      </c>
    </row>
    <row r="655" spans="1:2" x14ac:dyDescent="0.25">
      <c r="A655" s="187">
        <v>483114</v>
      </c>
      <c r="B655" s="187" t="s">
        <v>952</v>
      </c>
    </row>
    <row r="656" spans="1:2" x14ac:dyDescent="0.25">
      <c r="A656" s="187">
        <v>483211</v>
      </c>
      <c r="B656" s="187" t="s">
        <v>953</v>
      </c>
    </row>
    <row r="657" spans="1:2" x14ac:dyDescent="0.25">
      <c r="A657" s="187">
        <v>483212</v>
      </c>
      <c r="B657" s="187" t="s">
        <v>954</v>
      </c>
    </row>
    <row r="658" spans="1:2" x14ac:dyDescent="0.25">
      <c r="A658" s="187">
        <v>484110</v>
      </c>
      <c r="B658" s="187" t="s">
        <v>955</v>
      </c>
    </row>
    <row r="659" spans="1:2" x14ac:dyDescent="0.25">
      <c r="A659" s="187">
        <v>484121</v>
      </c>
      <c r="B659" s="187" t="s">
        <v>956</v>
      </c>
    </row>
    <row r="660" spans="1:2" x14ac:dyDescent="0.25">
      <c r="A660" s="187">
        <v>484122</v>
      </c>
      <c r="B660" s="187" t="s">
        <v>957</v>
      </c>
    </row>
    <row r="661" spans="1:2" x14ac:dyDescent="0.25">
      <c r="A661" s="187">
        <v>484210</v>
      </c>
      <c r="B661" s="187" t="s">
        <v>958</v>
      </c>
    </row>
    <row r="662" spans="1:2" x14ac:dyDescent="0.25">
      <c r="A662" s="187">
        <v>484220</v>
      </c>
      <c r="B662" s="187" t="s">
        <v>959</v>
      </c>
    </row>
    <row r="663" spans="1:2" x14ac:dyDescent="0.25">
      <c r="A663" s="187">
        <v>484230</v>
      </c>
      <c r="B663" s="187" t="s">
        <v>960</v>
      </c>
    </row>
    <row r="664" spans="1:2" x14ac:dyDescent="0.25">
      <c r="A664" s="187">
        <v>485111</v>
      </c>
      <c r="B664" s="187" t="s">
        <v>961</v>
      </c>
    </row>
    <row r="665" spans="1:2" x14ac:dyDescent="0.25">
      <c r="A665" s="187">
        <v>485112</v>
      </c>
      <c r="B665" s="187" t="s">
        <v>962</v>
      </c>
    </row>
    <row r="666" spans="1:2" x14ac:dyDescent="0.25">
      <c r="A666" s="187">
        <v>485113</v>
      </c>
      <c r="B666" s="187" t="s">
        <v>963</v>
      </c>
    </row>
    <row r="667" spans="1:2" x14ac:dyDescent="0.25">
      <c r="A667" s="187">
        <v>485119</v>
      </c>
      <c r="B667" s="187" t="s">
        <v>964</v>
      </c>
    </row>
    <row r="668" spans="1:2" x14ac:dyDescent="0.25">
      <c r="A668" s="187">
        <v>485210</v>
      </c>
      <c r="B668" s="187" t="s">
        <v>965</v>
      </c>
    </row>
    <row r="669" spans="1:2" x14ac:dyDescent="0.25">
      <c r="A669" s="187">
        <v>485310</v>
      </c>
      <c r="B669" s="187" t="s">
        <v>966</v>
      </c>
    </row>
    <row r="670" spans="1:2" x14ac:dyDescent="0.25">
      <c r="A670" s="187">
        <v>485320</v>
      </c>
      <c r="B670" s="187" t="s">
        <v>967</v>
      </c>
    </row>
    <row r="671" spans="1:2" x14ac:dyDescent="0.25">
      <c r="A671" s="187">
        <v>485410</v>
      </c>
      <c r="B671" s="187" t="s">
        <v>968</v>
      </c>
    </row>
    <row r="672" spans="1:2" x14ac:dyDescent="0.25">
      <c r="A672" s="187">
        <v>485510</v>
      </c>
      <c r="B672" s="187" t="s">
        <v>969</v>
      </c>
    </row>
    <row r="673" spans="1:2" x14ac:dyDescent="0.25">
      <c r="A673" s="187">
        <v>485991</v>
      </c>
      <c r="B673" s="187" t="s">
        <v>970</v>
      </c>
    </row>
    <row r="674" spans="1:2" x14ac:dyDescent="0.25">
      <c r="A674" s="187">
        <v>485999</v>
      </c>
      <c r="B674" s="187" t="s">
        <v>971</v>
      </c>
    </row>
    <row r="675" spans="1:2" x14ac:dyDescent="0.25">
      <c r="A675" s="187">
        <v>486110</v>
      </c>
      <c r="B675" s="187" t="s">
        <v>972</v>
      </c>
    </row>
    <row r="676" spans="1:2" x14ac:dyDescent="0.25">
      <c r="A676" s="187">
        <v>486210</v>
      </c>
      <c r="B676" s="187" t="s">
        <v>973</v>
      </c>
    </row>
    <row r="677" spans="1:2" x14ac:dyDescent="0.25">
      <c r="A677" s="187">
        <v>486910</v>
      </c>
      <c r="B677" s="187" t="s">
        <v>974</v>
      </c>
    </row>
    <row r="678" spans="1:2" x14ac:dyDescent="0.25">
      <c r="A678" s="187">
        <v>486990</v>
      </c>
      <c r="B678" s="187" t="s">
        <v>975</v>
      </c>
    </row>
    <row r="679" spans="1:2" x14ac:dyDescent="0.25">
      <c r="A679" s="187">
        <v>487110</v>
      </c>
      <c r="B679" s="187" t="s">
        <v>976</v>
      </c>
    </row>
    <row r="680" spans="1:2" x14ac:dyDescent="0.25">
      <c r="A680" s="187">
        <v>487210</v>
      </c>
      <c r="B680" s="187" t="s">
        <v>977</v>
      </c>
    </row>
    <row r="681" spans="1:2" x14ac:dyDescent="0.25">
      <c r="A681" s="187">
        <v>487990</v>
      </c>
      <c r="B681" s="187" t="s">
        <v>978</v>
      </c>
    </row>
    <row r="682" spans="1:2" x14ac:dyDescent="0.25">
      <c r="A682" s="187">
        <v>488111</v>
      </c>
      <c r="B682" s="187" t="s">
        <v>979</v>
      </c>
    </row>
    <row r="683" spans="1:2" x14ac:dyDescent="0.25">
      <c r="A683" s="187">
        <v>488119</v>
      </c>
      <c r="B683" s="187" t="s">
        <v>980</v>
      </c>
    </row>
    <row r="684" spans="1:2" x14ac:dyDescent="0.25">
      <c r="A684" s="187">
        <v>488190</v>
      </c>
      <c r="B684" s="187" t="s">
        <v>981</v>
      </c>
    </row>
    <row r="685" spans="1:2" x14ac:dyDescent="0.25">
      <c r="A685" s="187">
        <v>488210</v>
      </c>
      <c r="B685" s="187" t="s">
        <v>982</v>
      </c>
    </row>
    <row r="686" spans="1:2" x14ac:dyDescent="0.25">
      <c r="A686" s="187">
        <v>488310</v>
      </c>
      <c r="B686" s="187" t="s">
        <v>983</v>
      </c>
    </row>
    <row r="687" spans="1:2" x14ac:dyDescent="0.25">
      <c r="A687" s="187">
        <v>488320</v>
      </c>
      <c r="B687" s="187" t="s">
        <v>984</v>
      </c>
    </row>
    <row r="688" spans="1:2" x14ac:dyDescent="0.25">
      <c r="A688" s="187">
        <v>488330</v>
      </c>
      <c r="B688" s="187" t="s">
        <v>985</v>
      </c>
    </row>
    <row r="689" spans="1:2" x14ac:dyDescent="0.25">
      <c r="A689" s="187">
        <v>488390</v>
      </c>
      <c r="B689" s="187" t="s">
        <v>986</v>
      </c>
    </row>
    <row r="690" spans="1:2" x14ac:dyDescent="0.25">
      <c r="A690" s="187">
        <v>488410</v>
      </c>
      <c r="B690" s="187" t="s">
        <v>987</v>
      </c>
    </row>
    <row r="691" spans="1:2" x14ac:dyDescent="0.25">
      <c r="A691" s="187">
        <v>488490</v>
      </c>
      <c r="B691" s="187" t="s">
        <v>988</v>
      </c>
    </row>
    <row r="692" spans="1:2" x14ac:dyDescent="0.25">
      <c r="A692" s="187">
        <v>488510</v>
      </c>
      <c r="B692" s="187" t="s">
        <v>989</v>
      </c>
    </row>
    <row r="693" spans="1:2" x14ac:dyDescent="0.25">
      <c r="A693" s="187">
        <v>488991</v>
      </c>
      <c r="B693" s="187" t="s">
        <v>990</v>
      </c>
    </row>
    <row r="694" spans="1:2" x14ac:dyDescent="0.25">
      <c r="A694" s="187">
        <v>488999</v>
      </c>
      <c r="B694" s="187" t="s">
        <v>991</v>
      </c>
    </row>
    <row r="695" spans="1:2" x14ac:dyDescent="0.25">
      <c r="A695" s="187">
        <v>491110</v>
      </c>
      <c r="B695" s="187" t="s">
        <v>992</v>
      </c>
    </row>
    <row r="696" spans="1:2" x14ac:dyDescent="0.25">
      <c r="A696" s="187">
        <v>492110</v>
      </c>
      <c r="B696" s="187" t="s">
        <v>993</v>
      </c>
    </row>
    <row r="697" spans="1:2" x14ac:dyDescent="0.25">
      <c r="A697" s="187">
        <v>492210</v>
      </c>
      <c r="B697" s="187" t="s">
        <v>994</v>
      </c>
    </row>
    <row r="698" spans="1:2" x14ac:dyDescent="0.25">
      <c r="A698" s="187">
        <v>493110</v>
      </c>
      <c r="B698" s="187" t="s">
        <v>995</v>
      </c>
    </row>
    <row r="699" spans="1:2" x14ac:dyDescent="0.25">
      <c r="A699" s="187">
        <v>493120</v>
      </c>
      <c r="B699" s="187" t="s">
        <v>996</v>
      </c>
    </row>
    <row r="700" spans="1:2" x14ac:dyDescent="0.25">
      <c r="A700" s="187">
        <v>493130</v>
      </c>
      <c r="B700" s="187" t="s">
        <v>997</v>
      </c>
    </row>
    <row r="701" spans="1:2" x14ac:dyDescent="0.25">
      <c r="A701" s="187">
        <v>493190</v>
      </c>
      <c r="B701" s="187" t="s">
        <v>998</v>
      </c>
    </row>
    <row r="702" spans="1:2" x14ac:dyDescent="0.25">
      <c r="A702" s="187">
        <v>511110</v>
      </c>
      <c r="B702" s="187" t="s">
        <v>999</v>
      </c>
    </row>
    <row r="703" spans="1:2" x14ac:dyDescent="0.25">
      <c r="A703" s="187">
        <v>511120</v>
      </c>
      <c r="B703" s="187" t="s">
        <v>1000</v>
      </c>
    </row>
    <row r="704" spans="1:2" x14ac:dyDescent="0.25">
      <c r="A704" s="187">
        <v>511130</v>
      </c>
      <c r="B704" s="187" t="s">
        <v>1001</v>
      </c>
    </row>
    <row r="705" spans="1:2" x14ac:dyDescent="0.25">
      <c r="A705" s="187">
        <v>511140</v>
      </c>
      <c r="B705" s="187" t="s">
        <v>1002</v>
      </c>
    </row>
    <row r="706" spans="1:2" x14ac:dyDescent="0.25">
      <c r="A706" s="187">
        <v>511191</v>
      </c>
      <c r="B706" s="187" t="s">
        <v>1003</v>
      </c>
    </row>
    <row r="707" spans="1:2" x14ac:dyDescent="0.25">
      <c r="A707" s="187">
        <v>511199</v>
      </c>
      <c r="B707" s="187" t="s">
        <v>1004</v>
      </c>
    </row>
    <row r="708" spans="1:2" x14ac:dyDescent="0.25">
      <c r="A708" s="187">
        <v>511210</v>
      </c>
      <c r="B708" s="187" t="s">
        <v>1005</v>
      </c>
    </row>
    <row r="709" spans="1:2" x14ac:dyDescent="0.25">
      <c r="A709" s="187">
        <v>512110</v>
      </c>
      <c r="B709" s="187" t="s">
        <v>1006</v>
      </c>
    </row>
    <row r="710" spans="1:2" x14ac:dyDescent="0.25">
      <c r="A710" s="187">
        <v>512120</v>
      </c>
      <c r="B710" s="187" t="s">
        <v>1007</v>
      </c>
    </row>
    <row r="711" spans="1:2" x14ac:dyDescent="0.25">
      <c r="A711" s="187">
        <v>512131</v>
      </c>
      <c r="B711" s="187" t="s">
        <v>1008</v>
      </c>
    </row>
    <row r="712" spans="1:2" x14ac:dyDescent="0.25">
      <c r="A712" s="187">
        <v>512132</v>
      </c>
      <c r="B712" s="187" t="s">
        <v>1009</v>
      </c>
    </row>
    <row r="713" spans="1:2" x14ac:dyDescent="0.25">
      <c r="A713" s="187">
        <v>512191</v>
      </c>
      <c r="B713" s="187" t="s">
        <v>1010</v>
      </c>
    </row>
    <row r="714" spans="1:2" x14ac:dyDescent="0.25">
      <c r="A714" s="187">
        <v>512199</v>
      </c>
      <c r="B714" s="187" t="s">
        <v>1011</v>
      </c>
    </row>
    <row r="715" spans="1:2" x14ac:dyDescent="0.25">
      <c r="A715" s="187">
        <v>512210</v>
      </c>
      <c r="B715" s="187" t="s">
        <v>1012</v>
      </c>
    </row>
    <row r="716" spans="1:2" x14ac:dyDescent="0.25">
      <c r="A716" s="187">
        <v>512220</v>
      </c>
      <c r="B716" s="187" t="s">
        <v>1013</v>
      </c>
    </row>
    <row r="717" spans="1:2" x14ac:dyDescent="0.25">
      <c r="A717" s="187">
        <v>512230</v>
      </c>
      <c r="B717" s="187" t="s">
        <v>1014</v>
      </c>
    </row>
    <row r="718" spans="1:2" x14ac:dyDescent="0.25">
      <c r="A718" s="187">
        <v>512240</v>
      </c>
      <c r="B718" s="187" t="s">
        <v>1015</v>
      </c>
    </row>
    <row r="719" spans="1:2" x14ac:dyDescent="0.25">
      <c r="A719" s="187">
        <v>512290</v>
      </c>
      <c r="B719" s="187" t="s">
        <v>1016</v>
      </c>
    </row>
    <row r="720" spans="1:2" x14ac:dyDescent="0.25">
      <c r="A720" s="187">
        <v>515111</v>
      </c>
      <c r="B720" s="187" t="s">
        <v>1017</v>
      </c>
    </row>
    <row r="721" spans="1:2" x14ac:dyDescent="0.25">
      <c r="A721" s="187">
        <v>515112</v>
      </c>
      <c r="B721" s="187" t="s">
        <v>1018</v>
      </c>
    </row>
    <row r="722" spans="1:2" x14ac:dyDescent="0.25">
      <c r="A722" s="187">
        <v>515120</v>
      </c>
      <c r="B722" s="187" t="s">
        <v>1019</v>
      </c>
    </row>
    <row r="723" spans="1:2" x14ac:dyDescent="0.25">
      <c r="A723" s="187">
        <v>515210</v>
      </c>
      <c r="B723" s="187" t="s">
        <v>1020</v>
      </c>
    </row>
    <row r="724" spans="1:2" x14ac:dyDescent="0.25">
      <c r="A724" s="187">
        <v>517110</v>
      </c>
      <c r="B724" s="187" t="s">
        <v>1021</v>
      </c>
    </row>
    <row r="725" spans="1:2" x14ac:dyDescent="0.25">
      <c r="A725" s="187">
        <v>517210</v>
      </c>
      <c r="B725" s="187" t="s">
        <v>1022</v>
      </c>
    </row>
    <row r="726" spans="1:2" x14ac:dyDescent="0.25">
      <c r="A726" s="187">
        <v>517410</v>
      </c>
      <c r="B726" s="187" t="s">
        <v>1023</v>
      </c>
    </row>
    <row r="727" spans="1:2" x14ac:dyDescent="0.25">
      <c r="A727" s="187">
        <v>517911</v>
      </c>
      <c r="B727" s="187" t="s">
        <v>1024</v>
      </c>
    </row>
    <row r="728" spans="1:2" x14ac:dyDescent="0.25">
      <c r="A728" s="187">
        <v>517919</v>
      </c>
      <c r="B728" s="187" t="s">
        <v>1025</v>
      </c>
    </row>
    <row r="729" spans="1:2" x14ac:dyDescent="0.25">
      <c r="A729" s="187">
        <v>518210</v>
      </c>
      <c r="B729" s="187" t="s">
        <v>1026</v>
      </c>
    </row>
    <row r="730" spans="1:2" x14ac:dyDescent="0.25">
      <c r="A730" s="187">
        <v>519110</v>
      </c>
      <c r="B730" s="187" t="s">
        <v>1027</v>
      </c>
    </row>
    <row r="731" spans="1:2" x14ac:dyDescent="0.25">
      <c r="A731" s="187">
        <v>519120</v>
      </c>
      <c r="B731" s="187" t="s">
        <v>1028</v>
      </c>
    </row>
    <row r="732" spans="1:2" x14ac:dyDescent="0.25">
      <c r="A732" s="187">
        <v>519130</v>
      </c>
      <c r="B732" s="187" t="s">
        <v>1029</v>
      </c>
    </row>
    <row r="733" spans="1:2" x14ac:dyDescent="0.25">
      <c r="A733" s="187">
        <v>519190</v>
      </c>
      <c r="B733" s="187" t="s">
        <v>1030</v>
      </c>
    </row>
    <row r="734" spans="1:2" x14ac:dyDescent="0.25">
      <c r="A734" s="187">
        <v>521110</v>
      </c>
      <c r="B734" s="187" t="s">
        <v>1031</v>
      </c>
    </row>
    <row r="735" spans="1:2" x14ac:dyDescent="0.25">
      <c r="A735" s="187">
        <v>522110</v>
      </c>
      <c r="B735" s="187" t="s">
        <v>1032</v>
      </c>
    </row>
    <row r="736" spans="1:2" x14ac:dyDescent="0.25">
      <c r="A736" s="187">
        <v>522120</v>
      </c>
      <c r="B736" s="187" t="s">
        <v>1033</v>
      </c>
    </row>
    <row r="737" spans="1:2" x14ac:dyDescent="0.25">
      <c r="A737" s="187">
        <v>522130</v>
      </c>
      <c r="B737" s="187" t="s">
        <v>1034</v>
      </c>
    </row>
    <row r="738" spans="1:2" x14ac:dyDescent="0.25">
      <c r="A738" s="187">
        <v>522190</v>
      </c>
      <c r="B738" s="187" t="s">
        <v>1035</v>
      </c>
    </row>
    <row r="739" spans="1:2" x14ac:dyDescent="0.25">
      <c r="A739" s="187">
        <v>522210</v>
      </c>
      <c r="B739" s="187" t="s">
        <v>1036</v>
      </c>
    </row>
    <row r="740" spans="1:2" x14ac:dyDescent="0.25">
      <c r="A740" s="187">
        <v>522220</v>
      </c>
      <c r="B740" s="187" t="s">
        <v>1037</v>
      </c>
    </row>
    <row r="741" spans="1:2" x14ac:dyDescent="0.25">
      <c r="A741" s="187">
        <v>522291</v>
      </c>
      <c r="B741" s="187" t="s">
        <v>1038</v>
      </c>
    </row>
    <row r="742" spans="1:2" x14ac:dyDescent="0.25">
      <c r="A742" s="187">
        <v>522292</v>
      </c>
      <c r="B742" s="187" t="s">
        <v>1039</v>
      </c>
    </row>
    <row r="743" spans="1:2" x14ac:dyDescent="0.25">
      <c r="A743" s="187">
        <v>522293</v>
      </c>
      <c r="B743" s="187" t="s">
        <v>1040</v>
      </c>
    </row>
    <row r="744" spans="1:2" x14ac:dyDescent="0.25">
      <c r="A744" s="187">
        <v>522294</v>
      </c>
      <c r="B744" s="187" t="s">
        <v>1041</v>
      </c>
    </row>
    <row r="745" spans="1:2" x14ac:dyDescent="0.25">
      <c r="A745" s="187">
        <v>522298</v>
      </c>
      <c r="B745" s="187" t="s">
        <v>1042</v>
      </c>
    </row>
    <row r="746" spans="1:2" x14ac:dyDescent="0.25">
      <c r="A746" s="187">
        <v>522310</v>
      </c>
      <c r="B746" s="187" t="s">
        <v>1043</v>
      </c>
    </row>
    <row r="747" spans="1:2" x14ac:dyDescent="0.25">
      <c r="A747" s="187">
        <v>522320</v>
      </c>
      <c r="B747" s="187" t="s">
        <v>1044</v>
      </c>
    </row>
    <row r="748" spans="1:2" x14ac:dyDescent="0.25">
      <c r="A748" s="187">
        <v>522390</v>
      </c>
      <c r="B748" s="187" t="s">
        <v>1045</v>
      </c>
    </row>
    <row r="749" spans="1:2" x14ac:dyDescent="0.25">
      <c r="A749" s="187">
        <v>523110</v>
      </c>
      <c r="B749" s="187" t="s">
        <v>1046</v>
      </c>
    </row>
    <row r="750" spans="1:2" x14ac:dyDescent="0.25">
      <c r="A750" s="187">
        <v>523120</v>
      </c>
      <c r="B750" s="187" t="s">
        <v>1047</v>
      </c>
    </row>
    <row r="751" spans="1:2" x14ac:dyDescent="0.25">
      <c r="A751" s="187">
        <v>523130</v>
      </c>
      <c r="B751" s="187" t="s">
        <v>1048</v>
      </c>
    </row>
    <row r="752" spans="1:2" x14ac:dyDescent="0.25">
      <c r="A752" s="187">
        <v>523140</v>
      </c>
      <c r="B752" s="187" t="s">
        <v>1049</v>
      </c>
    </row>
    <row r="753" spans="1:2" x14ac:dyDescent="0.25">
      <c r="A753" s="187">
        <v>523210</v>
      </c>
      <c r="B753" s="187" t="s">
        <v>1050</v>
      </c>
    </row>
    <row r="754" spans="1:2" x14ac:dyDescent="0.25">
      <c r="A754" s="187">
        <v>523910</v>
      </c>
      <c r="B754" s="187" t="s">
        <v>1051</v>
      </c>
    </row>
    <row r="755" spans="1:2" x14ac:dyDescent="0.25">
      <c r="A755" s="187">
        <v>523920</v>
      </c>
      <c r="B755" s="187" t="s">
        <v>1052</v>
      </c>
    </row>
    <row r="756" spans="1:2" x14ac:dyDescent="0.25">
      <c r="A756" s="187">
        <v>523930</v>
      </c>
      <c r="B756" s="187" t="s">
        <v>1053</v>
      </c>
    </row>
    <row r="757" spans="1:2" x14ac:dyDescent="0.25">
      <c r="A757" s="187">
        <v>523991</v>
      </c>
      <c r="B757" s="187" t="s">
        <v>1054</v>
      </c>
    </row>
    <row r="758" spans="1:2" x14ac:dyDescent="0.25">
      <c r="A758" s="187">
        <v>523999</v>
      </c>
      <c r="B758" s="187" t="s">
        <v>1055</v>
      </c>
    </row>
    <row r="759" spans="1:2" x14ac:dyDescent="0.25">
      <c r="A759" s="187">
        <v>524113</v>
      </c>
      <c r="B759" s="187" t="s">
        <v>1056</v>
      </c>
    </row>
    <row r="760" spans="1:2" x14ac:dyDescent="0.25">
      <c r="A760" s="187">
        <v>524114</v>
      </c>
      <c r="B760" s="187" t="s">
        <v>1057</v>
      </c>
    </row>
    <row r="761" spans="1:2" x14ac:dyDescent="0.25">
      <c r="A761" s="187">
        <v>524126</v>
      </c>
      <c r="B761" s="187" t="s">
        <v>1058</v>
      </c>
    </row>
    <row r="762" spans="1:2" x14ac:dyDescent="0.25">
      <c r="A762" s="187">
        <v>524127</v>
      </c>
      <c r="B762" s="187" t="s">
        <v>1059</v>
      </c>
    </row>
    <row r="763" spans="1:2" x14ac:dyDescent="0.25">
      <c r="A763" s="187">
        <v>524128</v>
      </c>
      <c r="B763" s="187" t="s">
        <v>1060</v>
      </c>
    </row>
    <row r="764" spans="1:2" x14ac:dyDescent="0.25">
      <c r="A764" s="187">
        <v>524130</v>
      </c>
      <c r="B764" s="187" t="s">
        <v>1061</v>
      </c>
    </row>
    <row r="765" spans="1:2" x14ac:dyDescent="0.25">
      <c r="A765" s="187">
        <v>524210</v>
      </c>
      <c r="B765" s="187" t="s">
        <v>1062</v>
      </c>
    </row>
    <row r="766" spans="1:2" x14ac:dyDescent="0.25">
      <c r="A766" s="187">
        <v>524291</v>
      </c>
      <c r="B766" s="187" t="s">
        <v>1063</v>
      </c>
    </row>
    <row r="767" spans="1:2" x14ac:dyDescent="0.25">
      <c r="A767" s="187">
        <v>524292</v>
      </c>
      <c r="B767" s="187" t="s">
        <v>1064</v>
      </c>
    </row>
    <row r="768" spans="1:2" x14ac:dyDescent="0.25">
      <c r="A768" s="187">
        <v>524298</v>
      </c>
      <c r="B768" s="187" t="s">
        <v>1065</v>
      </c>
    </row>
    <row r="769" spans="1:2" x14ac:dyDescent="0.25">
      <c r="A769" s="187">
        <v>525110</v>
      </c>
      <c r="B769" s="187" t="s">
        <v>1066</v>
      </c>
    </row>
    <row r="770" spans="1:2" x14ac:dyDescent="0.25">
      <c r="A770" s="187">
        <v>525120</v>
      </c>
      <c r="B770" s="187" t="s">
        <v>1067</v>
      </c>
    </row>
    <row r="771" spans="1:2" x14ac:dyDescent="0.25">
      <c r="A771" s="187">
        <v>525190</v>
      </c>
      <c r="B771" s="187" t="s">
        <v>1068</v>
      </c>
    </row>
    <row r="772" spans="1:2" x14ac:dyDescent="0.25">
      <c r="A772" s="187">
        <v>525910</v>
      </c>
      <c r="B772" s="187" t="s">
        <v>1069</v>
      </c>
    </row>
    <row r="773" spans="1:2" x14ac:dyDescent="0.25">
      <c r="A773" s="187">
        <v>525920</v>
      </c>
      <c r="B773" s="187" t="s">
        <v>1070</v>
      </c>
    </row>
    <row r="774" spans="1:2" x14ac:dyDescent="0.25">
      <c r="A774" s="187">
        <v>525990</v>
      </c>
      <c r="B774" s="187" t="s">
        <v>1071</v>
      </c>
    </row>
    <row r="775" spans="1:2" x14ac:dyDescent="0.25">
      <c r="A775" s="187">
        <v>531110</v>
      </c>
      <c r="B775" s="187" t="s">
        <v>1072</v>
      </c>
    </row>
    <row r="776" spans="1:2" x14ac:dyDescent="0.25">
      <c r="A776" s="187">
        <v>531120</v>
      </c>
      <c r="B776" s="187" t="s">
        <v>1073</v>
      </c>
    </row>
    <row r="777" spans="1:2" x14ac:dyDescent="0.25">
      <c r="A777" s="187">
        <v>531130</v>
      </c>
      <c r="B777" s="187" t="s">
        <v>1074</v>
      </c>
    </row>
    <row r="778" spans="1:2" x14ac:dyDescent="0.25">
      <c r="A778" s="187">
        <v>531190</v>
      </c>
      <c r="B778" s="187" t="s">
        <v>1075</v>
      </c>
    </row>
    <row r="779" spans="1:2" x14ac:dyDescent="0.25">
      <c r="A779" s="187">
        <v>531210</v>
      </c>
      <c r="B779" s="187" t="s">
        <v>1076</v>
      </c>
    </row>
    <row r="780" spans="1:2" x14ac:dyDescent="0.25">
      <c r="A780" s="187">
        <v>531311</v>
      </c>
      <c r="B780" s="187" t="s">
        <v>1077</v>
      </c>
    </row>
    <row r="781" spans="1:2" x14ac:dyDescent="0.25">
      <c r="A781" s="187">
        <v>531312</v>
      </c>
      <c r="B781" s="187" t="s">
        <v>1078</v>
      </c>
    </row>
    <row r="782" spans="1:2" x14ac:dyDescent="0.25">
      <c r="A782" s="187">
        <v>531320</v>
      </c>
      <c r="B782" s="187" t="s">
        <v>1079</v>
      </c>
    </row>
    <row r="783" spans="1:2" x14ac:dyDescent="0.25">
      <c r="A783" s="187">
        <v>531390</v>
      </c>
      <c r="B783" s="187" t="s">
        <v>1080</v>
      </c>
    </row>
    <row r="784" spans="1:2" x14ac:dyDescent="0.25">
      <c r="A784" s="187">
        <v>532111</v>
      </c>
      <c r="B784" s="187" t="s">
        <v>1081</v>
      </c>
    </row>
    <row r="785" spans="1:2" x14ac:dyDescent="0.25">
      <c r="A785" s="187">
        <v>532112</v>
      </c>
      <c r="B785" s="187" t="s">
        <v>1082</v>
      </c>
    </row>
    <row r="786" spans="1:2" x14ac:dyDescent="0.25">
      <c r="A786" s="187">
        <v>532120</v>
      </c>
      <c r="B786" s="187" t="s">
        <v>1083</v>
      </c>
    </row>
    <row r="787" spans="1:2" x14ac:dyDescent="0.25">
      <c r="A787" s="187">
        <v>532210</v>
      </c>
      <c r="B787" s="187" t="s">
        <v>1084</v>
      </c>
    </row>
    <row r="788" spans="1:2" x14ac:dyDescent="0.25">
      <c r="A788" s="187">
        <v>532220</v>
      </c>
      <c r="B788" s="187" t="s">
        <v>1085</v>
      </c>
    </row>
    <row r="789" spans="1:2" x14ac:dyDescent="0.25">
      <c r="A789" s="187">
        <v>532230</v>
      </c>
      <c r="B789" s="187" t="s">
        <v>1086</v>
      </c>
    </row>
    <row r="790" spans="1:2" x14ac:dyDescent="0.25">
      <c r="A790" s="187">
        <v>532291</v>
      </c>
      <c r="B790" s="187" t="s">
        <v>1087</v>
      </c>
    </row>
    <row r="791" spans="1:2" x14ac:dyDescent="0.25">
      <c r="A791" s="187">
        <v>532292</v>
      </c>
      <c r="B791" s="187" t="s">
        <v>1088</v>
      </c>
    </row>
    <row r="792" spans="1:2" x14ac:dyDescent="0.25">
      <c r="A792" s="187">
        <v>532299</v>
      </c>
      <c r="B792" s="187" t="s">
        <v>1089</v>
      </c>
    </row>
    <row r="793" spans="1:2" x14ac:dyDescent="0.25">
      <c r="A793" s="187">
        <v>532310</v>
      </c>
      <c r="B793" s="187" t="s">
        <v>1090</v>
      </c>
    </row>
    <row r="794" spans="1:2" x14ac:dyDescent="0.25">
      <c r="A794" s="187">
        <v>532411</v>
      </c>
      <c r="B794" s="187" t="s">
        <v>1091</v>
      </c>
    </row>
    <row r="795" spans="1:2" x14ac:dyDescent="0.25">
      <c r="A795" s="187">
        <v>532412</v>
      </c>
      <c r="B795" s="187" t="s">
        <v>1092</v>
      </c>
    </row>
    <row r="796" spans="1:2" x14ac:dyDescent="0.25">
      <c r="A796" s="187">
        <v>532420</v>
      </c>
      <c r="B796" s="187" t="s">
        <v>1093</v>
      </c>
    </row>
    <row r="797" spans="1:2" x14ac:dyDescent="0.25">
      <c r="A797" s="187">
        <v>532490</v>
      </c>
      <c r="B797" s="187" t="s">
        <v>1094</v>
      </c>
    </row>
    <row r="798" spans="1:2" x14ac:dyDescent="0.25">
      <c r="A798" s="187">
        <v>533110</v>
      </c>
      <c r="B798" s="187" t="s">
        <v>1095</v>
      </c>
    </row>
    <row r="799" spans="1:2" x14ac:dyDescent="0.25">
      <c r="A799" s="187">
        <v>541110</v>
      </c>
      <c r="B799" s="187" t="s">
        <v>1096</v>
      </c>
    </row>
    <row r="800" spans="1:2" x14ac:dyDescent="0.25">
      <c r="A800" s="187">
        <v>541120</v>
      </c>
      <c r="B800" s="187" t="s">
        <v>1097</v>
      </c>
    </row>
    <row r="801" spans="1:2" x14ac:dyDescent="0.25">
      <c r="A801" s="187">
        <v>541191</v>
      </c>
      <c r="B801" s="187" t="s">
        <v>1098</v>
      </c>
    </row>
    <row r="802" spans="1:2" x14ac:dyDescent="0.25">
      <c r="A802" s="187">
        <v>541199</v>
      </c>
      <c r="B802" s="187" t="s">
        <v>1099</v>
      </c>
    </row>
    <row r="803" spans="1:2" x14ac:dyDescent="0.25">
      <c r="A803" s="187">
        <v>541211</v>
      </c>
      <c r="B803" s="187" t="s">
        <v>1100</v>
      </c>
    </row>
    <row r="804" spans="1:2" x14ac:dyDescent="0.25">
      <c r="A804" s="187">
        <v>541213</v>
      </c>
      <c r="B804" s="187" t="s">
        <v>1101</v>
      </c>
    </row>
    <row r="805" spans="1:2" x14ac:dyDescent="0.25">
      <c r="A805" s="187">
        <v>541214</v>
      </c>
      <c r="B805" s="187" t="s">
        <v>1102</v>
      </c>
    </row>
    <row r="806" spans="1:2" x14ac:dyDescent="0.25">
      <c r="A806" s="187">
        <v>541219</v>
      </c>
      <c r="B806" s="187" t="s">
        <v>1103</v>
      </c>
    </row>
    <row r="807" spans="1:2" x14ac:dyDescent="0.25">
      <c r="A807" s="187">
        <v>541310</v>
      </c>
      <c r="B807" s="187" t="s">
        <v>1104</v>
      </c>
    </row>
    <row r="808" spans="1:2" x14ac:dyDescent="0.25">
      <c r="A808" s="187">
        <v>541320</v>
      </c>
      <c r="B808" s="187" t="s">
        <v>1105</v>
      </c>
    </row>
    <row r="809" spans="1:2" x14ac:dyDescent="0.25">
      <c r="A809" s="187">
        <v>541330</v>
      </c>
      <c r="B809" s="187" t="s">
        <v>1106</v>
      </c>
    </row>
    <row r="810" spans="1:2" x14ac:dyDescent="0.25">
      <c r="A810" s="187">
        <v>541340</v>
      </c>
      <c r="B810" s="187" t="s">
        <v>1107</v>
      </c>
    </row>
    <row r="811" spans="1:2" x14ac:dyDescent="0.25">
      <c r="A811" s="187">
        <v>541350</v>
      </c>
      <c r="B811" s="187" t="s">
        <v>1108</v>
      </c>
    </row>
    <row r="812" spans="1:2" x14ac:dyDescent="0.25">
      <c r="A812" s="187">
        <v>541360</v>
      </c>
      <c r="B812" s="187" t="s">
        <v>1109</v>
      </c>
    </row>
    <row r="813" spans="1:2" x14ac:dyDescent="0.25">
      <c r="A813" s="187">
        <v>541370</v>
      </c>
      <c r="B813" s="187" t="s">
        <v>1110</v>
      </c>
    </row>
    <row r="814" spans="1:2" x14ac:dyDescent="0.25">
      <c r="A814" s="187">
        <v>541380</v>
      </c>
      <c r="B814" s="187" t="s">
        <v>1111</v>
      </c>
    </row>
    <row r="815" spans="1:2" x14ac:dyDescent="0.25">
      <c r="A815" s="187">
        <v>541410</v>
      </c>
      <c r="B815" s="187" t="s">
        <v>1112</v>
      </c>
    </row>
    <row r="816" spans="1:2" x14ac:dyDescent="0.25">
      <c r="A816" s="187">
        <v>541420</v>
      </c>
      <c r="B816" s="187" t="s">
        <v>1113</v>
      </c>
    </row>
    <row r="817" spans="1:2" x14ac:dyDescent="0.25">
      <c r="A817" s="187">
        <v>541430</v>
      </c>
      <c r="B817" s="187" t="s">
        <v>1114</v>
      </c>
    </row>
    <row r="818" spans="1:2" x14ac:dyDescent="0.25">
      <c r="A818" s="187">
        <v>541490</v>
      </c>
      <c r="B818" s="187" t="s">
        <v>1115</v>
      </c>
    </row>
    <row r="819" spans="1:2" x14ac:dyDescent="0.25">
      <c r="A819" s="187">
        <v>541511</v>
      </c>
      <c r="B819" s="187" t="s">
        <v>1116</v>
      </c>
    </row>
    <row r="820" spans="1:2" x14ac:dyDescent="0.25">
      <c r="A820" s="187">
        <v>541512</v>
      </c>
      <c r="B820" s="187" t="s">
        <v>1117</v>
      </c>
    </row>
    <row r="821" spans="1:2" x14ac:dyDescent="0.25">
      <c r="A821" s="187">
        <v>541513</v>
      </c>
      <c r="B821" s="187" t="s">
        <v>1118</v>
      </c>
    </row>
    <row r="822" spans="1:2" x14ac:dyDescent="0.25">
      <c r="A822" s="187">
        <v>541519</v>
      </c>
      <c r="B822" s="187" t="s">
        <v>1119</v>
      </c>
    </row>
    <row r="823" spans="1:2" x14ac:dyDescent="0.25">
      <c r="A823" s="187">
        <v>541611</v>
      </c>
      <c r="B823" s="187" t="s">
        <v>1120</v>
      </c>
    </row>
    <row r="824" spans="1:2" x14ac:dyDescent="0.25">
      <c r="A824" s="187">
        <v>541612</v>
      </c>
      <c r="B824" s="187" t="s">
        <v>1121</v>
      </c>
    </row>
    <row r="825" spans="1:2" x14ac:dyDescent="0.25">
      <c r="A825" s="187">
        <v>541613</v>
      </c>
      <c r="B825" s="187" t="s">
        <v>1122</v>
      </c>
    </row>
    <row r="826" spans="1:2" x14ac:dyDescent="0.25">
      <c r="A826" s="187">
        <v>541614</v>
      </c>
      <c r="B826" s="187" t="s">
        <v>1123</v>
      </c>
    </row>
    <row r="827" spans="1:2" x14ac:dyDescent="0.25">
      <c r="A827" s="187">
        <v>541618</v>
      </c>
      <c r="B827" s="187" t="s">
        <v>1124</v>
      </c>
    </row>
    <row r="828" spans="1:2" x14ac:dyDescent="0.25">
      <c r="A828" s="187">
        <v>541620</v>
      </c>
      <c r="B828" s="187" t="s">
        <v>1125</v>
      </c>
    </row>
    <row r="829" spans="1:2" x14ac:dyDescent="0.25">
      <c r="A829" s="187">
        <v>541690</v>
      </c>
      <c r="B829" s="187" t="s">
        <v>1126</v>
      </c>
    </row>
    <row r="830" spans="1:2" x14ac:dyDescent="0.25">
      <c r="A830" s="187">
        <v>541711</v>
      </c>
      <c r="B830" s="187" t="s">
        <v>1127</v>
      </c>
    </row>
    <row r="831" spans="1:2" x14ac:dyDescent="0.25">
      <c r="A831" s="187">
        <v>541712</v>
      </c>
      <c r="B831" s="187" t="s">
        <v>1128</v>
      </c>
    </row>
    <row r="832" spans="1:2" x14ac:dyDescent="0.25">
      <c r="A832" s="187">
        <v>541720</v>
      </c>
      <c r="B832" s="187" t="s">
        <v>1129</v>
      </c>
    </row>
    <row r="833" spans="1:2" x14ac:dyDescent="0.25">
      <c r="A833" s="187">
        <v>541810</v>
      </c>
      <c r="B833" s="187" t="s">
        <v>1130</v>
      </c>
    </row>
    <row r="834" spans="1:2" x14ac:dyDescent="0.25">
      <c r="A834" s="187">
        <v>541820</v>
      </c>
      <c r="B834" s="187" t="s">
        <v>1131</v>
      </c>
    </row>
    <row r="835" spans="1:2" x14ac:dyDescent="0.25">
      <c r="A835" s="187">
        <v>541830</v>
      </c>
      <c r="B835" s="187" t="s">
        <v>1132</v>
      </c>
    </row>
    <row r="836" spans="1:2" x14ac:dyDescent="0.25">
      <c r="A836" s="187">
        <v>541840</v>
      </c>
      <c r="B836" s="187" t="s">
        <v>1133</v>
      </c>
    </row>
    <row r="837" spans="1:2" x14ac:dyDescent="0.25">
      <c r="A837" s="187">
        <v>541850</v>
      </c>
      <c r="B837" s="187" t="s">
        <v>1134</v>
      </c>
    </row>
    <row r="838" spans="1:2" x14ac:dyDescent="0.25">
      <c r="A838" s="187">
        <v>541860</v>
      </c>
      <c r="B838" s="187" t="s">
        <v>1135</v>
      </c>
    </row>
    <row r="839" spans="1:2" x14ac:dyDescent="0.25">
      <c r="A839" s="187">
        <v>541870</v>
      </c>
      <c r="B839" s="187" t="s">
        <v>1136</v>
      </c>
    </row>
    <row r="840" spans="1:2" x14ac:dyDescent="0.25">
      <c r="A840" s="187">
        <v>541890</v>
      </c>
      <c r="B840" s="187" t="s">
        <v>1137</v>
      </c>
    </row>
    <row r="841" spans="1:2" x14ac:dyDescent="0.25">
      <c r="A841" s="187">
        <v>541910</v>
      </c>
      <c r="B841" s="187" t="s">
        <v>1138</v>
      </c>
    </row>
    <row r="842" spans="1:2" x14ac:dyDescent="0.25">
      <c r="A842" s="187">
        <v>541921</v>
      </c>
      <c r="B842" s="187" t="s">
        <v>1139</v>
      </c>
    </row>
    <row r="843" spans="1:2" x14ac:dyDescent="0.25">
      <c r="A843" s="187">
        <v>541922</v>
      </c>
      <c r="B843" s="187" t="s">
        <v>1140</v>
      </c>
    </row>
    <row r="844" spans="1:2" x14ac:dyDescent="0.25">
      <c r="A844" s="187">
        <v>541930</v>
      </c>
      <c r="B844" s="187" t="s">
        <v>1141</v>
      </c>
    </row>
    <row r="845" spans="1:2" x14ac:dyDescent="0.25">
      <c r="A845" s="187">
        <v>541940</v>
      </c>
      <c r="B845" s="187" t="s">
        <v>1142</v>
      </c>
    </row>
    <row r="846" spans="1:2" x14ac:dyDescent="0.25">
      <c r="A846" s="187">
        <v>541990</v>
      </c>
      <c r="B846" s="187" t="s">
        <v>1143</v>
      </c>
    </row>
    <row r="847" spans="1:2" x14ac:dyDescent="0.25">
      <c r="A847" s="187">
        <v>551111</v>
      </c>
      <c r="B847" s="187" t="s">
        <v>1144</v>
      </c>
    </row>
    <row r="848" spans="1:2" x14ac:dyDescent="0.25">
      <c r="A848" s="187">
        <v>551112</v>
      </c>
      <c r="B848" s="187" t="s">
        <v>1145</v>
      </c>
    </row>
    <row r="849" spans="1:2" x14ac:dyDescent="0.25">
      <c r="A849" s="187">
        <v>551114</v>
      </c>
      <c r="B849" s="187" t="s">
        <v>1146</v>
      </c>
    </row>
    <row r="850" spans="1:2" x14ac:dyDescent="0.25">
      <c r="A850" s="187">
        <v>561110</v>
      </c>
      <c r="B850" s="187" t="s">
        <v>1147</v>
      </c>
    </row>
    <row r="851" spans="1:2" x14ac:dyDescent="0.25">
      <c r="A851" s="187">
        <v>561210</v>
      </c>
      <c r="B851" s="187" t="s">
        <v>1148</v>
      </c>
    </row>
    <row r="852" spans="1:2" x14ac:dyDescent="0.25">
      <c r="A852" s="187">
        <v>561311</v>
      </c>
      <c r="B852" s="187" t="s">
        <v>1149</v>
      </c>
    </row>
    <row r="853" spans="1:2" x14ac:dyDescent="0.25">
      <c r="A853" s="187">
        <v>561312</v>
      </c>
      <c r="B853" s="187" t="s">
        <v>1150</v>
      </c>
    </row>
    <row r="854" spans="1:2" x14ac:dyDescent="0.25">
      <c r="A854" s="187">
        <v>561320</v>
      </c>
      <c r="B854" s="187" t="s">
        <v>1151</v>
      </c>
    </row>
    <row r="855" spans="1:2" x14ac:dyDescent="0.25">
      <c r="A855" s="187">
        <v>561330</v>
      </c>
      <c r="B855" s="187" t="s">
        <v>1152</v>
      </c>
    </row>
    <row r="856" spans="1:2" x14ac:dyDescent="0.25">
      <c r="A856" s="187">
        <v>561410</v>
      </c>
      <c r="B856" s="187" t="s">
        <v>1153</v>
      </c>
    </row>
    <row r="857" spans="1:2" x14ac:dyDescent="0.25">
      <c r="A857" s="187">
        <v>561421</v>
      </c>
      <c r="B857" s="187" t="s">
        <v>1154</v>
      </c>
    </row>
    <row r="858" spans="1:2" x14ac:dyDescent="0.25">
      <c r="A858" s="187">
        <v>561422</v>
      </c>
      <c r="B858" s="187" t="s">
        <v>1155</v>
      </c>
    </row>
    <row r="859" spans="1:2" x14ac:dyDescent="0.25">
      <c r="A859" s="187">
        <v>561431</v>
      </c>
      <c r="B859" s="187" t="s">
        <v>1156</v>
      </c>
    </row>
    <row r="860" spans="1:2" x14ac:dyDescent="0.25">
      <c r="A860" s="187">
        <v>561439</v>
      </c>
      <c r="B860" s="187" t="s">
        <v>1157</v>
      </c>
    </row>
    <row r="861" spans="1:2" x14ac:dyDescent="0.25">
      <c r="A861" s="187">
        <v>561440</v>
      </c>
      <c r="B861" s="187" t="s">
        <v>1158</v>
      </c>
    </row>
    <row r="862" spans="1:2" x14ac:dyDescent="0.25">
      <c r="A862" s="187">
        <v>561450</v>
      </c>
      <c r="B862" s="187" t="s">
        <v>1159</v>
      </c>
    </row>
    <row r="863" spans="1:2" x14ac:dyDescent="0.25">
      <c r="A863" s="187">
        <v>561491</v>
      </c>
      <c r="B863" s="187" t="s">
        <v>1160</v>
      </c>
    </row>
    <row r="864" spans="1:2" x14ac:dyDescent="0.25">
      <c r="A864" s="187">
        <v>561492</v>
      </c>
      <c r="B864" s="187" t="s">
        <v>1161</v>
      </c>
    </row>
    <row r="865" spans="1:2" x14ac:dyDescent="0.25">
      <c r="A865" s="187">
        <v>561499</v>
      </c>
      <c r="B865" s="187" t="s">
        <v>1162</v>
      </c>
    </row>
    <row r="866" spans="1:2" x14ac:dyDescent="0.25">
      <c r="A866" s="187">
        <v>561510</v>
      </c>
      <c r="B866" s="187" t="s">
        <v>1163</v>
      </c>
    </row>
    <row r="867" spans="1:2" x14ac:dyDescent="0.25">
      <c r="A867" s="187">
        <v>561520</v>
      </c>
      <c r="B867" s="187" t="s">
        <v>1164</v>
      </c>
    </row>
    <row r="868" spans="1:2" x14ac:dyDescent="0.25">
      <c r="A868" s="187">
        <v>561591</v>
      </c>
      <c r="B868" s="187" t="s">
        <v>1165</v>
      </c>
    </row>
    <row r="869" spans="1:2" x14ac:dyDescent="0.25">
      <c r="A869" s="187">
        <v>561599</v>
      </c>
      <c r="B869" s="187" t="s">
        <v>1166</v>
      </c>
    </row>
    <row r="870" spans="1:2" x14ac:dyDescent="0.25">
      <c r="A870" s="187">
        <v>561611</v>
      </c>
      <c r="B870" s="187" t="s">
        <v>1167</v>
      </c>
    </row>
    <row r="871" spans="1:2" x14ac:dyDescent="0.25">
      <c r="A871" s="187">
        <v>561612</v>
      </c>
      <c r="B871" s="187" t="s">
        <v>1168</v>
      </c>
    </row>
    <row r="872" spans="1:2" x14ac:dyDescent="0.25">
      <c r="A872" s="187">
        <v>561613</v>
      </c>
      <c r="B872" s="187" t="s">
        <v>1169</v>
      </c>
    </row>
    <row r="873" spans="1:2" x14ac:dyDescent="0.25">
      <c r="A873" s="187">
        <v>561621</v>
      </c>
      <c r="B873" s="187" t="s">
        <v>1170</v>
      </c>
    </row>
    <row r="874" spans="1:2" x14ac:dyDescent="0.25">
      <c r="A874" s="187">
        <v>561622</v>
      </c>
      <c r="B874" s="187" t="s">
        <v>1171</v>
      </c>
    </row>
    <row r="875" spans="1:2" x14ac:dyDescent="0.25">
      <c r="A875" s="187">
        <v>561710</v>
      </c>
      <c r="B875" s="187" t="s">
        <v>1172</v>
      </c>
    </row>
    <row r="876" spans="1:2" x14ac:dyDescent="0.25">
      <c r="A876" s="187">
        <v>561720</v>
      </c>
      <c r="B876" s="187" t="s">
        <v>1173</v>
      </c>
    </row>
    <row r="877" spans="1:2" x14ac:dyDescent="0.25">
      <c r="A877" s="187">
        <v>561730</v>
      </c>
      <c r="B877" s="187" t="s">
        <v>1174</v>
      </c>
    </row>
    <row r="878" spans="1:2" x14ac:dyDescent="0.25">
      <c r="A878" s="187">
        <v>561740</v>
      </c>
      <c r="B878" s="187" t="s">
        <v>1175</v>
      </c>
    </row>
    <row r="879" spans="1:2" x14ac:dyDescent="0.25">
      <c r="A879" s="187">
        <v>561790</v>
      </c>
      <c r="B879" s="187" t="s">
        <v>1176</v>
      </c>
    </row>
    <row r="880" spans="1:2" x14ac:dyDescent="0.25">
      <c r="A880" s="187">
        <v>561910</v>
      </c>
      <c r="B880" s="187" t="s">
        <v>1177</v>
      </c>
    </row>
    <row r="881" spans="1:2" x14ac:dyDescent="0.25">
      <c r="A881" s="187">
        <v>561920</v>
      </c>
      <c r="B881" s="187" t="s">
        <v>1178</v>
      </c>
    </row>
    <row r="882" spans="1:2" x14ac:dyDescent="0.25">
      <c r="A882" s="187">
        <v>561990</v>
      </c>
      <c r="B882" s="187" t="s">
        <v>1179</v>
      </c>
    </row>
    <row r="883" spans="1:2" x14ac:dyDescent="0.25">
      <c r="A883" s="187">
        <v>562111</v>
      </c>
      <c r="B883" s="187" t="s">
        <v>1180</v>
      </c>
    </row>
    <row r="884" spans="1:2" x14ac:dyDescent="0.25">
      <c r="A884" s="187">
        <v>562112</v>
      </c>
      <c r="B884" s="187" t="s">
        <v>1181</v>
      </c>
    </row>
    <row r="885" spans="1:2" x14ac:dyDescent="0.25">
      <c r="A885" s="187">
        <v>562119</v>
      </c>
      <c r="B885" s="187" t="s">
        <v>1182</v>
      </c>
    </row>
    <row r="886" spans="1:2" x14ac:dyDescent="0.25">
      <c r="A886" s="187">
        <v>562211</v>
      </c>
      <c r="B886" s="187" t="s">
        <v>1183</v>
      </c>
    </row>
    <row r="887" spans="1:2" x14ac:dyDescent="0.25">
      <c r="A887" s="187">
        <v>562212</v>
      </c>
      <c r="B887" s="187" t="s">
        <v>1184</v>
      </c>
    </row>
    <row r="888" spans="1:2" x14ac:dyDescent="0.25">
      <c r="A888" s="187">
        <v>562213</v>
      </c>
      <c r="B888" s="187" t="s">
        <v>1185</v>
      </c>
    </row>
    <row r="889" spans="1:2" x14ac:dyDescent="0.25">
      <c r="A889" s="187">
        <v>562219</v>
      </c>
      <c r="B889" s="187" t="s">
        <v>1186</v>
      </c>
    </row>
    <row r="890" spans="1:2" x14ac:dyDescent="0.25">
      <c r="A890" s="187">
        <v>562910</v>
      </c>
      <c r="B890" s="187" t="s">
        <v>1187</v>
      </c>
    </row>
    <row r="891" spans="1:2" x14ac:dyDescent="0.25">
      <c r="A891" s="187">
        <v>562920</v>
      </c>
      <c r="B891" s="187" t="s">
        <v>1188</v>
      </c>
    </row>
    <row r="892" spans="1:2" x14ac:dyDescent="0.25">
      <c r="A892" s="187">
        <v>562991</v>
      </c>
      <c r="B892" s="187" t="s">
        <v>1189</v>
      </c>
    </row>
    <row r="893" spans="1:2" x14ac:dyDescent="0.25">
      <c r="A893" s="187">
        <v>562998</v>
      </c>
      <c r="B893" s="187" t="s">
        <v>1190</v>
      </c>
    </row>
    <row r="894" spans="1:2" x14ac:dyDescent="0.25">
      <c r="A894" s="187">
        <v>611110</v>
      </c>
      <c r="B894" s="187" t="s">
        <v>1191</v>
      </c>
    </row>
    <row r="895" spans="1:2" x14ac:dyDescent="0.25">
      <c r="A895" s="187">
        <v>611210</v>
      </c>
      <c r="B895" s="187" t="s">
        <v>1192</v>
      </c>
    </row>
    <row r="896" spans="1:2" x14ac:dyDescent="0.25">
      <c r="A896" s="187">
        <v>611310</v>
      </c>
      <c r="B896" s="187" t="s">
        <v>1193</v>
      </c>
    </row>
    <row r="897" spans="1:2" x14ac:dyDescent="0.25">
      <c r="A897" s="187">
        <v>611410</v>
      </c>
      <c r="B897" s="187" t="s">
        <v>1194</v>
      </c>
    </row>
    <row r="898" spans="1:2" x14ac:dyDescent="0.25">
      <c r="A898" s="187">
        <v>611420</v>
      </c>
      <c r="B898" s="187" t="s">
        <v>1195</v>
      </c>
    </row>
    <row r="899" spans="1:2" x14ac:dyDescent="0.25">
      <c r="A899" s="187">
        <v>611430</v>
      </c>
      <c r="B899" s="187" t="s">
        <v>1196</v>
      </c>
    </row>
    <row r="900" spans="1:2" x14ac:dyDescent="0.25">
      <c r="A900" s="187">
        <v>611511</v>
      </c>
      <c r="B900" s="187" t="s">
        <v>1197</v>
      </c>
    </row>
    <row r="901" spans="1:2" x14ac:dyDescent="0.25">
      <c r="A901" s="187">
        <v>611512</v>
      </c>
      <c r="B901" s="187" t="s">
        <v>1198</v>
      </c>
    </row>
    <row r="902" spans="1:2" x14ac:dyDescent="0.25">
      <c r="A902" s="187">
        <v>611513</v>
      </c>
      <c r="B902" s="187" t="s">
        <v>1199</v>
      </c>
    </row>
    <row r="903" spans="1:2" x14ac:dyDescent="0.25">
      <c r="A903" s="187">
        <v>611519</v>
      </c>
      <c r="B903" s="187" t="s">
        <v>1200</v>
      </c>
    </row>
    <row r="904" spans="1:2" x14ac:dyDescent="0.25">
      <c r="A904" s="187">
        <v>611610</v>
      </c>
      <c r="B904" s="187" t="s">
        <v>1201</v>
      </c>
    </row>
    <row r="905" spans="1:2" x14ac:dyDescent="0.25">
      <c r="A905" s="187">
        <v>611620</v>
      </c>
      <c r="B905" s="187" t="s">
        <v>1202</v>
      </c>
    </row>
    <row r="906" spans="1:2" x14ac:dyDescent="0.25">
      <c r="A906" s="187">
        <v>611630</v>
      </c>
      <c r="B906" s="187" t="s">
        <v>1203</v>
      </c>
    </row>
    <row r="907" spans="1:2" x14ac:dyDescent="0.25">
      <c r="A907" s="187">
        <v>611691</v>
      </c>
      <c r="B907" s="187" t="s">
        <v>1204</v>
      </c>
    </row>
    <row r="908" spans="1:2" x14ac:dyDescent="0.25">
      <c r="A908" s="187">
        <v>611692</v>
      </c>
      <c r="B908" s="187" t="s">
        <v>1205</v>
      </c>
    </row>
    <row r="909" spans="1:2" x14ac:dyDescent="0.25">
      <c r="A909" s="187">
        <v>611699</v>
      </c>
      <c r="B909" s="187" t="s">
        <v>1206</v>
      </c>
    </row>
    <row r="910" spans="1:2" x14ac:dyDescent="0.25">
      <c r="A910" s="187">
        <v>611710</v>
      </c>
      <c r="B910" s="187" t="s">
        <v>1207</v>
      </c>
    </row>
    <row r="911" spans="1:2" x14ac:dyDescent="0.25">
      <c r="A911" s="187">
        <v>621111</v>
      </c>
      <c r="B911" s="187" t="s">
        <v>1208</v>
      </c>
    </row>
    <row r="912" spans="1:2" x14ac:dyDescent="0.25">
      <c r="A912" s="187">
        <v>621112</v>
      </c>
      <c r="B912" s="187" t="s">
        <v>1209</v>
      </c>
    </row>
    <row r="913" spans="1:2" x14ac:dyDescent="0.25">
      <c r="A913" s="187">
        <v>621210</v>
      </c>
      <c r="B913" s="187" t="s">
        <v>1210</v>
      </c>
    </row>
    <row r="914" spans="1:2" x14ac:dyDescent="0.25">
      <c r="A914" s="187">
        <v>621310</v>
      </c>
      <c r="B914" s="187" t="s">
        <v>1211</v>
      </c>
    </row>
    <row r="915" spans="1:2" x14ac:dyDescent="0.25">
      <c r="A915" s="187">
        <v>621320</v>
      </c>
      <c r="B915" s="187" t="s">
        <v>1212</v>
      </c>
    </row>
    <row r="916" spans="1:2" x14ac:dyDescent="0.25">
      <c r="A916" s="187">
        <v>621330</v>
      </c>
      <c r="B916" s="187" t="s">
        <v>1213</v>
      </c>
    </row>
    <row r="917" spans="1:2" x14ac:dyDescent="0.25">
      <c r="A917" s="187">
        <v>621340</v>
      </c>
      <c r="B917" s="187" t="s">
        <v>1214</v>
      </c>
    </row>
    <row r="918" spans="1:2" x14ac:dyDescent="0.25">
      <c r="A918" s="187">
        <v>621391</v>
      </c>
      <c r="B918" s="187" t="s">
        <v>1215</v>
      </c>
    </row>
    <row r="919" spans="1:2" x14ac:dyDescent="0.25">
      <c r="A919" s="187">
        <v>621399</v>
      </c>
      <c r="B919" s="187" t="s">
        <v>1216</v>
      </c>
    </row>
    <row r="920" spans="1:2" x14ac:dyDescent="0.25">
      <c r="A920" s="187">
        <v>621410</v>
      </c>
      <c r="B920" s="187" t="s">
        <v>1217</v>
      </c>
    </row>
    <row r="921" spans="1:2" x14ac:dyDescent="0.25">
      <c r="A921" s="187">
        <v>621420</v>
      </c>
      <c r="B921" s="187" t="s">
        <v>1218</v>
      </c>
    </row>
    <row r="922" spans="1:2" x14ac:dyDescent="0.25">
      <c r="A922" s="187">
        <v>621491</v>
      </c>
      <c r="B922" s="187" t="s">
        <v>1219</v>
      </c>
    </row>
    <row r="923" spans="1:2" x14ac:dyDescent="0.25">
      <c r="A923" s="187">
        <v>621492</v>
      </c>
      <c r="B923" s="187" t="s">
        <v>1220</v>
      </c>
    </row>
    <row r="924" spans="1:2" x14ac:dyDescent="0.25">
      <c r="A924" s="187">
        <v>621493</v>
      </c>
      <c r="B924" s="187" t="s">
        <v>1221</v>
      </c>
    </row>
    <row r="925" spans="1:2" x14ac:dyDescent="0.25">
      <c r="A925" s="187">
        <v>621498</v>
      </c>
      <c r="B925" s="187" t="s">
        <v>1222</v>
      </c>
    </row>
    <row r="926" spans="1:2" x14ac:dyDescent="0.25">
      <c r="A926" s="187">
        <v>621511</v>
      </c>
      <c r="B926" s="187" t="s">
        <v>1223</v>
      </c>
    </row>
    <row r="927" spans="1:2" x14ac:dyDescent="0.25">
      <c r="A927" s="187">
        <v>621512</v>
      </c>
      <c r="B927" s="187" t="s">
        <v>1224</v>
      </c>
    </row>
    <row r="928" spans="1:2" x14ac:dyDescent="0.25">
      <c r="A928" s="187">
        <v>621610</v>
      </c>
      <c r="B928" s="187" t="s">
        <v>1225</v>
      </c>
    </row>
    <row r="929" spans="1:2" x14ac:dyDescent="0.25">
      <c r="A929" s="187">
        <v>621910</v>
      </c>
      <c r="B929" s="187" t="s">
        <v>1226</v>
      </c>
    </row>
    <row r="930" spans="1:2" x14ac:dyDescent="0.25">
      <c r="A930" s="187">
        <v>621991</v>
      </c>
      <c r="B930" s="187" t="s">
        <v>1227</v>
      </c>
    </row>
    <row r="931" spans="1:2" x14ac:dyDescent="0.25">
      <c r="A931" s="187">
        <v>621999</v>
      </c>
      <c r="B931" s="187" t="s">
        <v>1228</v>
      </c>
    </row>
    <row r="932" spans="1:2" x14ac:dyDescent="0.25">
      <c r="A932" s="187">
        <v>622110</v>
      </c>
      <c r="B932" s="187" t="s">
        <v>1229</v>
      </c>
    </row>
    <row r="933" spans="1:2" x14ac:dyDescent="0.25">
      <c r="A933" s="187">
        <v>622210</v>
      </c>
      <c r="B933" s="187" t="s">
        <v>1230</v>
      </c>
    </row>
    <row r="934" spans="1:2" x14ac:dyDescent="0.25">
      <c r="A934" s="187">
        <v>622310</v>
      </c>
      <c r="B934" s="187" t="s">
        <v>1231</v>
      </c>
    </row>
    <row r="935" spans="1:2" x14ac:dyDescent="0.25">
      <c r="A935" s="187">
        <v>623110</v>
      </c>
      <c r="B935" s="187" t="s">
        <v>1232</v>
      </c>
    </row>
    <row r="936" spans="1:2" x14ac:dyDescent="0.25">
      <c r="A936" s="187">
        <v>623210</v>
      </c>
      <c r="B936" s="187" t="s">
        <v>1233</v>
      </c>
    </row>
    <row r="937" spans="1:2" x14ac:dyDescent="0.25">
      <c r="A937" s="187">
        <v>623220</v>
      </c>
      <c r="B937" s="187" t="s">
        <v>1234</v>
      </c>
    </row>
    <row r="938" spans="1:2" x14ac:dyDescent="0.25">
      <c r="A938" s="187">
        <v>623311</v>
      </c>
      <c r="B938" s="187" t="s">
        <v>1235</v>
      </c>
    </row>
    <row r="939" spans="1:2" x14ac:dyDescent="0.25">
      <c r="A939" s="187">
        <v>623312</v>
      </c>
      <c r="B939" s="187" t="s">
        <v>1236</v>
      </c>
    </row>
    <row r="940" spans="1:2" x14ac:dyDescent="0.25">
      <c r="A940" s="187">
        <v>623990</v>
      </c>
      <c r="B940" s="187" t="s">
        <v>1237</v>
      </c>
    </row>
    <row r="941" spans="1:2" x14ac:dyDescent="0.25">
      <c r="A941" s="187">
        <v>624110</v>
      </c>
      <c r="B941" s="187" t="s">
        <v>1238</v>
      </c>
    </row>
    <row r="942" spans="1:2" x14ac:dyDescent="0.25">
      <c r="A942" s="187">
        <v>624120</v>
      </c>
      <c r="B942" s="187" t="s">
        <v>1239</v>
      </c>
    </row>
    <row r="943" spans="1:2" x14ac:dyDescent="0.25">
      <c r="A943" s="187">
        <v>624190</v>
      </c>
      <c r="B943" s="187" t="s">
        <v>1240</v>
      </c>
    </row>
    <row r="944" spans="1:2" x14ac:dyDescent="0.25">
      <c r="A944" s="187">
        <v>624210</v>
      </c>
      <c r="B944" s="187" t="s">
        <v>1241</v>
      </c>
    </row>
    <row r="945" spans="1:2" x14ac:dyDescent="0.25">
      <c r="A945" s="187">
        <v>624221</v>
      </c>
      <c r="B945" s="187" t="s">
        <v>1242</v>
      </c>
    </row>
    <row r="946" spans="1:2" x14ac:dyDescent="0.25">
      <c r="A946" s="187">
        <v>624229</v>
      </c>
      <c r="B946" s="187" t="s">
        <v>1243</v>
      </c>
    </row>
    <row r="947" spans="1:2" x14ac:dyDescent="0.25">
      <c r="A947" s="187">
        <v>624230</v>
      </c>
      <c r="B947" s="187" t="s">
        <v>1244</v>
      </c>
    </row>
    <row r="948" spans="1:2" x14ac:dyDescent="0.25">
      <c r="A948" s="187">
        <v>624310</v>
      </c>
      <c r="B948" s="187" t="s">
        <v>1245</v>
      </c>
    </row>
    <row r="949" spans="1:2" x14ac:dyDescent="0.25">
      <c r="A949" s="187">
        <v>624410</v>
      </c>
      <c r="B949" s="187" t="s">
        <v>1246</v>
      </c>
    </row>
    <row r="950" spans="1:2" x14ac:dyDescent="0.25">
      <c r="A950" s="187">
        <v>711110</v>
      </c>
      <c r="B950" s="187" t="s">
        <v>1247</v>
      </c>
    </row>
    <row r="951" spans="1:2" x14ac:dyDescent="0.25">
      <c r="A951" s="187">
        <v>711120</v>
      </c>
      <c r="B951" s="187" t="s">
        <v>1248</v>
      </c>
    </row>
    <row r="952" spans="1:2" x14ac:dyDescent="0.25">
      <c r="A952" s="187">
        <v>711130</v>
      </c>
      <c r="B952" s="187" t="s">
        <v>1249</v>
      </c>
    </row>
    <row r="953" spans="1:2" x14ac:dyDescent="0.25">
      <c r="A953" s="187">
        <v>711190</v>
      </c>
      <c r="B953" s="187" t="s">
        <v>1250</v>
      </c>
    </row>
    <row r="954" spans="1:2" x14ac:dyDescent="0.25">
      <c r="A954" s="187">
        <v>711211</v>
      </c>
      <c r="B954" s="187" t="s">
        <v>1251</v>
      </c>
    </row>
    <row r="955" spans="1:2" x14ac:dyDescent="0.25">
      <c r="A955" s="187">
        <v>711212</v>
      </c>
      <c r="B955" s="187" t="s">
        <v>1252</v>
      </c>
    </row>
    <row r="956" spans="1:2" x14ac:dyDescent="0.25">
      <c r="A956" s="187">
        <v>711219</v>
      </c>
      <c r="B956" s="187" t="s">
        <v>1253</v>
      </c>
    </row>
    <row r="957" spans="1:2" x14ac:dyDescent="0.25">
      <c r="A957" s="187">
        <v>711310</v>
      </c>
      <c r="B957" s="187" t="s">
        <v>1254</v>
      </c>
    </row>
    <row r="958" spans="1:2" x14ac:dyDescent="0.25">
      <c r="A958" s="187">
        <v>711320</v>
      </c>
      <c r="B958" s="187" t="s">
        <v>1255</v>
      </c>
    </row>
    <row r="959" spans="1:2" x14ac:dyDescent="0.25">
      <c r="A959" s="187">
        <v>711410</v>
      </c>
      <c r="B959" s="187" t="s">
        <v>1256</v>
      </c>
    </row>
    <row r="960" spans="1:2" x14ac:dyDescent="0.25">
      <c r="A960" s="187">
        <v>711510</v>
      </c>
      <c r="B960" s="187" t="s">
        <v>1257</v>
      </c>
    </row>
    <row r="961" spans="1:2" x14ac:dyDescent="0.25">
      <c r="A961" s="187">
        <v>712110</v>
      </c>
      <c r="B961" s="187" t="s">
        <v>1258</v>
      </c>
    </row>
    <row r="962" spans="1:2" x14ac:dyDescent="0.25">
      <c r="A962" s="187">
        <v>712120</v>
      </c>
      <c r="B962" s="187" t="s">
        <v>1259</v>
      </c>
    </row>
    <row r="963" spans="1:2" x14ac:dyDescent="0.25">
      <c r="A963" s="187">
        <v>712130</v>
      </c>
      <c r="B963" s="187" t="s">
        <v>1260</v>
      </c>
    </row>
    <row r="964" spans="1:2" x14ac:dyDescent="0.25">
      <c r="A964" s="187">
        <v>712190</v>
      </c>
      <c r="B964" s="187" t="s">
        <v>1261</v>
      </c>
    </row>
    <row r="965" spans="1:2" x14ac:dyDescent="0.25">
      <c r="A965" s="187">
        <v>713110</v>
      </c>
      <c r="B965" s="187" t="s">
        <v>1262</v>
      </c>
    </row>
    <row r="966" spans="1:2" x14ac:dyDescent="0.25">
      <c r="A966" s="187">
        <v>713120</v>
      </c>
      <c r="B966" s="187" t="s">
        <v>1263</v>
      </c>
    </row>
    <row r="967" spans="1:2" x14ac:dyDescent="0.25">
      <c r="A967" s="187">
        <v>713210</v>
      </c>
      <c r="B967" s="187" t="s">
        <v>1264</v>
      </c>
    </row>
    <row r="968" spans="1:2" x14ac:dyDescent="0.25">
      <c r="A968" s="187">
        <v>713290</v>
      </c>
      <c r="B968" s="187" t="s">
        <v>1265</v>
      </c>
    </row>
    <row r="969" spans="1:2" x14ac:dyDescent="0.25">
      <c r="A969" s="187">
        <v>713910</v>
      </c>
      <c r="B969" s="187" t="s">
        <v>1266</v>
      </c>
    </row>
    <row r="970" spans="1:2" x14ac:dyDescent="0.25">
      <c r="A970" s="187">
        <v>713920</v>
      </c>
      <c r="B970" s="187" t="s">
        <v>1267</v>
      </c>
    </row>
    <row r="971" spans="1:2" x14ac:dyDescent="0.25">
      <c r="A971" s="187">
        <v>713930</v>
      </c>
      <c r="B971" s="187" t="s">
        <v>290</v>
      </c>
    </row>
    <row r="972" spans="1:2" x14ac:dyDescent="0.25">
      <c r="A972" s="187">
        <v>713940</v>
      </c>
      <c r="B972" s="187" t="s">
        <v>1268</v>
      </c>
    </row>
    <row r="973" spans="1:2" x14ac:dyDescent="0.25">
      <c r="A973" s="187">
        <v>713950</v>
      </c>
      <c r="B973" s="187" t="s">
        <v>1269</v>
      </c>
    </row>
    <row r="974" spans="1:2" x14ac:dyDescent="0.25">
      <c r="A974" s="187">
        <v>713990</v>
      </c>
      <c r="B974" s="187" t="s">
        <v>1270</v>
      </c>
    </row>
    <row r="975" spans="1:2" x14ac:dyDescent="0.25">
      <c r="A975" s="187">
        <v>721110</v>
      </c>
      <c r="B975" s="187" t="s">
        <v>1271</v>
      </c>
    </row>
    <row r="976" spans="1:2" x14ac:dyDescent="0.25">
      <c r="A976" s="187">
        <v>721120</v>
      </c>
      <c r="B976" s="187" t="s">
        <v>1272</v>
      </c>
    </row>
    <row r="977" spans="1:2" x14ac:dyDescent="0.25">
      <c r="A977" s="187">
        <v>721191</v>
      </c>
      <c r="B977" s="187" t="s">
        <v>1273</v>
      </c>
    </row>
    <row r="978" spans="1:2" x14ac:dyDescent="0.25">
      <c r="A978" s="187">
        <v>721199</v>
      </c>
      <c r="B978" s="187" t="s">
        <v>1274</v>
      </c>
    </row>
    <row r="979" spans="1:2" x14ac:dyDescent="0.25">
      <c r="A979" s="187">
        <v>721211</v>
      </c>
      <c r="B979" s="187" t="s">
        <v>1275</v>
      </c>
    </row>
    <row r="980" spans="1:2" x14ac:dyDescent="0.25">
      <c r="A980" s="187">
        <v>721214</v>
      </c>
      <c r="B980" s="187" t="s">
        <v>1276</v>
      </c>
    </row>
    <row r="981" spans="1:2" x14ac:dyDescent="0.25">
      <c r="A981" s="187">
        <v>721310</v>
      </c>
      <c r="B981" s="187" t="s">
        <v>1277</v>
      </c>
    </row>
    <row r="982" spans="1:2" x14ac:dyDescent="0.25">
      <c r="A982" s="187">
        <v>722310</v>
      </c>
      <c r="B982" s="187" t="s">
        <v>1278</v>
      </c>
    </row>
    <row r="983" spans="1:2" x14ac:dyDescent="0.25">
      <c r="A983" s="187">
        <v>722320</v>
      </c>
      <c r="B983" s="187" t="s">
        <v>291</v>
      </c>
    </row>
    <row r="984" spans="1:2" x14ac:dyDescent="0.25">
      <c r="A984" s="187">
        <v>722330</v>
      </c>
      <c r="B984" s="187" t="s">
        <v>1279</v>
      </c>
    </row>
    <row r="985" spans="1:2" x14ac:dyDescent="0.25">
      <c r="A985" s="187">
        <v>722410</v>
      </c>
      <c r="B985" s="187" t="s">
        <v>1280</v>
      </c>
    </row>
    <row r="986" spans="1:2" x14ac:dyDescent="0.25">
      <c r="A986" s="187">
        <v>722511</v>
      </c>
      <c r="B986" s="187" t="s">
        <v>1281</v>
      </c>
    </row>
    <row r="987" spans="1:2" x14ac:dyDescent="0.25">
      <c r="A987" s="187">
        <v>722513</v>
      </c>
      <c r="B987" s="187" t="s">
        <v>1282</v>
      </c>
    </row>
    <row r="988" spans="1:2" x14ac:dyDescent="0.25">
      <c r="A988" s="187">
        <v>722514</v>
      </c>
      <c r="B988" s="187" t="s">
        <v>1283</v>
      </c>
    </row>
    <row r="989" spans="1:2" x14ac:dyDescent="0.25">
      <c r="A989" s="187">
        <v>722515</v>
      </c>
      <c r="B989" s="187" t="s">
        <v>1284</v>
      </c>
    </row>
    <row r="990" spans="1:2" x14ac:dyDescent="0.25">
      <c r="A990" s="187">
        <v>811111</v>
      </c>
      <c r="B990" s="187" t="s">
        <v>1285</v>
      </c>
    </row>
    <row r="991" spans="1:2" x14ac:dyDescent="0.25">
      <c r="A991" s="187">
        <v>811112</v>
      </c>
      <c r="B991" s="187" t="s">
        <v>1286</v>
      </c>
    </row>
    <row r="992" spans="1:2" x14ac:dyDescent="0.25">
      <c r="A992" s="187">
        <v>811113</v>
      </c>
      <c r="B992" s="187" t="s">
        <v>1287</v>
      </c>
    </row>
    <row r="993" spans="1:2" x14ac:dyDescent="0.25">
      <c r="A993" s="187">
        <v>811118</v>
      </c>
      <c r="B993" s="187" t="s">
        <v>1288</v>
      </c>
    </row>
    <row r="994" spans="1:2" x14ac:dyDescent="0.25">
      <c r="A994" s="187">
        <v>811121</v>
      </c>
      <c r="B994" s="187" t="s">
        <v>1289</v>
      </c>
    </row>
    <row r="995" spans="1:2" x14ac:dyDescent="0.25">
      <c r="A995" s="187">
        <v>811122</v>
      </c>
      <c r="B995" s="187" t="s">
        <v>1290</v>
      </c>
    </row>
    <row r="996" spans="1:2" x14ac:dyDescent="0.25">
      <c r="A996" s="187">
        <v>811191</v>
      </c>
      <c r="B996" s="187" t="s">
        <v>1291</v>
      </c>
    </row>
    <row r="997" spans="1:2" x14ac:dyDescent="0.25">
      <c r="A997" s="187">
        <v>811192</v>
      </c>
      <c r="B997" s="187" t="s">
        <v>1292</v>
      </c>
    </row>
    <row r="998" spans="1:2" x14ac:dyDescent="0.25">
      <c r="A998" s="187">
        <v>811198</v>
      </c>
      <c r="B998" s="187" t="s">
        <v>1293</v>
      </c>
    </row>
    <row r="999" spans="1:2" x14ac:dyDescent="0.25">
      <c r="A999" s="187">
        <v>811211</v>
      </c>
      <c r="B999" s="187" t="s">
        <v>1294</v>
      </c>
    </row>
    <row r="1000" spans="1:2" x14ac:dyDescent="0.25">
      <c r="A1000" s="187">
        <v>811212</v>
      </c>
      <c r="B1000" s="187" t="s">
        <v>1295</v>
      </c>
    </row>
    <row r="1001" spans="1:2" x14ac:dyDescent="0.25">
      <c r="A1001" s="187">
        <v>811213</v>
      </c>
      <c r="B1001" s="187" t="s">
        <v>1296</v>
      </c>
    </row>
    <row r="1002" spans="1:2" x14ac:dyDescent="0.25">
      <c r="A1002" s="187">
        <v>811219</v>
      </c>
      <c r="B1002" s="187" t="s">
        <v>1297</v>
      </c>
    </row>
    <row r="1003" spans="1:2" x14ac:dyDescent="0.25">
      <c r="A1003" s="187">
        <v>811310</v>
      </c>
      <c r="B1003" s="187" t="s">
        <v>1298</v>
      </c>
    </row>
    <row r="1004" spans="1:2" x14ac:dyDescent="0.25">
      <c r="A1004" s="187">
        <v>811411</v>
      </c>
      <c r="B1004" s="187" t="s">
        <v>1299</v>
      </c>
    </row>
    <row r="1005" spans="1:2" x14ac:dyDescent="0.25">
      <c r="A1005" s="187">
        <v>811412</v>
      </c>
      <c r="B1005" s="187" t="s">
        <v>1300</v>
      </c>
    </row>
    <row r="1006" spans="1:2" x14ac:dyDescent="0.25">
      <c r="A1006" s="187">
        <v>811420</v>
      </c>
      <c r="B1006" s="187" t="s">
        <v>1301</v>
      </c>
    </row>
    <row r="1007" spans="1:2" x14ac:dyDescent="0.25">
      <c r="A1007" s="187">
        <v>811430</v>
      </c>
      <c r="B1007" s="187" t="s">
        <v>1302</v>
      </c>
    </row>
    <row r="1008" spans="1:2" x14ac:dyDescent="0.25">
      <c r="A1008" s="187">
        <v>811490</v>
      </c>
      <c r="B1008" s="187" t="s">
        <v>1303</v>
      </c>
    </row>
    <row r="1009" spans="1:2" x14ac:dyDescent="0.25">
      <c r="A1009" s="187">
        <v>812111</v>
      </c>
      <c r="B1009" s="187" t="s">
        <v>1304</v>
      </c>
    </row>
    <row r="1010" spans="1:2" x14ac:dyDescent="0.25">
      <c r="A1010" s="187">
        <v>812112</v>
      </c>
      <c r="B1010" s="187" t="s">
        <v>1305</v>
      </c>
    </row>
    <row r="1011" spans="1:2" x14ac:dyDescent="0.25">
      <c r="A1011" s="187">
        <v>812113</v>
      </c>
      <c r="B1011" s="187" t="s">
        <v>1306</v>
      </c>
    </row>
    <row r="1012" spans="1:2" x14ac:dyDescent="0.25">
      <c r="A1012" s="187">
        <v>812191</v>
      </c>
      <c r="B1012" s="187" t="s">
        <v>1307</v>
      </c>
    </row>
    <row r="1013" spans="1:2" x14ac:dyDescent="0.25">
      <c r="A1013" s="187">
        <v>812199</v>
      </c>
      <c r="B1013" s="187" t="s">
        <v>1308</v>
      </c>
    </row>
    <row r="1014" spans="1:2" x14ac:dyDescent="0.25">
      <c r="A1014" s="187">
        <v>812210</v>
      </c>
      <c r="B1014" s="187" t="s">
        <v>1309</v>
      </c>
    </row>
    <row r="1015" spans="1:2" x14ac:dyDescent="0.25">
      <c r="A1015" s="187">
        <v>812220</v>
      </c>
      <c r="B1015" s="187" t="s">
        <v>1310</v>
      </c>
    </row>
    <row r="1016" spans="1:2" x14ac:dyDescent="0.25">
      <c r="A1016" s="187">
        <v>812310</v>
      </c>
      <c r="B1016" s="187" t="s">
        <v>1311</v>
      </c>
    </row>
    <row r="1017" spans="1:2" x14ac:dyDescent="0.25">
      <c r="A1017" s="187">
        <v>812320</v>
      </c>
      <c r="B1017" s="187" t="s">
        <v>1312</v>
      </c>
    </row>
    <row r="1018" spans="1:2" x14ac:dyDescent="0.25">
      <c r="A1018" s="187">
        <v>812331</v>
      </c>
      <c r="B1018" s="187" t="s">
        <v>1313</v>
      </c>
    </row>
    <row r="1019" spans="1:2" x14ac:dyDescent="0.25">
      <c r="A1019" s="187">
        <v>812332</v>
      </c>
      <c r="B1019" s="187" t="s">
        <v>1314</v>
      </c>
    </row>
    <row r="1020" spans="1:2" x14ac:dyDescent="0.25">
      <c r="A1020" s="187">
        <v>812910</v>
      </c>
      <c r="B1020" s="187" t="s">
        <v>1315</v>
      </c>
    </row>
    <row r="1021" spans="1:2" x14ac:dyDescent="0.25">
      <c r="A1021" s="187">
        <v>812921</v>
      </c>
      <c r="B1021" s="187" t="s">
        <v>1316</v>
      </c>
    </row>
    <row r="1022" spans="1:2" x14ac:dyDescent="0.25">
      <c r="A1022" s="187">
        <v>812922</v>
      </c>
      <c r="B1022" s="187" t="s">
        <v>1317</v>
      </c>
    </row>
    <row r="1023" spans="1:2" x14ac:dyDescent="0.25">
      <c r="A1023" s="187">
        <v>812930</v>
      </c>
      <c r="B1023" s="187" t="s">
        <v>1318</v>
      </c>
    </row>
    <row r="1024" spans="1:2" x14ac:dyDescent="0.25">
      <c r="A1024" s="187">
        <v>812990</v>
      </c>
      <c r="B1024" s="187" t="s">
        <v>1319</v>
      </c>
    </row>
    <row r="1025" spans="1:2" x14ac:dyDescent="0.25">
      <c r="A1025" s="187">
        <v>813110</v>
      </c>
      <c r="B1025" s="187" t="s">
        <v>1320</v>
      </c>
    </row>
    <row r="1026" spans="1:2" x14ac:dyDescent="0.25">
      <c r="A1026" s="187">
        <v>813211</v>
      </c>
      <c r="B1026" s="187" t="s">
        <v>1321</v>
      </c>
    </row>
    <row r="1027" spans="1:2" x14ac:dyDescent="0.25">
      <c r="A1027" s="187">
        <v>813212</v>
      </c>
      <c r="B1027" s="187" t="s">
        <v>1322</v>
      </c>
    </row>
    <row r="1028" spans="1:2" x14ac:dyDescent="0.25">
      <c r="A1028" s="187">
        <v>813219</v>
      </c>
      <c r="B1028" s="187" t="s">
        <v>1323</v>
      </c>
    </row>
    <row r="1029" spans="1:2" x14ac:dyDescent="0.25">
      <c r="A1029" s="187">
        <v>813311</v>
      </c>
      <c r="B1029" s="187" t="s">
        <v>1324</v>
      </c>
    </row>
    <row r="1030" spans="1:2" x14ac:dyDescent="0.25">
      <c r="A1030" s="187">
        <v>813312</v>
      </c>
      <c r="B1030" s="187" t="s">
        <v>1325</v>
      </c>
    </row>
    <row r="1031" spans="1:2" x14ac:dyDescent="0.25">
      <c r="A1031" s="187">
        <v>813319</v>
      </c>
      <c r="B1031" s="187" t="s">
        <v>1326</v>
      </c>
    </row>
    <row r="1032" spans="1:2" x14ac:dyDescent="0.25">
      <c r="A1032" s="187">
        <v>813410</v>
      </c>
      <c r="B1032" s="187" t="s">
        <v>1327</v>
      </c>
    </row>
    <row r="1033" spans="1:2" x14ac:dyDescent="0.25">
      <c r="A1033" s="187">
        <v>813910</v>
      </c>
      <c r="B1033" s="187" t="s">
        <v>1328</v>
      </c>
    </row>
    <row r="1034" spans="1:2" x14ac:dyDescent="0.25">
      <c r="A1034" s="187">
        <v>813920</v>
      </c>
      <c r="B1034" s="187" t="s">
        <v>1329</v>
      </c>
    </row>
    <row r="1035" spans="1:2" x14ac:dyDescent="0.25">
      <c r="A1035" s="187">
        <v>813930</v>
      </c>
      <c r="B1035" s="187" t="s">
        <v>1330</v>
      </c>
    </row>
    <row r="1036" spans="1:2" x14ac:dyDescent="0.25">
      <c r="A1036" s="187">
        <v>813940</v>
      </c>
      <c r="B1036" s="187" t="s">
        <v>1331</v>
      </c>
    </row>
    <row r="1037" spans="1:2" x14ac:dyDescent="0.25">
      <c r="A1037" s="187">
        <v>813990</v>
      </c>
      <c r="B1037" s="187" t="s">
        <v>1332</v>
      </c>
    </row>
    <row r="1038" spans="1:2" x14ac:dyDescent="0.25">
      <c r="A1038" s="187">
        <v>814110</v>
      </c>
      <c r="B1038" s="187" t="s">
        <v>1333</v>
      </c>
    </row>
    <row r="1039" spans="1:2" x14ac:dyDescent="0.25">
      <c r="A1039" s="187">
        <v>921110</v>
      </c>
      <c r="B1039" s="187" t="s">
        <v>1334</v>
      </c>
    </row>
    <row r="1040" spans="1:2" x14ac:dyDescent="0.25">
      <c r="A1040" s="187">
        <v>921120</v>
      </c>
      <c r="B1040" s="187" t="s">
        <v>1335</v>
      </c>
    </row>
    <row r="1041" spans="1:2" x14ac:dyDescent="0.25">
      <c r="A1041" s="187">
        <v>921130</v>
      </c>
      <c r="B1041" s="187" t="s">
        <v>1336</v>
      </c>
    </row>
    <row r="1042" spans="1:2" x14ac:dyDescent="0.25">
      <c r="A1042" s="187">
        <v>921140</v>
      </c>
      <c r="B1042" s="187" t="s">
        <v>1337</v>
      </c>
    </row>
    <row r="1043" spans="1:2" x14ac:dyDescent="0.25">
      <c r="A1043" s="187">
        <v>921150</v>
      </c>
      <c r="B1043" s="187" t="s">
        <v>1338</v>
      </c>
    </row>
    <row r="1044" spans="1:2" x14ac:dyDescent="0.25">
      <c r="A1044" s="187">
        <v>921190</v>
      </c>
      <c r="B1044" s="187" t="s">
        <v>1339</v>
      </c>
    </row>
    <row r="1045" spans="1:2" x14ac:dyDescent="0.25">
      <c r="A1045" s="187">
        <v>922110</v>
      </c>
      <c r="B1045" s="187" t="s">
        <v>1340</v>
      </c>
    </row>
    <row r="1046" spans="1:2" x14ac:dyDescent="0.25">
      <c r="A1046" s="187">
        <v>922120</v>
      </c>
      <c r="B1046" s="187" t="s">
        <v>1341</v>
      </c>
    </row>
    <row r="1047" spans="1:2" x14ac:dyDescent="0.25">
      <c r="A1047" s="187">
        <v>922130</v>
      </c>
      <c r="B1047" s="187" t="s">
        <v>1342</v>
      </c>
    </row>
    <row r="1048" spans="1:2" x14ac:dyDescent="0.25">
      <c r="A1048" s="187">
        <v>922140</v>
      </c>
      <c r="B1048" s="187" t="s">
        <v>1343</v>
      </c>
    </row>
    <row r="1049" spans="1:2" x14ac:dyDescent="0.25">
      <c r="A1049" s="187">
        <v>922150</v>
      </c>
      <c r="B1049" s="187" t="s">
        <v>1344</v>
      </c>
    </row>
    <row r="1050" spans="1:2" x14ac:dyDescent="0.25">
      <c r="A1050" s="187">
        <v>922160</v>
      </c>
      <c r="B1050" s="187" t="s">
        <v>1345</v>
      </c>
    </row>
    <row r="1051" spans="1:2" x14ac:dyDescent="0.25">
      <c r="A1051" s="187">
        <v>922190</v>
      </c>
      <c r="B1051" s="187" t="s">
        <v>1346</v>
      </c>
    </row>
    <row r="1052" spans="1:2" x14ac:dyDescent="0.25">
      <c r="A1052" s="187">
        <v>923110</v>
      </c>
      <c r="B1052" s="187" t="s">
        <v>1347</v>
      </c>
    </row>
    <row r="1053" spans="1:2" x14ac:dyDescent="0.25">
      <c r="A1053" s="187">
        <v>923120</v>
      </c>
      <c r="B1053" s="187" t="s">
        <v>1348</v>
      </c>
    </row>
    <row r="1054" spans="1:2" x14ac:dyDescent="0.25">
      <c r="A1054" s="187">
        <v>923130</v>
      </c>
      <c r="B1054" s="187" t="s">
        <v>1349</v>
      </c>
    </row>
    <row r="1055" spans="1:2" x14ac:dyDescent="0.25">
      <c r="A1055" s="187">
        <v>923140</v>
      </c>
      <c r="B1055" s="187" t="s">
        <v>1350</v>
      </c>
    </row>
    <row r="1056" spans="1:2" x14ac:dyDescent="0.25">
      <c r="A1056" s="187">
        <v>924110</v>
      </c>
      <c r="B1056" s="187" t="s">
        <v>1351</v>
      </c>
    </row>
    <row r="1057" spans="1:2" x14ac:dyDescent="0.25">
      <c r="A1057" s="187">
        <v>924120</v>
      </c>
      <c r="B1057" s="187" t="s">
        <v>1352</v>
      </c>
    </row>
    <row r="1058" spans="1:2" x14ac:dyDescent="0.25">
      <c r="A1058" s="187">
        <v>925110</v>
      </c>
      <c r="B1058" s="187" t="s">
        <v>1353</v>
      </c>
    </row>
    <row r="1059" spans="1:2" x14ac:dyDescent="0.25">
      <c r="A1059" s="187">
        <v>925120</v>
      </c>
      <c r="B1059" s="187" t="s">
        <v>1354</v>
      </c>
    </row>
    <row r="1060" spans="1:2" x14ac:dyDescent="0.25">
      <c r="A1060" s="187">
        <v>926110</v>
      </c>
      <c r="B1060" s="187" t="s">
        <v>1355</v>
      </c>
    </row>
    <row r="1061" spans="1:2" x14ac:dyDescent="0.25">
      <c r="A1061" s="187">
        <v>926120</v>
      </c>
      <c r="B1061" s="187" t="s">
        <v>1356</v>
      </c>
    </row>
    <row r="1062" spans="1:2" x14ac:dyDescent="0.25">
      <c r="A1062" s="187">
        <v>926130</v>
      </c>
      <c r="B1062" s="187" t="s">
        <v>1357</v>
      </c>
    </row>
    <row r="1063" spans="1:2" x14ac:dyDescent="0.25">
      <c r="A1063" s="187">
        <v>926140</v>
      </c>
      <c r="B1063" s="187" t="s">
        <v>1358</v>
      </c>
    </row>
    <row r="1064" spans="1:2" x14ac:dyDescent="0.25">
      <c r="A1064" s="187">
        <v>926150</v>
      </c>
      <c r="B1064" s="187" t="s">
        <v>1359</v>
      </c>
    </row>
    <row r="1065" spans="1:2" x14ac:dyDescent="0.25">
      <c r="A1065" s="187">
        <v>927110</v>
      </c>
      <c r="B1065" s="187" t="s">
        <v>1360</v>
      </c>
    </row>
    <row r="1066" spans="1:2" x14ac:dyDescent="0.25">
      <c r="A1066" s="187">
        <v>928110</v>
      </c>
      <c r="B1066" s="187" t="s">
        <v>1361</v>
      </c>
    </row>
    <row r="1067" spans="1:2" x14ac:dyDescent="0.25">
      <c r="A1067" s="187">
        <v>928120</v>
      </c>
      <c r="B1067" s="187" t="s">
        <v>1362</v>
      </c>
    </row>
  </sheetData>
  <sheetProtection password="CCBE" sheet="1" objects="1" scenarios="1"/>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rgb="FF002060"/>
    <pageSetUpPr fitToPage="1"/>
  </sheetPr>
  <dimension ref="A1:Y93"/>
  <sheetViews>
    <sheetView showGridLines="0" zoomScaleNormal="100" workbookViewId="0">
      <selection activeCell="A2" sqref="A2:G2"/>
    </sheetView>
  </sheetViews>
  <sheetFormatPr defaultRowHeight="20.100000000000001" customHeight="1" x14ac:dyDescent="0.25"/>
  <cols>
    <col min="1" max="7" width="15.7109375" style="48" customWidth="1"/>
    <col min="8" max="8" width="5" style="48" customWidth="1"/>
    <col min="9" max="14" width="11.7109375" style="48" customWidth="1"/>
    <col min="15" max="16384" width="9.140625" style="48"/>
  </cols>
  <sheetData>
    <row r="1" spans="1:25" ht="60" customHeight="1" x14ac:dyDescent="0.25">
      <c r="A1" s="1092"/>
      <c r="B1" s="1092"/>
      <c r="C1" s="1092"/>
      <c r="D1" s="1092"/>
      <c r="E1" s="1092"/>
      <c r="F1" s="1092"/>
      <c r="G1" s="1092"/>
    </row>
    <row r="2" spans="1:25" ht="24.95" customHeight="1" thickBot="1" x14ac:dyDescent="0.3">
      <c r="A2" s="989" t="s">
        <v>1417</v>
      </c>
      <c r="B2" s="989"/>
      <c r="C2" s="989"/>
      <c r="D2" s="989"/>
      <c r="E2" s="989"/>
      <c r="F2" s="989"/>
      <c r="G2" s="989"/>
    </row>
    <row r="3" spans="1:25" ht="30" customHeight="1" thickBot="1" x14ac:dyDescent="0.3">
      <c r="A3" s="904" t="s">
        <v>1702</v>
      </c>
      <c r="B3" s="905"/>
      <c r="C3" s="905"/>
      <c r="D3" s="905"/>
      <c r="E3" s="905"/>
      <c r="F3" s="905"/>
      <c r="G3" s="906"/>
    </row>
    <row r="4" spans="1:25" ht="30" customHeight="1" x14ac:dyDescent="0.25">
      <c r="A4" s="1128" t="s">
        <v>1419</v>
      </c>
      <c r="B4" s="1131"/>
      <c r="C4" s="176" t="s">
        <v>1735</v>
      </c>
      <c r="D4" s="177" t="s">
        <v>1736</v>
      </c>
      <c r="E4" s="1107" t="str">
        <f>IF(AND(N4=TRUE,O4=TRUE),"Too many boxes checked.",IF(N4=TRUE,"If seasonal, check the appropriate months during which the source operates, below:",""))</f>
        <v/>
      </c>
      <c r="F4" s="1108"/>
      <c r="G4" s="1109"/>
      <c r="N4" s="81" t="b">
        <v>0</v>
      </c>
      <c r="O4" s="81" t="b">
        <v>0</v>
      </c>
    </row>
    <row r="5" spans="1:25" ht="18.95" customHeight="1" x14ac:dyDescent="0.25">
      <c r="A5" s="250"/>
      <c r="B5" s="251" t="str">
        <f>IF(AND($N$4=FALSE,$O$4=TRUE),"","       January")</f>
        <v xml:space="preserve">       January</v>
      </c>
      <c r="C5" s="251" t="str">
        <f>IF(AND($N$4=FALSE,$O$4=TRUE),"","       March")</f>
        <v xml:space="preserve">       March</v>
      </c>
      <c r="D5" s="251" t="str">
        <f>IF(AND($N$4=FALSE,$O$4=TRUE),"","       May")</f>
        <v xml:space="preserve">       May</v>
      </c>
      <c r="E5" s="251" t="str">
        <f>IF(AND($N$4=FALSE,$O$4=TRUE),"","       July")</f>
        <v xml:space="preserve">       July</v>
      </c>
      <c r="F5" s="251" t="str">
        <f>IF(AND($N$4=FALSE,$O$4=TRUE),"","       September")</f>
        <v xml:space="preserve">       September</v>
      </c>
      <c r="G5" s="252" t="str">
        <f>IF(AND($N$4=FALSE,$O$4=TRUE),"","       November")</f>
        <v xml:space="preserve">       November</v>
      </c>
      <c r="N5" s="81" t="b">
        <v>0</v>
      </c>
      <c r="O5" s="81" t="b">
        <v>0</v>
      </c>
      <c r="P5" s="81" t="b">
        <v>0</v>
      </c>
      <c r="Q5" s="81" t="b">
        <v>0</v>
      </c>
      <c r="R5" s="81" t="b">
        <v>0</v>
      </c>
      <c r="S5" s="81" t="b">
        <v>0</v>
      </c>
      <c r="T5" s="81" t="b">
        <v>0</v>
      </c>
      <c r="U5" s="81" t="b">
        <v>0</v>
      </c>
      <c r="V5" s="81" t="b">
        <v>0</v>
      </c>
      <c r="W5" s="81" t="b">
        <v>0</v>
      </c>
      <c r="X5" s="81" t="b">
        <v>0</v>
      </c>
      <c r="Y5" s="81" t="b">
        <v>0</v>
      </c>
    </row>
    <row r="6" spans="1:25" ht="18.95" customHeight="1" x14ac:dyDescent="0.25">
      <c r="A6" s="253"/>
      <c r="B6" s="254" t="str">
        <f>IF(AND($N$4=FALSE,$O$4=TRUE),"","       February")</f>
        <v xml:space="preserve">       February</v>
      </c>
      <c r="C6" s="254" t="str">
        <f>IF(AND($N$4=FALSE,$O$4=TRUE),"","       April")</f>
        <v xml:space="preserve">       April</v>
      </c>
      <c r="D6" s="254" t="str">
        <f>IF(AND($N$4=FALSE,$O$4=TRUE),"","       June")</f>
        <v xml:space="preserve">       June</v>
      </c>
      <c r="E6" s="254" t="str">
        <f>IF(AND($N$4=FALSE,$O$4=TRUE),"","       August")</f>
        <v xml:space="preserve">       August</v>
      </c>
      <c r="F6" s="254" t="str">
        <f>IF(AND($N$4=FALSE,$O$4=TRUE),"","       October")</f>
        <v xml:space="preserve">       October</v>
      </c>
      <c r="G6" s="255" t="str">
        <f>IF(AND($N$4=FALSE,$O$4=TRUE),"","       December")</f>
        <v xml:space="preserve">       December</v>
      </c>
    </row>
    <row r="7" spans="1:25" ht="20.100000000000001" customHeight="1" x14ac:dyDescent="0.25">
      <c r="A7" s="1132" t="s">
        <v>1420</v>
      </c>
      <c r="B7" s="1133"/>
      <c r="C7" s="1101" t="s">
        <v>1421</v>
      </c>
      <c r="D7" s="1101"/>
      <c r="E7" s="1101"/>
      <c r="F7" s="1114"/>
      <c r="G7" s="1115"/>
      <c r="N7" s="48" t="b">
        <f>IF(OR(N5:Y5),TRUE,FALSE)</f>
        <v>0</v>
      </c>
    </row>
    <row r="8" spans="1:25" ht="20.100000000000001" customHeight="1" x14ac:dyDescent="0.25">
      <c r="A8" s="1134"/>
      <c r="B8" s="1135"/>
      <c r="C8" s="1104" t="s">
        <v>1422</v>
      </c>
      <c r="D8" s="1104"/>
      <c r="E8" s="1104"/>
      <c r="F8" s="1112"/>
      <c r="G8" s="1113"/>
      <c r="N8" s="48" t="b">
        <f>IF(AND(NOT(ISBLANK(F7)),NOT(ISBLANK(F8)),NOT(ISBLANK(F9)),N7=TRUE),TRUE,FALSE)</f>
        <v>0</v>
      </c>
    </row>
    <row r="9" spans="1:25" ht="20.100000000000001" customHeight="1" x14ac:dyDescent="0.25">
      <c r="A9" s="1136"/>
      <c r="B9" s="1137"/>
      <c r="C9" s="1096" t="s">
        <v>1423</v>
      </c>
      <c r="D9" s="1096"/>
      <c r="E9" s="1096"/>
      <c r="F9" s="1110"/>
      <c r="G9" s="1111"/>
    </row>
    <row r="10" spans="1:25" ht="15" customHeight="1" x14ac:dyDescent="0.25">
      <c r="A10" s="965" t="s">
        <v>1424</v>
      </c>
      <c r="B10" s="1146"/>
      <c r="C10" s="1146"/>
      <c r="D10" s="256" t="s">
        <v>1785</v>
      </c>
      <c r="E10" s="1088" t="str">
        <f>IF(AND(N10=TRUE,O10=TRUE),"Too many boxes checked.",IF(AND($N$10=FALSE,$O$10=TRUE),"","If Yes, provide the following requested information."))</f>
        <v>If Yes, provide the following requested information.</v>
      </c>
      <c r="F10" s="1088"/>
      <c r="G10" s="1089"/>
      <c r="N10" s="81" t="b">
        <v>0</v>
      </c>
      <c r="O10" s="81" t="b">
        <v>0</v>
      </c>
    </row>
    <row r="11" spans="1:25" ht="15" customHeight="1" x14ac:dyDescent="0.25">
      <c r="A11" s="966"/>
      <c r="B11" s="1147"/>
      <c r="C11" s="1147"/>
      <c r="D11" s="240" t="s">
        <v>1784</v>
      </c>
      <c r="E11" s="1090"/>
      <c r="F11" s="1090"/>
      <c r="G11" s="1091"/>
    </row>
    <row r="12" spans="1:25" ht="60" customHeight="1" x14ac:dyDescent="0.25">
      <c r="A12" s="1140" t="str">
        <f>IF(AND($N$10=FALSE,$O$10=TRUE),"","Describe the reason or circumstances under which the source utilizes the alternative schedule:")</f>
        <v>Describe the reason or circumstances under which the source utilizes the alternative schedule:</v>
      </c>
      <c r="B12" s="1141"/>
      <c r="C12" s="1099"/>
      <c r="D12" s="1099"/>
      <c r="E12" s="1099"/>
      <c r="F12" s="1099"/>
      <c r="G12" s="1100"/>
      <c r="N12" s="80"/>
      <c r="O12" s="80"/>
    </row>
    <row r="13" spans="1:25" ht="20.100000000000001" customHeight="1" x14ac:dyDescent="0.25">
      <c r="A13" s="1134" t="str">
        <f>IF(AND($N$10=FALSE,$O$10=TRUE),"","Provide the alternative operating schedule:")</f>
        <v>Provide the alternative operating schedule:</v>
      </c>
      <c r="B13" s="1135"/>
      <c r="C13" s="1101" t="str">
        <f>IF(AND($N$10=FALSE,$O$10=TRUE),"","Hours per Day:")</f>
        <v>Hours per Day:</v>
      </c>
      <c r="D13" s="1101"/>
      <c r="E13" s="1101"/>
      <c r="F13" s="1102"/>
      <c r="G13" s="1103"/>
      <c r="N13" s="80"/>
      <c r="O13" s="80"/>
    </row>
    <row r="14" spans="1:25" ht="20.100000000000001" customHeight="1" x14ac:dyDescent="0.25">
      <c r="A14" s="1134"/>
      <c r="B14" s="1135"/>
      <c r="C14" s="1104" t="str">
        <f>IF(AND($N$10=FALSE,$O$10=TRUE),"","Days per Week:")</f>
        <v>Days per Week:</v>
      </c>
      <c r="D14" s="1104"/>
      <c r="E14" s="1104"/>
      <c r="F14" s="1105"/>
      <c r="G14" s="1106"/>
      <c r="N14" s="80"/>
      <c r="O14" s="80"/>
    </row>
    <row r="15" spans="1:25" ht="20.100000000000001" customHeight="1" thickBot="1" x14ac:dyDescent="0.3">
      <c r="A15" s="1138"/>
      <c r="B15" s="1139"/>
      <c r="C15" s="1096" t="str">
        <f>IF(AND($N$10=FALSE,$O$10=TRUE),"","Weeks per Year:")</f>
        <v>Weeks per Year:</v>
      </c>
      <c r="D15" s="1096"/>
      <c r="E15" s="1096"/>
      <c r="F15" s="1097"/>
      <c r="G15" s="1098"/>
      <c r="N15" s="80"/>
      <c r="O15" s="80"/>
    </row>
    <row r="16" spans="1:25" ht="30" customHeight="1" thickBot="1" x14ac:dyDescent="0.3">
      <c r="A16" s="904" t="s">
        <v>1803</v>
      </c>
      <c r="B16" s="905"/>
      <c r="C16" s="905"/>
      <c r="D16" s="905"/>
      <c r="E16" s="905"/>
      <c r="F16" s="905"/>
      <c r="G16" s="906"/>
      <c r="N16" s="80"/>
      <c r="O16" s="80"/>
    </row>
    <row r="17" spans="1:25" ht="60" customHeight="1" x14ac:dyDescent="0.25">
      <c r="A17" s="1093" t="s">
        <v>1804</v>
      </c>
      <c r="B17" s="1094"/>
      <c r="C17" s="1094"/>
      <c r="D17" s="1094"/>
      <c r="E17" s="1094"/>
      <c r="F17" s="1094"/>
      <c r="G17" s="1095"/>
      <c r="N17" s="80" t="b">
        <f>IF(AND(O4=TRUE,NOT(ISBLANK(F7)),NOT(ISBLANK(F8)),NOT(ISBLANK(F9)),O10=TRUE),TRUE,IF(AND(O4=TRUE,NOT(ISBLANK(F7)),NOT(ISBLANK(F8)),NOT(ISBLANK(F9)),AND(N10=TRUE,NOT(ISBLANK(C12)),NOT(ISBLANK(F13)),NOT(ISBLANK(F14)),NOT(ISBLANK(F15)))),TRUE,IF(AND(N4=TRUE,N7=TRUE,NOT(ISBLANK(F7)),NOT(ISBLANK(F8)),NOT(ISBLANK(F9)),O10=TRUE),TRUE,IF(AND(N4=TRUE,N7=TRUE,NOT(ISBLANK(F7)),NOT(ISBLANK(F8)),NOT(ISBLANK(F9)),AND(N10=TRUE,NOT(ISBLANK(C12)),NOT(ISBLANK(F13)),NOT(ISBLANK(F14)),NOT(ISBLANK(F15)))),TRUE,FALSE))))</f>
        <v>0</v>
      </c>
      <c r="O17" s="80" t="s">
        <v>1743</v>
      </c>
    </row>
    <row r="18" spans="1:25" ht="15" customHeight="1" x14ac:dyDescent="0.25">
      <c r="A18" s="1155" t="s">
        <v>1809</v>
      </c>
      <c r="B18" s="1156"/>
      <c r="C18" s="1156"/>
      <c r="D18" s="1156"/>
      <c r="E18" s="257" t="s">
        <v>1785</v>
      </c>
      <c r="F18" s="1152" t="str">
        <f>IF(AND(N18=TRUE,O18=TRUE),"Too many boxes checked.",IF(O18=TRUE,"If no, explain why on a separate sheet of paper.",""))</f>
        <v/>
      </c>
      <c r="G18" s="1153"/>
      <c r="N18" s="81" t="b">
        <v>0</v>
      </c>
      <c r="O18" s="81" t="b">
        <v>0</v>
      </c>
      <c r="Q18" s="48" t="b">
        <f>IF(OR(AND(N18=TRUE,O18=FALSE),AND(N18=FALSE,O18=TRUE)),TRUE,FALSE)</f>
        <v>0</v>
      </c>
    </row>
    <row r="19" spans="1:25" ht="15" customHeight="1" thickBot="1" x14ac:dyDescent="0.3">
      <c r="A19" s="1157"/>
      <c r="B19" s="1158"/>
      <c r="C19" s="1158"/>
      <c r="D19" s="1158"/>
      <c r="E19" s="239" t="s">
        <v>1784</v>
      </c>
      <c r="F19" s="996"/>
      <c r="G19" s="1154"/>
    </row>
    <row r="20" spans="1:25" ht="30" customHeight="1" thickBot="1" x14ac:dyDescent="0.3">
      <c r="A20" s="904" t="s">
        <v>1805</v>
      </c>
      <c r="B20" s="905"/>
      <c r="C20" s="905"/>
      <c r="D20" s="905"/>
      <c r="E20" s="905"/>
      <c r="F20" s="905"/>
      <c r="G20" s="906"/>
      <c r="N20" s="80"/>
      <c r="O20" s="80"/>
    </row>
    <row r="21" spans="1:25" ht="84.95" customHeight="1" x14ac:dyDescent="0.25">
      <c r="A21" s="1093" t="s">
        <v>1806</v>
      </c>
      <c r="B21" s="1094"/>
      <c r="C21" s="1094"/>
      <c r="D21" s="1094"/>
      <c r="E21" s="1094"/>
      <c r="F21" s="1094"/>
      <c r="G21" s="1095"/>
      <c r="N21" s="80"/>
      <c r="O21" s="80"/>
    </row>
    <row r="22" spans="1:25" ht="15" customHeight="1" x14ac:dyDescent="0.25">
      <c r="A22" s="1163" t="s">
        <v>1810</v>
      </c>
      <c r="B22" s="1164"/>
      <c r="C22" s="1164"/>
      <c r="D22" s="1165"/>
      <c r="E22" s="257" t="s">
        <v>1785</v>
      </c>
      <c r="F22" s="1159" t="str">
        <f>IF(AND(N22=TRUE,O22=TRUE),"Too many boxes checked.",IF(O22=TRUE,"If no, explain why on a separate sheet of paper.",""))</f>
        <v/>
      </c>
      <c r="G22" s="1160"/>
      <c r="N22" s="81" t="b">
        <v>0</v>
      </c>
      <c r="O22" s="81" t="b">
        <v>0</v>
      </c>
      <c r="Q22" s="48" t="b">
        <f>IF(OR(AND(N22=TRUE,O22=FALSE),AND(N22=FALSE,O22=TRUE)),TRUE,FALSE)</f>
        <v>0</v>
      </c>
    </row>
    <row r="23" spans="1:25" ht="15" customHeight="1" thickBot="1" x14ac:dyDescent="0.3">
      <c r="A23" s="1166"/>
      <c r="B23" s="1167"/>
      <c r="C23" s="1167"/>
      <c r="D23" s="1168"/>
      <c r="E23" s="239" t="s">
        <v>1784</v>
      </c>
      <c r="F23" s="1161"/>
      <c r="G23" s="1162"/>
    </row>
    <row r="24" spans="1:25" ht="30" customHeight="1" thickBot="1" x14ac:dyDescent="0.3">
      <c r="A24" s="904" t="s">
        <v>1807</v>
      </c>
      <c r="B24" s="905"/>
      <c r="C24" s="905"/>
      <c r="D24" s="905"/>
      <c r="E24" s="905"/>
      <c r="F24" s="905"/>
      <c r="G24" s="906"/>
      <c r="N24" s="80"/>
      <c r="O24" s="80"/>
    </row>
    <row r="25" spans="1:25" ht="60" customHeight="1" x14ac:dyDescent="0.25">
      <c r="A25" s="1093" t="s">
        <v>1808</v>
      </c>
      <c r="B25" s="1094"/>
      <c r="C25" s="1094"/>
      <c r="D25" s="1094"/>
      <c r="E25" s="1094"/>
      <c r="F25" s="1094"/>
      <c r="G25" s="1095"/>
      <c r="N25" s="80"/>
      <c r="O25" s="80"/>
    </row>
    <row r="26" spans="1:25" ht="15" customHeight="1" x14ac:dyDescent="0.25">
      <c r="A26" s="1163" t="s">
        <v>1811</v>
      </c>
      <c r="B26" s="1164"/>
      <c r="C26" s="1164"/>
      <c r="D26" s="1165"/>
      <c r="E26" s="257" t="s">
        <v>1785</v>
      </c>
      <c r="F26" s="1159" t="str">
        <f>IF(AND(N26=TRUE,O26=TRUE),"Too many boxes checked.",IF(O26=TRUE,"If no, explain why on a separate sheet of paper.",""))</f>
        <v/>
      </c>
      <c r="G26" s="1160"/>
      <c r="N26" s="81" t="b">
        <v>0</v>
      </c>
      <c r="O26" s="81" t="b">
        <v>0</v>
      </c>
      <c r="Q26" s="48" t="b">
        <f>IF(OR(AND(N26=TRUE,O26=FALSE),AND(N26=FALSE,O26=TRUE)),TRUE,FALSE)</f>
        <v>0</v>
      </c>
    </row>
    <row r="27" spans="1:25" ht="15" customHeight="1" thickBot="1" x14ac:dyDescent="0.3">
      <c r="A27" s="1166"/>
      <c r="B27" s="1167"/>
      <c r="C27" s="1167"/>
      <c r="D27" s="1168"/>
      <c r="E27" s="239" t="s">
        <v>1784</v>
      </c>
      <c r="F27" s="1161"/>
      <c r="G27" s="1162"/>
    </row>
    <row r="28" spans="1:25" ht="30" customHeight="1" thickBot="1" x14ac:dyDescent="0.3">
      <c r="A28" s="904" t="s">
        <v>1733</v>
      </c>
      <c r="B28" s="905"/>
      <c r="C28" s="905"/>
      <c r="D28" s="905"/>
      <c r="E28" s="905"/>
      <c r="F28" s="905"/>
      <c r="G28" s="906"/>
      <c r="N28" s="48" t="b">
        <f>IF(AND(N17=TRUE,Q18=TRUE,Q22=TRUE,Q26=TRUE),TRUE,FALSE)</f>
        <v>0</v>
      </c>
      <c r="O28" s="80" t="s">
        <v>1744</v>
      </c>
    </row>
    <row r="29" spans="1:25" ht="20.100000000000001" customHeight="1" x14ac:dyDescent="0.25">
      <c r="A29" s="1128" t="s">
        <v>1738</v>
      </c>
      <c r="B29" s="1129"/>
      <c r="C29" s="1129"/>
      <c r="D29" s="1129"/>
      <c r="E29" s="1129"/>
      <c r="F29" s="1129"/>
      <c r="G29" s="1130"/>
      <c r="N29" s="81"/>
      <c r="O29" s="81"/>
    </row>
    <row r="30" spans="1:25" ht="20.100000000000001" customHeight="1" x14ac:dyDescent="0.25">
      <c r="A30" s="1125" t="s">
        <v>1734</v>
      </c>
      <c r="B30" s="1126"/>
      <c r="C30" s="1126"/>
      <c r="D30" s="1126"/>
      <c r="E30" s="1126"/>
      <c r="F30" s="1126"/>
      <c r="G30" s="1127"/>
      <c r="N30" s="81" t="b">
        <v>0</v>
      </c>
      <c r="O30" s="81"/>
      <c r="P30" s="81"/>
      <c r="Q30" s="81"/>
      <c r="R30" s="81"/>
      <c r="S30" s="81"/>
      <c r="T30" s="81"/>
      <c r="U30" s="81"/>
      <c r="V30" s="81"/>
      <c r="W30" s="81"/>
      <c r="X30" s="81"/>
      <c r="Y30" s="81"/>
    </row>
    <row r="31" spans="1:25" ht="20.100000000000001" customHeight="1" x14ac:dyDescent="0.25">
      <c r="A31" s="1116" t="s">
        <v>1899</v>
      </c>
      <c r="B31" s="1117"/>
      <c r="C31" s="1117"/>
      <c r="D31" s="1117"/>
      <c r="E31" s="1117"/>
      <c r="F31" s="1117"/>
      <c r="G31" s="1118"/>
      <c r="N31" s="82" t="b">
        <v>0</v>
      </c>
    </row>
    <row r="32" spans="1:25" ht="20.100000000000001" customHeight="1" x14ac:dyDescent="0.25">
      <c r="A32" s="1116" t="s">
        <v>1900</v>
      </c>
      <c r="B32" s="1117"/>
      <c r="C32" s="1117"/>
      <c r="D32" s="1117"/>
      <c r="E32" s="1117"/>
      <c r="F32" s="1117"/>
      <c r="G32" s="1118"/>
      <c r="N32" s="82" t="b">
        <v>0</v>
      </c>
    </row>
    <row r="33" spans="1:25" ht="20.100000000000001" customHeight="1" x14ac:dyDescent="0.25">
      <c r="A33" s="1116" t="s">
        <v>1901</v>
      </c>
      <c r="B33" s="1145"/>
      <c r="C33" s="1119"/>
      <c r="D33" s="1120"/>
      <c r="E33" s="1120"/>
      <c r="F33" s="1120"/>
      <c r="G33" s="1121"/>
      <c r="N33" s="82" t="b">
        <v>0</v>
      </c>
    </row>
    <row r="34" spans="1:25" ht="20.100000000000001" customHeight="1" x14ac:dyDescent="0.25">
      <c r="A34" s="1125" t="s">
        <v>1901</v>
      </c>
      <c r="B34" s="1144"/>
      <c r="C34" s="1119"/>
      <c r="D34" s="1120"/>
      <c r="E34" s="1120"/>
      <c r="F34" s="1120"/>
      <c r="G34" s="1121"/>
      <c r="N34" s="81" t="b">
        <v>0</v>
      </c>
      <c r="O34" s="81"/>
    </row>
    <row r="35" spans="1:25" ht="20.100000000000001" customHeight="1" thickBot="1" x14ac:dyDescent="0.3">
      <c r="A35" s="1142" t="s">
        <v>1901</v>
      </c>
      <c r="B35" s="1143"/>
      <c r="C35" s="1122"/>
      <c r="D35" s="1123"/>
      <c r="E35" s="1123"/>
      <c r="F35" s="1123"/>
      <c r="G35" s="1124"/>
      <c r="N35" s="81" t="b">
        <v>0</v>
      </c>
      <c r="O35" s="80"/>
      <c r="P35" s="82" t="b">
        <f>IF(OR(N30:N35),TRUE,FALSE)</f>
        <v>0</v>
      </c>
    </row>
    <row r="36" spans="1:25" ht="50.1" customHeight="1" thickBot="1" x14ac:dyDescent="0.3">
      <c r="A36" s="1148" t="s">
        <v>1898</v>
      </c>
      <c r="B36" s="1149"/>
      <c r="C36" s="1150"/>
      <c r="D36" s="1150"/>
      <c r="E36" s="1150"/>
      <c r="F36" s="1150"/>
      <c r="G36" s="1151"/>
      <c r="N36" s="80"/>
      <c r="O36" s="80"/>
    </row>
    <row r="37" spans="1:25" ht="20.100000000000001" customHeight="1" x14ac:dyDescent="0.25">
      <c r="A37" s="1128" t="s">
        <v>1737</v>
      </c>
      <c r="B37" s="1129"/>
      <c r="C37" s="1129"/>
      <c r="D37" s="1129"/>
      <c r="E37" s="1129"/>
      <c r="F37" s="1129"/>
      <c r="G37" s="1130"/>
      <c r="N37" s="81"/>
      <c r="O37" s="81"/>
    </row>
    <row r="38" spans="1:25" ht="20.100000000000001" customHeight="1" x14ac:dyDescent="0.25">
      <c r="A38" s="1125" t="s">
        <v>1741</v>
      </c>
      <c r="B38" s="1126"/>
      <c r="C38" s="1126"/>
      <c r="D38" s="1126"/>
      <c r="E38" s="1126"/>
      <c r="F38" s="1126"/>
      <c r="G38" s="1127"/>
      <c r="N38" s="81" t="b">
        <v>0</v>
      </c>
      <c r="O38" s="81"/>
      <c r="P38" s="81"/>
      <c r="Q38" s="81"/>
      <c r="R38" s="81"/>
      <c r="S38" s="81"/>
      <c r="T38" s="81"/>
      <c r="U38" s="81"/>
      <c r="V38" s="81"/>
      <c r="W38" s="81"/>
      <c r="X38" s="81"/>
      <c r="Y38" s="81"/>
    </row>
    <row r="39" spans="1:25" ht="20.100000000000001" customHeight="1" x14ac:dyDescent="0.25">
      <c r="A39" s="1116" t="s">
        <v>1740</v>
      </c>
      <c r="B39" s="1117"/>
      <c r="C39" s="1117"/>
      <c r="D39" s="1117"/>
      <c r="E39" s="1117"/>
      <c r="F39" s="1117"/>
      <c r="G39" s="1118"/>
      <c r="N39" s="82" t="b">
        <v>0</v>
      </c>
    </row>
    <row r="40" spans="1:25" ht="20.100000000000001" customHeight="1" x14ac:dyDescent="0.25">
      <c r="A40" s="1116" t="s">
        <v>1742</v>
      </c>
      <c r="B40" s="1117"/>
      <c r="C40" s="1117"/>
      <c r="D40" s="1117"/>
      <c r="E40" s="1117"/>
      <c r="F40" s="1117"/>
      <c r="G40" s="1118"/>
      <c r="N40" s="82" t="b">
        <v>0</v>
      </c>
    </row>
    <row r="41" spans="1:25" ht="20.100000000000001" customHeight="1" x14ac:dyDescent="0.25">
      <c r="A41" s="1116" t="s">
        <v>1739</v>
      </c>
      <c r="B41" s="1145"/>
      <c r="C41" s="1119"/>
      <c r="D41" s="1120"/>
      <c r="E41" s="1120"/>
      <c r="F41" s="1120"/>
      <c r="G41" s="1121"/>
      <c r="N41" s="82" t="b">
        <v>0</v>
      </c>
    </row>
    <row r="42" spans="1:25" ht="20.100000000000001" customHeight="1" x14ac:dyDescent="0.25">
      <c r="A42" s="1125" t="s">
        <v>1739</v>
      </c>
      <c r="B42" s="1144"/>
      <c r="C42" s="1119"/>
      <c r="D42" s="1120"/>
      <c r="E42" s="1120"/>
      <c r="F42" s="1120"/>
      <c r="G42" s="1121"/>
      <c r="N42" s="81" t="b">
        <v>0</v>
      </c>
      <c r="O42" s="81"/>
    </row>
    <row r="43" spans="1:25" ht="20.100000000000001" customHeight="1" thickBot="1" x14ac:dyDescent="0.3">
      <c r="A43" s="1142" t="s">
        <v>1739</v>
      </c>
      <c r="B43" s="1143"/>
      <c r="C43" s="1122"/>
      <c r="D43" s="1123"/>
      <c r="E43" s="1123"/>
      <c r="F43" s="1123"/>
      <c r="G43" s="1124"/>
      <c r="N43" s="81" t="b">
        <v>0</v>
      </c>
      <c r="O43" s="80"/>
      <c r="P43" s="82" t="b">
        <f>IF(OR(N38:N43),TRUE,FALSE)</f>
        <v>0</v>
      </c>
    </row>
    <row r="44" spans="1:25" ht="20.100000000000001" customHeight="1" x14ac:dyDescent="0.25">
      <c r="A44" s="50"/>
    </row>
    <row r="45" spans="1:25" ht="20.100000000000001" customHeight="1" x14ac:dyDescent="0.25">
      <c r="A45" s="50"/>
    </row>
    <row r="46" spans="1:25" ht="20.100000000000001" customHeight="1" x14ac:dyDescent="0.25">
      <c r="A46" s="50"/>
    </row>
    <row r="47" spans="1:25" ht="20.100000000000001" customHeight="1" x14ac:dyDescent="0.25">
      <c r="A47" s="50"/>
    </row>
    <row r="48" spans="1:25" ht="20.100000000000001" customHeight="1" x14ac:dyDescent="0.25">
      <c r="A48" s="50"/>
    </row>
    <row r="49" spans="1:7" ht="20.100000000000001" customHeight="1" x14ac:dyDescent="0.25">
      <c r="A49" s="50"/>
    </row>
    <row r="50" spans="1:7" ht="20.100000000000001" customHeight="1" x14ac:dyDescent="0.25">
      <c r="A50" s="50"/>
    </row>
    <row r="51" spans="1:7" ht="20.100000000000001" customHeight="1" x14ac:dyDescent="0.25">
      <c r="A51" s="50"/>
    </row>
    <row r="52" spans="1:7" ht="20.100000000000001" customHeight="1" x14ac:dyDescent="0.25">
      <c r="A52" s="50"/>
    </row>
    <row r="53" spans="1:7" ht="20.100000000000001" customHeight="1" x14ac:dyDescent="0.25">
      <c r="A53" s="50"/>
    </row>
    <row r="54" spans="1:7" ht="20.100000000000001" customHeight="1" x14ac:dyDescent="0.25">
      <c r="A54" s="50"/>
    </row>
    <row r="55" spans="1:7" ht="20.100000000000001" customHeight="1" x14ac:dyDescent="0.25">
      <c r="A55" s="50"/>
    </row>
    <row r="56" spans="1:7" ht="20.100000000000001" customHeight="1" x14ac:dyDescent="0.25">
      <c r="A56" s="50"/>
    </row>
    <row r="57" spans="1:7" ht="20.100000000000001" customHeight="1" x14ac:dyDescent="0.25">
      <c r="A57" s="50"/>
    </row>
    <row r="58" spans="1:7" ht="20.100000000000001" customHeight="1" x14ac:dyDescent="0.25">
      <c r="A58" s="50"/>
      <c r="G58" s="175"/>
    </row>
    <row r="59" spans="1:7" ht="20.100000000000001" customHeight="1" x14ac:dyDescent="0.25">
      <c r="A59" s="50"/>
      <c r="G59" s="175"/>
    </row>
    <row r="60" spans="1:7" ht="20.100000000000001" customHeight="1" x14ac:dyDescent="0.25">
      <c r="A60" s="50"/>
      <c r="G60" s="175"/>
    </row>
    <row r="61" spans="1:7" ht="20.100000000000001" customHeight="1" x14ac:dyDescent="0.25">
      <c r="A61" s="50"/>
      <c r="G61" s="175"/>
    </row>
    <row r="62" spans="1:7" ht="20.100000000000001" customHeight="1" x14ac:dyDescent="0.25">
      <c r="A62" s="50"/>
      <c r="G62" s="175"/>
    </row>
    <row r="63" spans="1:7" ht="20.100000000000001" customHeight="1" x14ac:dyDescent="0.25">
      <c r="A63" s="50"/>
    </row>
    <row r="64" spans="1:7"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row r="92" spans="1:1" ht="20.100000000000001" customHeight="1" x14ac:dyDescent="0.25">
      <c r="A92" s="50"/>
    </row>
    <row r="93" spans="1:1" ht="20.100000000000001" customHeight="1" x14ac:dyDescent="0.25">
      <c r="A93" s="50"/>
    </row>
  </sheetData>
  <sheetProtection algorithmName="SHA-512" hashValue="00w29/peEGUvlAAswwPkNguhDSJThwWsiN753HNOhchDazP18GI3FFnoPra6RSvkPufesmP5v7id+JFwngp9bg==" saltValue="qgHWL4Yv/q4c7HQqws1haA==" spinCount="100000" sheet="1" objects="1" scenarios="1"/>
  <mergeCells count="57">
    <mergeCell ref="F18:G19"/>
    <mergeCell ref="A18:D19"/>
    <mergeCell ref="F22:G23"/>
    <mergeCell ref="A22:D23"/>
    <mergeCell ref="F26:G27"/>
    <mergeCell ref="A26:D27"/>
    <mergeCell ref="A25:G25"/>
    <mergeCell ref="A4:B4"/>
    <mergeCell ref="A7:B9"/>
    <mergeCell ref="A13:B15"/>
    <mergeCell ref="A12:B12"/>
    <mergeCell ref="A43:B43"/>
    <mergeCell ref="A42:B42"/>
    <mergeCell ref="A41:B41"/>
    <mergeCell ref="A35:B35"/>
    <mergeCell ref="A34:B34"/>
    <mergeCell ref="A33:B33"/>
    <mergeCell ref="A10:C11"/>
    <mergeCell ref="A40:G40"/>
    <mergeCell ref="C41:G41"/>
    <mergeCell ref="C42:G42"/>
    <mergeCell ref="C43:G43"/>
    <mergeCell ref="A36:G36"/>
    <mergeCell ref="A37:G37"/>
    <mergeCell ref="A38:G38"/>
    <mergeCell ref="A39:G39"/>
    <mergeCell ref="C33:G33"/>
    <mergeCell ref="A32:G32"/>
    <mergeCell ref="A31:G31"/>
    <mergeCell ref="C34:G34"/>
    <mergeCell ref="C35:G35"/>
    <mergeCell ref="A28:G28"/>
    <mergeCell ref="A30:G30"/>
    <mergeCell ref="A29:G29"/>
    <mergeCell ref="E4:G4"/>
    <mergeCell ref="C9:E9"/>
    <mergeCell ref="C8:E8"/>
    <mergeCell ref="C7:E7"/>
    <mergeCell ref="F9:G9"/>
    <mergeCell ref="F8:G8"/>
    <mergeCell ref="F7:G7"/>
    <mergeCell ref="E10:G11"/>
    <mergeCell ref="A1:G1"/>
    <mergeCell ref="A20:G20"/>
    <mergeCell ref="A21:G21"/>
    <mergeCell ref="A24:G24"/>
    <mergeCell ref="C15:E15"/>
    <mergeCell ref="F15:G15"/>
    <mergeCell ref="A16:G16"/>
    <mergeCell ref="A17:G17"/>
    <mergeCell ref="C12:G12"/>
    <mergeCell ref="C13:E13"/>
    <mergeCell ref="F13:G13"/>
    <mergeCell ref="C14:E14"/>
    <mergeCell ref="F14:G14"/>
    <mergeCell ref="A2:G2"/>
    <mergeCell ref="A3:G3"/>
  </mergeCells>
  <conditionalFormatting sqref="A12:A15 C12:G15">
    <cfRule type="expression" dxfId="369" priority="1">
      <formula>AND($N$10=FALSE,$O$10=TRUE)</formula>
    </cfRule>
  </conditionalFormatting>
  <conditionalFormatting sqref="A5:G6">
    <cfRule type="expression" dxfId="368" priority="42">
      <formula>AND($N$4=FALSE,$O$4=TRUE)</formula>
    </cfRule>
    <cfRule type="expression" dxfId="367" priority="45">
      <formula>AND($N$4=TRUE,$N$7=FALSE)</formula>
    </cfRule>
  </conditionalFormatting>
  <conditionalFormatting sqref="C4:D4">
    <cfRule type="expression" dxfId="366" priority="46">
      <formula>OR(AND($N$4=FALSE,$O$4=FALSE),AND($N$4=TRUE,$O$4=TRUE))</formula>
    </cfRule>
  </conditionalFormatting>
  <conditionalFormatting sqref="C12:G12">
    <cfRule type="expression" dxfId="365" priority="43">
      <formula>AND($N$8=TRUE,$N$10=TRUE,$O$10=FALSE,ISBLANK($C$12))</formula>
    </cfRule>
  </conditionalFormatting>
  <conditionalFormatting sqref="C22:G22 A22">
    <cfRule type="expression" dxfId="364" priority="27">
      <formula>AND($N18=TRUE,$O18=TRUE)</formula>
    </cfRule>
  </conditionalFormatting>
  <conditionalFormatting sqref="C26:G26 A26">
    <cfRule type="expression" dxfId="363" priority="25">
      <formula>OR(AND($N18=TRUE,$O18=TRUE),AND($N22=TRUE,$O22=TRUE))</formula>
    </cfRule>
  </conditionalFormatting>
  <conditionalFormatting sqref="C30:G32 A30:A35">
    <cfRule type="expression" dxfId="362" priority="5">
      <formula>AND($N$28=TRUE,$P$35=FALSE)</formula>
    </cfRule>
  </conditionalFormatting>
  <conditionalFormatting sqref="C33:G35">
    <cfRule type="expression" dxfId="361" priority="4">
      <formula>AND($N$28=TRUE,$P$35=TRUE,N33=TRUE,ISBLANK(C33))</formula>
    </cfRule>
  </conditionalFormatting>
  <conditionalFormatting sqref="C38:G40 A38:A43">
    <cfRule type="expression" dxfId="360" priority="3">
      <formula>AND($N$28=TRUE,$P$35=TRUE,$P$43=FALSE)</formula>
    </cfRule>
  </conditionalFormatting>
  <conditionalFormatting sqref="C41:G43">
    <cfRule type="expression" dxfId="359" priority="2">
      <formula>AND($N$28=TRUE,$P$35=TRUE,N41=TRUE,ISBLANK(C41))</formula>
    </cfRule>
  </conditionalFormatting>
  <conditionalFormatting sqref="D10:D11">
    <cfRule type="expression" dxfId="358" priority="34">
      <formula>AND($N$10=FALSE,$O$10=FALSE,NOT(ISBLANK($F$7)),NOT(ISBLANK($F$8)),NOT(ISBLANK($F$9)))</formula>
    </cfRule>
  </conditionalFormatting>
  <conditionalFormatting sqref="E18:E19">
    <cfRule type="expression" dxfId="357" priority="30">
      <formula>AND($N$17=TRUE,$N$18=FALSE,$O$18=FALSE)</formula>
    </cfRule>
  </conditionalFormatting>
  <conditionalFormatting sqref="E22:E23">
    <cfRule type="expression" dxfId="356" priority="28">
      <formula>AND($N$17=TRUE,OR($N$18=TRUE,$O$18=TRUE),$N$22=FALSE,$O$22=FALSE)</formula>
    </cfRule>
  </conditionalFormatting>
  <conditionalFormatting sqref="E26:E27">
    <cfRule type="expression" dxfId="355" priority="26">
      <formula>AND($N$17=TRUE,OR($N$18=TRUE,$O$18=TRUE),OR($N$22=TRUE,$O$22=TRUE),$N$26=FALSE,$O$26=FALSE)</formula>
    </cfRule>
  </conditionalFormatting>
  <conditionalFormatting sqref="E4:G4">
    <cfRule type="expression" dxfId="354" priority="29">
      <formula>AND($N$4=TRUE,$O$4=TRUE)</formula>
    </cfRule>
  </conditionalFormatting>
  <conditionalFormatting sqref="E10:G10">
    <cfRule type="expression" dxfId="353" priority="44">
      <formula>AND($N$10=TRUE,$O$10=TRUE)</formula>
    </cfRule>
  </conditionalFormatting>
  <conditionalFormatting sqref="F7:G7">
    <cfRule type="expression" dxfId="352" priority="40">
      <formula>AND($N$4=TRUE,$N$7=TRUE,ISBLANK($F$7))</formula>
    </cfRule>
    <cfRule type="expression" dxfId="351" priority="41">
      <formula>AND($O$4=TRUE,$N$4=FALSE,ISBLANK($F$7))</formula>
    </cfRule>
  </conditionalFormatting>
  <conditionalFormatting sqref="F8:G8">
    <cfRule type="expression" dxfId="350" priority="38">
      <formula>AND($O$4=TRUE,$N$4=FALSE,NOT(ISBLANK($F$7)),ISBLANK($F$8))</formula>
    </cfRule>
    <cfRule type="expression" dxfId="349" priority="39">
      <formula>AND($N$4=TRUE,$N$7=TRUE,NOT(ISBLANK($F$7)),ISBLANK($F$8))</formula>
    </cfRule>
  </conditionalFormatting>
  <conditionalFormatting sqref="F9:G9">
    <cfRule type="expression" dxfId="348" priority="36">
      <formula>AND($N$4=TRUE,$N$7=TRUE,NOT(ISBLANK($F$7)),NOT(ISBLANK($F$8)),ISBLANK($F$9))</formula>
    </cfRule>
    <cfRule type="expression" dxfId="347" priority="37">
      <formula>AND($O$4=TRUE,$N$4=FALSE,NOT(ISBLANK($F$7)),NOT(ISBLANK($F$8)),ISBLANK($F$9))</formula>
    </cfRule>
  </conditionalFormatting>
  <conditionalFormatting sqref="F13:G13">
    <cfRule type="expression" dxfId="346" priority="33">
      <formula>AND(N8=TRUE,N10=TRUE,NOT(ISBLANK(C12)),ISBLANK(F13))</formula>
    </cfRule>
  </conditionalFormatting>
  <conditionalFormatting sqref="F14:G14">
    <cfRule type="expression" dxfId="345" priority="32">
      <formula>AND(N8=TRUE,N10=TRUE,NOT(ISBLANK(C12)),NOT(ISBLANK(F13)),ISBLANK(F14))</formula>
    </cfRule>
  </conditionalFormatting>
  <conditionalFormatting sqref="F15:G15">
    <cfRule type="expression" dxfId="344" priority="31">
      <formula>AND(N8=TRUE,N10=TRUE,NOT(ISBLANK(C12)),NOT(ISBLANK(F13)),NOT(ISBLANK(F14)),ISBLANK(F15))</formula>
    </cfRule>
  </conditionalFormatting>
  <conditionalFormatting sqref="F18:G18">
    <cfRule type="expression" dxfId="343" priority="24">
      <formula>AND($N18=TRUE,$O18=TRUE)</formula>
    </cfRule>
  </conditionalFormatting>
  <conditionalFormatting sqref="F22:G22">
    <cfRule type="expression" dxfId="342" priority="23">
      <formula>AND($N22=TRUE,$O22=TRUE)</formula>
    </cfRule>
  </conditionalFormatting>
  <conditionalFormatting sqref="F26:G26">
    <cfRule type="expression" dxfId="341" priority="22">
      <formula>AND($N26=TRUE,$O26=TRUE)</formula>
    </cfRule>
  </conditionalFormatting>
  <printOptions horizontalCentered="1"/>
  <pageMargins left="0.5" right="0.5" top="0.5" bottom="0.5" header="0.3" footer="0.3"/>
  <pageSetup scale="86" fitToHeight="0" orientation="portrait" r:id="rId1"/>
  <headerFooter>
    <oddFooter>&amp;LRev. 7/2016&amp;C&amp;A&amp;RPage &amp;P</oddFooter>
  </headerFooter>
  <rowBreaks count="1" manualBreakCount="1">
    <brk id="27"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xdr:col>
                    <xdr:colOff>19050</xdr:colOff>
                    <xdr:row>3</xdr:row>
                    <xdr:rowOff>95250</xdr:rowOff>
                  </from>
                  <to>
                    <xdr:col>2</xdr:col>
                    <xdr:colOff>247650</xdr:colOff>
                    <xdr:row>3</xdr:row>
                    <xdr:rowOff>314325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xdr:col>
                    <xdr:colOff>28575</xdr:colOff>
                    <xdr:row>3</xdr:row>
                    <xdr:rowOff>104775</xdr:rowOff>
                  </from>
                  <to>
                    <xdr:col>3</xdr:col>
                    <xdr:colOff>238125</xdr:colOff>
                    <xdr:row>3</xdr:row>
                    <xdr:rowOff>314325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xdr:col>
                    <xdr:colOff>9525</xdr:colOff>
                    <xdr:row>4</xdr:row>
                    <xdr:rowOff>9525</xdr:rowOff>
                  </from>
                  <to>
                    <xdr:col>1</xdr:col>
                    <xdr:colOff>800100</xdr:colOff>
                    <xdr:row>5</xdr:row>
                    <xdr:rowOff>0</xdr:rowOff>
                  </to>
                </anchor>
              </controlPr>
            </control>
          </mc:Choice>
        </mc:AlternateContent>
        <mc:AlternateContent xmlns:mc="http://schemas.openxmlformats.org/markup-compatibility/2006">
          <mc:Choice Requires="x14">
            <control shapeId="15371" r:id="rId7" name="Check Box 11">
              <controlPr defaultSize="0" autoFill="0" autoLine="0" autoPict="0">
                <anchor moveWithCells="1">
                  <from>
                    <xdr:col>1</xdr:col>
                    <xdr:colOff>9525</xdr:colOff>
                    <xdr:row>5</xdr:row>
                    <xdr:rowOff>9525</xdr:rowOff>
                  </from>
                  <to>
                    <xdr:col>1</xdr:col>
                    <xdr:colOff>800100</xdr:colOff>
                    <xdr:row>6</xdr:row>
                    <xdr:rowOff>0</xdr:rowOff>
                  </to>
                </anchor>
              </controlPr>
            </control>
          </mc:Choice>
        </mc:AlternateContent>
        <mc:AlternateContent xmlns:mc="http://schemas.openxmlformats.org/markup-compatibility/2006">
          <mc:Choice Requires="x14">
            <control shapeId="15382" r:id="rId8" name="Check Box 22">
              <controlPr defaultSize="0" autoFill="0" autoLine="0" autoPict="0">
                <anchor moveWithCells="1">
                  <from>
                    <xdr:col>2</xdr:col>
                    <xdr:colOff>9525</xdr:colOff>
                    <xdr:row>4</xdr:row>
                    <xdr:rowOff>9525</xdr:rowOff>
                  </from>
                  <to>
                    <xdr:col>2</xdr:col>
                    <xdr:colOff>952500</xdr:colOff>
                    <xdr:row>5</xdr:row>
                    <xdr:rowOff>0</xdr:rowOff>
                  </to>
                </anchor>
              </controlPr>
            </control>
          </mc:Choice>
        </mc:AlternateContent>
        <mc:AlternateContent xmlns:mc="http://schemas.openxmlformats.org/markup-compatibility/2006">
          <mc:Choice Requires="x14">
            <control shapeId="15383" r:id="rId9" name="Check Box 23">
              <controlPr defaultSize="0" autoFill="0" autoLine="0" autoPict="0">
                <anchor moveWithCells="1">
                  <from>
                    <xdr:col>2</xdr:col>
                    <xdr:colOff>9525</xdr:colOff>
                    <xdr:row>5</xdr:row>
                    <xdr:rowOff>9525</xdr:rowOff>
                  </from>
                  <to>
                    <xdr:col>2</xdr:col>
                    <xdr:colOff>952500</xdr:colOff>
                    <xdr:row>6</xdr:row>
                    <xdr:rowOff>0</xdr:rowOff>
                  </to>
                </anchor>
              </controlPr>
            </control>
          </mc:Choice>
        </mc:AlternateContent>
        <mc:AlternateContent xmlns:mc="http://schemas.openxmlformats.org/markup-compatibility/2006">
          <mc:Choice Requires="x14">
            <control shapeId="15384" r:id="rId10" name="Check Box 24">
              <controlPr defaultSize="0" autoFill="0" autoLine="0" autoPict="0">
                <anchor moveWithCells="1">
                  <from>
                    <xdr:col>3</xdr:col>
                    <xdr:colOff>9525</xdr:colOff>
                    <xdr:row>4</xdr:row>
                    <xdr:rowOff>9525</xdr:rowOff>
                  </from>
                  <to>
                    <xdr:col>3</xdr:col>
                    <xdr:colOff>885825</xdr:colOff>
                    <xdr:row>5</xdr:row>
                    <xdr:rowOff>0</xdr:rowOff>
                  </to>
                </anchor>
              </controlPr>
            </control>
          </mc:Choice>
        </mc:AlternateContent>
        <mc:AlternateContent xmlns:mc="http://schemas.openxmlformats.org/markup-compatibility/2006">
          <mc:Choice Requires="x14">
            <control shapeId="15385" r:id="rId11" name="Check Box 25">
              <controlPr defaultSize="0" autoFill="0" autoLine="0" autoPict="0">
                <anchor moveWithCells="1">
                  <from>
                    <xdr:col>3</xdr:col>
                    <xdr:colOff>9525</xdr:colOff>
                    <xdr:row>5</xdr:row>
                    <xdr:rowOff>9525</xdr:rowOff>
                  </from>
                  <to>
                    <xdr:col>3</xdr:col>
                    <xdr:colOff>885825</xdr:colOff>
                    <xdr:row>6</xdr:row>
                    <xdr:rowOff>0</xdr:rowOff>
                  </to>
                </anchor>
              </controlPr>
            </control>
          </mc:Choice>
        </mc:AlternateContent>
        <mc:AlternateContent xmlns:mc="http://schemas.openxmlformats.org/markup-compatibility/2006">
          <mc:Choice Requires="x14">
            <control shapeId="15386" r:id="rId12" name="Check Box 26">
              <controlPr defaultSize="0" autoFill="0" autoLine="0" autoPict="0">
                <anchor moveWithCells="1">
                  <from>
                    <xdr:col>4</xdr:col>
                    <xdr:colOff>9525</xdr:colOff>
                    <xdr:row>4</xdr:row>
                    <xdr:rowOff>9525</xdr:rowOff>
                  </from>
                  <to>
                    <xdr:col>4</xdr:col>
                    <xdr:colOff>885825</xdr:colOff>
                    <xdr:row>5</xdr:row>
                    <xdr:rowOff>0</xdr:rowOff>
                  </to>
                </anchor>
              </controlPr>
            </control>
          </mc:Choice>
        </mc:AlternateContent>
        <mc:AlternateContent xmlns:mc="http://schemas.openxmlformats.org/markup-compatibility/2006">
          <mc:Choice Requires="x14">
            <control shapeId="15387" r:id="rId13" name="Check Box 27">
              <controlPr defaultSize="0" autoFill="0" autoLine="0" autoPict="0">
                <anchor moveWithCells="1">
                  <from>
                    <xdr:col>4</xdr:col>
                    <xdr:colOff>9525</xdr:colOff>
                    <xdr:row>5</xdr:row>
                    <xdr:rowOff>9525</xdr:rowOff>
                  </from>
                  <to>
                    <xdr:col>4</xdr:col>
                    <xdr:colOff>885825</xdr:colOff>
                    <xdr:row>6</xdr:row>
                    <xdr:rowOff>0</xdr:rowOff>
                  </to>
                </anchor>
              </controlPr>
            </control>
          </mc:Choice>
        </mc:AlternateContent>
        <mc:AlternateContent xmlns:mc="http://schemas.openxmlformats.org/markup-compatibility/2006">
          <mc:Choice Requires="x14">
            <control shapeId="15388" r:id="rId14" name="Check Box 28">
              <controlPr defaultSize="0" autoFill="0" autoLine="0" autoPict="0">
                <anchor moveWithCells="1">
                  <from>
                    <xdr:col>5</xdr:col>
                    <xdr:colOff>19050</xdr:colOff>
                    <xdr:row>4</xdr:row>
                    <xdr:rowOff>9525</xdr:rowOff>
                  </from>
                  <to>
                    <xdr:col>5</xdr:col>
                    <xdr:colOff>895350</xdr:colOff>
                    <xdr:row>5</xdr:row>
                    <xdr:rowOff>0</xdr:rowOff>
                  </to>
                </anchor>
              </controlPr>
            </control>
          </mc:Choice>
        </mc:AlternateContent>
        <mc:AlternateContent xmlns:mc="http://schemas.openxmlformats.org/markup-compatibility/2006">
          <mc:Choice Requires="x14">
            <control shapeId="15389" r:id="rId15" name="Check Box 29">
              <controlPr defaultSize="0" autoFill="0" autoLine="0" autoPict="0">
                <anchor moveWithCells="1">
                  <from>
                    <xdr:col>5</xdr:col>
                    <xdr:colOff>19050</xdr:colOff>
                    <xdr:row>5</xdr:row>
                    <xdr:rowOff>9525</xdr:rowOff>
                  </from>
                  <to>
                    <xdr:col>5</xdr:col>
                    <xdr:colOff>895350</xdr:colOff>
                    <xdr:row>6</xdr:row>
                    <xdr:rowOff>0</xdr:rowOff>
                  </to>
                </anchor>
              </controlPr>
            </control>
          </mc:Choice>
        </mc:AlternateContent>
        <mc:AlternateContent xmlns:mc="http://schemas.openxmlformats.org/markup-compatibility/2006">
          <mc:Choice Requires="x14">
            <control shapeId="15390" r:id="rId16" name="Check Box 30">
              <controlPr defaultSize="0" autoFill="0" autoLine="0" autoPict="0">
                <anchor moveWithCells="1">
                  <from>
                    <xdr:col>6</xdr:col>
                    <xdr:colOff>9525</xdr:colOff>
                    <xdr:row>4</xdr:row>
                    <xdr:rowOff>9525</xdr:rowOff>
                  </from>
                  <to>
                    <xdr:col>6</xdr:col>
                    <xdr:colOff>885825</xdr:colOff>
                    <xdr:row>5</xdr:row>
                    <xdr:rowOff>0</xdr:rowOff>
                  </to>
                </anchor>
              </controlPr>
            </control>
          </mc:Choice>
        </mc:AlternateContent>
        <mc:AlternateContent xmlns:mc="http://schemas.openxmlformats.org/markup-compatibility/2006">
          <mc:Choice Requires="x14">
            <control shapeId="15391" r:id="rId17" name="Check Box 31">
              <controlPr defaultSize="0" autoFill="0" autoLine="0" autoPict="0">
                <anchor moveWithCells="1">
                  <from>
                    <xdr:col>6</xdr:col>
                    <xdr:colOff>9525</xdr:colOff>
                    <xdr:row>5</xdr:row>
                    <xdr:rowOff>9525</xdr:rowOff>
                  </from>
                  <to>
                    <xdr:col>6</xdr:col>
                    <xdr:colOff>885825</xdr:colOff>
                    <xdr:row>6</xdr:row>
                    <xdr:rowOff>0</xdr:rowOff>
                  </to>
                </anchor>
              </controlPr>
            </control>
          </mc:Choice>
        </mc:AlternateContent>
        <mc:AlternateContent xmlns:mc="http://schemas.openxmlformats.org/markup-compatibility/2006">
          <mc:Choice Requires="x14">
            <control shapeId="15392" r:id="rId18" name="Check Box 32">
              <controlPr defaultSize="0" autoFill="0" autoLine="0" autoPict="0">
                <anchor moveWithCells="1">
                  <from>
                    <xdr:col>3</xdr:col>
                    <xdr:colOff>9525</xdr:colOff>
                    <xdr:row>9</xdr:row>
                    <xdr:rowOff>9525</xdr:rowOff>
                  </from>
                  <to>
                    <xdr:col>3</xdr:col>
                    <xdr:colOff>790575</xdr:colOff>
                    <xdr:row>10</xdr:row>
                    <xdr:rowOff>19050</xdr:rowOff>
                  </to>
                </anchor>
              </controlPr>
            </control>
          </mc:Choice>
        </mc:AlternateContent>
        <mc:AlternateContent xmlns:mc="http://schemas.openxmlformats.org/markup-compatibility/2006">
          <mc:Choice Requires="x14">
            <control shapeId="15393" r:id="rId19" name="Check Box 33">
              <controlPr defaultSize="0" autoFill="0" autoLine="0" autoPict="0">
                <anchor moveWithCells="1">
                  <from>
                    <xdr:col>3</xdr:col>
                    <xdr:colOff>9525</xdr:colOff>
                    <xdr:row>9</xdr:row>
                    <xdr:rowOff>180975</xdr:rowOff>
                  </from>
                  <to>
                    <xdr:col>3</xdr:col>
                    <xdr:colOff>790575</xdr:colOff>
                    <xdr:row>11</xdr:row>
                    <xdr:rowOff>0</xdr:rowOff>
                  </to>
                </anchor>
              </controlPr>
            </control>
          </mc:Choice>
        </mc:AlternateContent>
        <mc:AlternateContent xmlns:mc="http://schemas.openxmlformats.org/markup-compatibility/2006">
          <mc:Choice Requires="x14">
            <control shapeId="15404" r:id="rId20" name="Check Box 44">
              <controlPr defaultSize="0" autoFill="0" autoLine="0" autoPict="0">
                <anchor moveWithCells="1">
                  <from>
                    <xdr:col>0</xdr:col>
                    <xdr:colOff>47625</xdr:colOff>
                    <xdr:row>29</xdr:row>
                    <xdr:rowOff>0</xdr:rowOff>
                  </from>
                  <to>
                    <xdr:col>0</xdr:col>
                    <xdr:colOff>257175</xdr:colOff>
                    <xdr:row>29</xdr:row>
                    <xdr:rowOff>238125</xdr:rowOff>
                  </to>
                </anchor>
              </controlPr>
            </control>
          </mc:Choice>
        </mc:AlternateContent>
        <mc:AlternateContent xmlns:mc="http://schemas.openxmlformats.org/markup-compatibility/2006">
          <mc:Choice Requires="x14">
            <control shapeId="15420" r:id="rId21" name="Check Box 60">
              <controlPr defaultSize="0" autoFill="0" autoLine="0" autoPict="0">
                <anchor moveWithCells="1">
                  <from>
                    <xdr:col>0</xdr:col>
                    <xdr:colOff>47625</xdr:colOff>
                    <xdr:row>30</xdr:row>
                    <xdr:rowOff>0</xdr:rowOff>
                  </from>
                  <to>
                    <xdr:col>0</xdr:col>
                    <xdr:colOff>257175</xdr:colOff>
                    <xdr:row>30</xdr:row>
                    <xdr:rowOff>238125</xdr:rowOff>
                  </to>
                </anchor>
              </controlPr>
            </control>
          </mc:Choice>
        </mc:AlternateContent>
        <mc:AlternateContent xmlns:mc="http://schemas.openxmlformats.org/markup-compatibility/2006">
          <mc:Choice Requires="x14">
            <control shapeId="15421" r:id="rId22" name="Check Box 61">
              <controlPr defaultSize="0" autoFill="0" autoLine="0" autoPict="0">
                <anchor moveWithCells="1">
                  <from>
                    <xdr:col>0</xdr:col>
                    <xdr:colOff>47625</xdr:colOff>
                    <xdr:row>31</xdr:row>
                    <xdr:rowOff>0</xdr:rowOff>
                  </from>
                  <to>
                    <xdr:col>0</xdr:col>
                    <xdr:colOff>257175</xdr:colOff>
                    <xdr:row>31</xdr:row>
                    <xdr:rowOff>238125</xdr:rowOff>
                  </to>
                </anchor>
              </controlPr>
            </control>
          </mc:Choice>
        </mc:AlternateContent>
        <mc:AlternateContent xmlns:mc="http://schemas.openxmlformats.org/markup-compatibility/2006">
          <mc:Choice Requires="x14">
            <control shapeId="15422" r:id="rId23" name="Check Box 62">
              <controlPr defaultSize="0" autoFill="0" autoLine="0" autoPict="0">
                <anchor moveWithCells="1">
                  <from>
                    <xdr:col>0</xdr:col>
                    <xdr:colOff>47625</xdr:colOff>
                    <xdr:row>32</xdr:row>
                    <xdr:rowOff>0</xdr:rowOff>
                  </from>
                  <to>
                    <xdr:col>0</xdr:col>
                    <xdr:colOff>257175</xdr:colOff>
                    <xdr:row>32</xdr:row>
                    <xdr:rowOff>238125</xdr:rowOff>
                  </to>
                </anchor>
              </controlPr>
            </control>
          </mc:Choice>
        </mc:AlternateContent>
        <mc:AlternateContent xmlns:mc="http://schemas.openxmlformats.org/markup-compatibility/2006">
          <mc:Choice Requires="x14">
            <control shapeId="15423" r:id="rId24" name="Check Box 63">
              <controlPr defaultSize="0" autoFill="0" autoLine="0" autoPict="0">
                <anchor moveWithCells="1">
                  <from>
                    <xdr:col>0</xdr:col>
                    <xdr:colOff>47625</xdr:colOff>
                    <xdr:row>33</xdr:row>
                    <xdr:rowOff>0</xdr:rowOff>
                  </from>
                  <to>
                    <xdr:col>0</xdr:col>
                    <xdr:colOff>257175</xdr:colOff>
                    <xdr:row>33</xdr:row>
                    <xdr:rowOff>238125</xdr:rowOff>
                  </to>
                </anchor>
              </controlPr>
            </control>
          </mc:Choice>
        </mc:AlternateContent>
        <mc:AlternateContent xmlns:mc="http://schemas.openxmlformats.org/markup-compatibility/2006">
          <mc:Choice Requires="x14">
            <control shapeId="15424" r:id="rId25" name="Check Box 64">
              <controlPr defaultSize="0" autoFill="0" autoLine="0" autoPict="0">
                <anchor moveWithCells="1">
                  <from>
                    <xdr:col>0</xdr:col>
                    <xdr:colOff>47625</xdr:colOff>
                    <xdr:row>34</xdr:row>
                    <xdr:rowOff>0</xdr:rowOff>
                  </from>
                  <to>
                    <xdr:col>0</xdr:col>
                    <xdr:colOff>257175</xdr:colOff>
                    <xdr:row>34</xdr:row>
                    <xdr:rowOff>238125</xdr:rowOff>
                  </to>
                </anchor>
              </controlPr>
            </control>
          </mc:Choice>
        </mc:AlternateContent>
        <mc:AlternateContent xmlns:mc="http://schemas.openxmlformats.org/markup-compatibility/2006">
          <mc:Choice Requires="x14">
            <control shapeId="15425" r:id="rId26" name="Check Box 65">
              <controlPr defaultSize="0" autoFill="0" autoLine="0" autoPict="0">
                <anchor moveWithCells="1">
                  <from>
                    <xdr:col>0</xdr:col>
                    <xdr:colOff>47625</xdr:colOff>
                    <xdr:row>37</xdr:row>
                    <xdr:rowOff>0</xdr:rowOff>
                  </from>
                  <to>
                    <xdr:col>0</xdr:col>
                    <xdr:colOff>257175</xdr:colOff>
                    <xdr:row>37</xdr:row>
                    <xdr:rowOff>238125</xdr:rowOff>
                  </to>
                </anchor>
              </controlPr>
            </control>
          </mc:Choice>
        </mc:AlternateContent>
        <mc:AlternateContent xmlns:mc="http://schemas.openxmlformats.org/markup-compatibility/2006">
          <mc:Choice Requires="x14">
            <control shapeId="15426" r:id="rId27" name="Check Box 66">
              <controlPr defaultSize="0" autoFill="0" autoLine="0" autoPict="0">
                <anchor moveWithCells="1">
                  <from>
                    <xdr:col>0</xdr:col>
                    <xdr:colOff>47625</xdr:colOff>
                    <xdr:row>38</xdr:row>
                    <xdr:rowOff>0</xdr:rowOff>
                  </from>
                  <to>
                    <xdr:col>0</xdr:col>
                    <xdr:colOff>257175</xdr:colOff>
                    <xdr:row>38</xdr:row>
                    <xdr:rowOff>238125</xdr:rowOff>
                  </to>
                </anchor>
              </controlPr>
            </control>
          </mc:Choice>
        </mc:AlternateContent>
        <mc:AlternateContent xmlns:mc="http://schemas.openxmlformats.org/markup-compatibility/2006">
          <mc:Choice Requires="x14">
            <control shapeId="15427" r:id="rId28" name="Check Box 67">
              <controlPr defaultSize="0" autoFill="0" autoLine="0" autoPict="0">
                <anchor moveWithCells="1">
                  <from>
                    <xdr:col>0</xdr:col>
                    <xdr:colOff>47625</xdr:colOff>
                    <xdr:row>39</xdr:row>
                    <xdr:rowOff>0</xdr:rowOff>
                  </from>
                  <to>
                    <xdr:col>0</xdr:col>
                    <xdr:colOff>257175</xdr:colOff>
                    <xdr:row>39</xdr:row>
                    <xdr:rowOff>238125</xdr:rowOff>
                  </to>
                </anchor>
              </controlPr>
            </control>
          </mc:Choice>
        </mc:AlternateContent>
        <mc:AlternateContent xmlns:mc="http://schemas.openxmlformats.org/markup-compatibility/2006">
          <mc:Choice Requires="x14">
            <control shapeId="15428" r:id="rId29" name="Check Box 68">
              <controlPr defaultSize="0" autoFill="0" autoLine="0" autoPict="0">
                <anchor moveWithCells="1">
                  <from>
                    <xdr:col>0</xdr:col>
                    <xdr:colOff>47625</xdr:colOff>
                    <xdr:row>40</xdr:row>
                    <xdr:rowOff>0</xdr:rowOff>
                  </from>
                  <to>
                    <xdr:col>0</xdr:col>
                    <xdr:colOff>257175</xdr:colOff>
                    <xdr:row>40</xdr:row>
                    <xdr:rowOff>238125</xdr:rowOff>
                  </to>
                </anchor>
              </controlPr>
            </control>
          </mc:Choice>
        </mc:AlternateContent>
        <mc:AlternateContent xmlns:mc="http://schemas.openxmlformats.org/markup-compatibility/2006">
          <mc:Choice Requires="x14">
            <control shapeId="15429" r:id="rId30" name="Check Box 69">
              <controlPr defaultSize="0" autoFill="0" autoLine="0" autoPict="0">
                <anchor moveWithCells="1">
                  <from>
                    <xdr:col>0</xdr:col>
                    <xdr:colOff>47625</xdr:colOff>
                    <xdr:row>41</xdr:row>
                    <xdr:rowOff>0</xdr:rowOff>
                  </from>
                  <to>
                    <xdr:col>0</xdr:col>
                    <xdr:colOff>257175</xdr:colOff>
                    <xdr:row>41</xdr:row>
                    <xdr:rowOff>238125</xdr:rowOff>
                  </to>
                </anchor>
              </controlPr>
            </control>
          </mc:Choice>
        </mc:AlternateContent>
        <mc:AlternateContent xmlns:mc="http://schemas.openxmlformats.org/markup-compatibility/2006">
          <mc:Choice Requires="x14">
            <control shapeId="15430" r:id="rId31" name="Check Box 70">
              <controlPr defaultSize="0" autoFill="0" autoLine="0" autoPict="0">
                <anchor moveWithCells="1">
                  <from>
                    <xdr:col>0</xdr:col>
                    <xdr:colOff>47625</xdr:colOff>
                    <xdr:row>42</xdr:row>
                    <xdr:rowOff>0</xdr:rowOff>
                  </from>
                  <to>
                    <xdr:col>0</xdr:col>
                    <xdr:colOff>257175</xdr:colOff>
                    <xdr:row>42</xdr:row>
                    <xdr:rowOff>238125</xdr:rowOff>
                  </to>
                </anchor>
              </controlPr>
            </control>
          </mc:Choice>
        </mc:AlternateContent>
        <mc:AlternateContent xmlns:mc="http://schemas.openxmlformats.org/markup-compatibility/2006">
          <mc:Choice Requires="x14">
            <control shapeId="15435" r:id="rId32" name="Check Box 75">
              <controlPr defaultSize="0" autoFill="0" autoLine="0" autoPict="0">
                <anchor moveWithCells="1">
                  <from>
                    <xdr:col>4</xdr:col>
                    <xdr:colOff>0</xdr:colOff>
                    <xdr:row>17</xdr:row>
                    <xdr:rowOff>0</xdr:rowOff>
                  </from>
                  <to>
                    <xdr:col>4</xdr:col>
                    <xdr:colOff>781050</xdr:colOff>
                    <xdr:row>18</xdr:row>
                    <xdr:rowOff>9525</xdr:rowOff>
                  </to>
                </anchor>
              </controlPr>
            </control>
          </mc:Choice>
        </mc:AlternateContent>
        <mc:AlternateContent xmlns:mc="http://schemas.openxmlformats.org/markup-compatibility/2006">
          <mc:Choice Requires="x14">
            <control shapeId="15436" r:id="rId33" name="Check Box 76">
              <controlPr defaultSize="0" autoFill="0" autoLine="0" autoPict="0">
                <anchor moveWithCells="1">
                  <from>
                    <xdr:col>4</xdr:col>
                    <xdr:colOff>0</xdr:colOff>
                    <xdr:row>17</xdr:row>
                    <xdr:rowOff>171450</xdr:rowOff>
                  </from>
                  <to>
                    <xdr:col>4</xdr:col>
                    <xdr:colOff>781050</xdr:colOff>
                    <xdr:row>18</xdr:row>
                    <xdr:rowOff>180975</xdr:rowOff>
                  </to>
                </anchor>
              </controlPr>
            </control>
          </mc:Choice>
        </mc:AlternateContent>
        <mc:AlternateContent xmlns:mc="http://schemas.openxmlformats.org/markup-compatibility/2006">
          <mc:Choice Requires="x14">
            <control shapeId="15437" r:id="rId34" name="Check Box 77">
              <controlPr defaultSize="0" autoFill="0" autoLine="0" autoPict="0">
                <anchor moveWithCells="1">
                  <from>
                    <xdr:col>4</xdr:col>
                    <xdr:colOff>0</xdr:colOff>
                    <xdr:row>21</xdr:row>
                    <xdr:rowOff>0</xdr:rowOff>
                  </from>
                  <to>
                    <xdr:col>4</xdr:col>
                    <xdr:colOff>781050</xdr:colOff>
                    <xdr:row>22</xdr:row>
                    <xdr:rowOff>9525</xdr:rowOff>
                  </to>
                </anchor>
              </controlPr>
            </control>
          </mc:Choice>
        </mc:AlternateContent>
        <mc:AlternateContent xmlns:mc="http://schemas.openxmlformats.org/markup-compatibility/2006">
          <mc:Choice Requires="x14">
            <control shapeId="15438" r:id="rId35" name="Check Box 78">
              <controlPr defaultSize="0" autoFill="0" autoLine="0" autoPict="0">
                <anchor moveWithCells="1">
                  <from>
                    <xdr:col>4</xdr:col>
                    <xdr:colOff>0</xdr:colOff>
                    <xdr:row>21</xdr:row>
                    <xdr:rowOff>171450</xdr:rowOff>
                  </from>
                  <to>
                    <xdr:col>4</xdr:col>
                    <xdr:colOff>781050</xdr:colOff>
                    <xdr:row>22</xdr:row>
                    <xdr:rowOff>180975</xdr:rowOff>
                  </to>
                </anchor>
              </controlPr>
            </control>
          </mc:Choice>
        </mc:AlternateContent>
        <mc:AlternateContent xmlns:mc="http://schemas.openxmlformats.org/markup-compatibility/2006">
          <mc:Choice Requires="x14">
            <control shapeId="15439" r:id="rId36" name="Check Box 79">
              <controlPr defaultSize="0" autoFill="0" autoLine="0" autoPict="0">
                <anchor moveWithCells="1">
                  <from>
                    <xdr:col>4</xdr:col>
                    <xdr:colOff>0</xdr:colOff>
                    <xdr:row>25</xdr:row>
                    <xdr:rowOff>0</xdr:rowOff>
                  </from>
                  <to>
                    <xdr:col>4</xdr:col>
                    <xdr:colOff>781050</xdr:colOff>
                    <xdr:row>26</xdr:row>
                    <xdr:rowOff>9525</xdr:rowOff>
                  </to>
                </anchor>
              </controlPr>
            </control>
          </mc:Choice>
        </mc:AlternateContent>
        <mc:AlternateContent xmlns:mc="http://schemas.openxmlformats.org/markup-compatibility/2006">
          <mc:Choice Requires="x14">
            <control shapeId="15440" r:id="rId37" name="Check Box 80">
              <controlPr defaultSize="0" autoFill="0" autoLine="0" autoPict="0">
                <anchor moveWithCells="1">
                  <from>
                    <xdr:col>4</xdr:col>
                    <xdr:colOff>0</xdr:colOff>
                    <xdr:row>25</xdr:row>
                    <xdr:rowOff>171450</xdr:rowOff>
                  </from>
                  <to>
                    <xdr:col>4</xdr:col>
                    <xdr:colOff>781050</xdr:colOff>
                    <xdr:row>26</xdr:row>
                    <xdr:rowOff>180975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tabColor rgb="FF00B050"/>
    <pageSetUpPr fitToPage="1"/>
  </sheetPr>
  <dimension ref="A1:L33"/>
  <sheetViews>
    <sheetView workbookViewId="0">
      <selection sqref="A1:A2"/>
    </sheetView>
  </sheetViews>
  <sheetFormatPr defaultRowHeight="15.95" customHeight="1" x14ac:dyDescent="0.25"/>
  <cols>
    <col min="1" max="1" width="29.7109375" style="212" customWidth="1"/>
    <col min="2" max="2" width="26.5703125" style="188" customWidth="1"/>
    <col min="3" max="12" width="9.7109375" style="188" customWidth="1"/>
    <col min="13" max="16384" width="9.140625" style="188"/>
  </cols>
  <sheetData>
    <row r="1" spans="1:12" ht="22.5" customHeight="1" x14ac:dyDescent="0.25">
      <c r="A1" s="1737" t="s">
        <v>1587</v>
      </c>
      <c r="B1" s="1735" t="s">
        <v>1585</v>
      </c>
      <c r="C1" s="1739" t="s">
        <v>1588</v>
      </c>
      <c r="D1" s="1740"/>
      <c r="E1" s="1740"/>
      <c r="F1" s="1740"/>
      <c r="G1" s="1740"/>
      <c r="H1" s="1740"/>
      <c r="I1" s="1740"/>
      <c r="J1" s="1740"/>
      <c r="K1" s="1740"/>
      <c r="L1" s="1741"/>
    </row>
    <row r="2" spans="1:12" ht="22.5" customHeight="1" thickBot="1" x14ac:dyDescent="0.3">
      <c r="A2" s="1738"/>
      <c r="B2" s="1736"/>
      <c r="C2" s="467" t="s">
        <v>1814</v>
      </c>
      <c r="D2" s="470" t="s">
        <v>1589</v>
      </c>
      <c r="E2" s="189" t="s">
        <v>1590</v>
      </c>
      <c r="F2" s="189" t="s">
        <v>3</v>
      </c>
      <c r="G2" s="189" t="s">
        <v>4</v>
      </c>
      <c r="H2" s="189" t="s">
        <v>0</v>
      </c>
      <c r="I2" s="189" t="s">
        <v>5</v>
      </c>
      <c r="J2" s="189" t="s">
        <v>260</v>
      </c>
      <c r="K2" s="189" t="s">
        <v>236</v>
      </c>
      <c r="L2" s="190" t="s">
        <v>25</v>
      </c>
    </row>
    <row r="3" spans="1:12" ht="15.95" customHeight="1" x14ac:dyDescent="0.25">
      <c r="A3" s="191" t="s">
        <v>1604</v>
      </c>
      <c r="B3" s="192">
        <v>8</v>
      </c>
      <c r="C3" s="193">
        <v>0.5</v>
      </c>
      <c r="D3" s="471">
        <v>0.5</v>
      </c>
      <c r="E3" s="194">
        <v>0.5</v>
      </c>
      <c r="F3" s="195">
        <v>0</v>
      </c>
      <c r="G3" s="195">
        <v>0</v>
      </c>
      <c r="H3" s="195">
        <v>0</v>
      </c>
      <c r="I3" s="195">
        <v>0</v>
      </c>
      <c r="J3" s="195">
        <v>0</v>
      </c>
      <c r="K3" s="195">
        <v>0</v>
      </c>
      <c r="L3" s="196">
        <v>0</v>
      </c>
    </row>
    <row r="4" spans="1:12" ht="15.95" customHeight="1" x14ac:dyDescent="0.25">
      <c r="A4" s="191" t="s">
        <v>1603</v>
      </c>
      <c r="B4" s="192">
        <v>9</v>
      </c>
      <c r="C4" s="193">
        <v>0.5</v>
      </c>
      <c r="D4" s="471">
        <v>0.5</v>
      </c>
      <c r="E4" s="194">
        <v>0.5</v>
      </c>
      <c r="F4" s="195">
        <v>0</v>
      </c>
      <c r="G4" s="195">
        <v>0</v>
      </c>
      <c r="H4" s="195">
        <v>0</v>
      </c>
      <c r="I4" s="195">
        <v>0</v>
      </c>
      <c r="J4" s="195">
        <v>0</v>
      </c>
      <c r="K4" s="195">
        <v>0</v>
      </c>
      <c r="L4" s="196">
        <v>0</v>
      </c>
    </row>
    <row r="5" spans="1:12" ht="15.95" customHeight="1" x14ac:dyDescent="0.25">
      <c r="A5" s="197" t="s">
        <v>1593</v>
      </c>
      <c r="B5" s="198">
        <v>2</v>
      </c>
      <c r="C5" s="199">
        <v>0.6</v>
      </c>
      <c r="D5" s="472">
        <v>0.6</v>
      </c>
      <c r="E5" s="200">
        <v>0.6</v>
      </c>
      <c r="F5" s="201">
        <v>0</v>
      </c>
      <c r="G5" s="201">
        <v>0</v>
      </c>
      <c r="H5" s="201">
        <v>0</v>
      </c>
      <c r="I5" s="201">
        <v>0</v>
      </c>
      <c r="J5" s="201">
        <v>0</v>
      </c>
      <c r="K5" s="200">
        <v>0.4</v>
      </c>
      <c r="L5" s="202">
        <v>0</v>
      </c>
    </row>
    <row r="6" spans="1:12" ht="15.95" customHeight="1" x14ac:dyDescent="0.25">
      <c r="A6" s="197" t="s">
        <v>1591</v>
      </c>
      <c r="B6" s="198">
        <v>1</v>
      </c>
      <c r="C6" s="199">
        <v>0.95</v>
      </c>
      <c r="D6" s="472">
        <v>0.95</v>
      </c>
      <c r="E6" s="200">
        <v>0.95</v>
      </c>
      <c r="F6" s="201">
        <v>0</v>
      </c>
      <c r="G6" s="201">
        <v>0</v>
      </c>
      <c r="H6" s="201">
        <v>0</v>
      </c>
      <c r="I6" s="201">
        <v>0</v>
      </c>
      <c r="J6" s="201">
        <v>0</v>
      </c>
      <c r="K6" s="200">
        <v>0.8</v>
      </c>
      <c r="L6" s="202">
        <v>0</v>
      </c>
    </row>
    <row r="7" spans="1:12" ht="15.95" customHeight="1" x14ac:dyDescent="0.25">
      <c r="A7" s="197" t="s">
        <v>1601</v>
      </c>
      <c r="B7" s="198">
        <v>3</v>
      </c>
      <c r="C7" s="199">
        <v>0.98</v>
      </c>
      <c r="D7" s="472">
        <v>0.98</v>
      </c>
      <c r="E7" s="200">
        <v>0.98</v>
      </c>
      <c r="F7" s="201">
        <v>0</v>
      </c>
      <c r="G7" s="201">
        <v>0</v>
      </c>
      <c r="H7" s="201">
        <v>0</v>
      </c>
      <c r="I7" s="201">
        <v>0</v>
      </c>
      <c r="J7" s="201">
        <v>0</v>
      </c>
      <c r="K7" s="200">
        <v>0.85</v>
      </c>
      <c r="L7" s="202">
        <v>0</v>
      </c>
    </row>
    <row r="8" spans="1:12" ht="15.95" customHeight="1" x14ac:dyDescent="0.25">
      <c r="A8" s="197" t="s">
        <v>1600</v>
      </c>
      <c r="B8" s="198">
        <v>12</v>
      </c>
      <c r="C8" s="203">
        <v>0</v>
      </c>
      <c r="D8" s="473">
        <v>0</v>
      </c>
      <c r="E8" s="201">
        <v>0</v>
      </c>
      <c r="F8" s="201">
        <v>0</v>
      </c>
      <c r="G8" s="201">
        <v>0</v>
      </c>
      <c r="H8" s="200">
        <v>0.9</v>
      </c>
      <c r="I8" s="201">
        <v>0</v>
      </c>
      <c r="J8" s="201">
        <v>0</v>
      </c>
      <c r="K8" s="201">
        <v>0</v>
      </c>
      <c r="L8" s="204">
        <v>0.9</v>
      </c>
    </row>
    <row r="9" spans="1:12" ht="15.95" customHeight="1" x14ac:dyDescent="0.25">
      <c r="A9" s="197" t="s">
        <v>1602</v>
      </c>
      <c r="B9" s="198">
        <v>10</v>
      </c>
      <c r="C9" s="199">
        <v>0.99</v>
      </c>
      <c r="D9" s="472">
        <v>0.99</v>
      </c>
      <c r="E9" s="200">
        <v>0.99</v>
      </c>
      <c r="F9" s="201">
        <v>0</v>
      </c>
      <c r="G9" s="201">
        <v>0</v>
      </c>
      <c r="H9" s="201">
        <v>0</v>
      </c>
      <c r="I9" s="201">
        <v>0</v>
      </c>
      <c r="J9" s="201">
        <v>0</v>
      </c>
      <c r="K9" s="200">
        <v>0.9</v>
      </c>
      <c r="L9" s="202">
        <v>0</v>
      </c>
    </row>
    <row r="10" spans="1:12" ht="15.95" customHeight="1" x14ac:dyDescent="0.25">
      <c r="A10" s="197" t="s">
        <v>1607</v>
      </c>
      <c r="B10" s="198">
        <v>7</v>
      </c>
      <c r="C10" s="199">
        <v>0.5</v>
      </c>
      <c r="D10" s="472">
        <v>0.5</v>
      </c>
      <c r="E10" s="200">
        <v>0.5</v>
      </c>
      <c r="F10" s="201">
        <v>0</v>
      </c>
      <c r="G10" s="201">
        <v>0</v>
      </c>
      <c r="H10" s="201">
        <v>0</v>
      </c>
      <c r="I10" s="201">
        <v>0</v>
      </c>
      <c r="J10" s="201">
        <v>0</v>
      </c>
      <c r="K10" s="201">
        <v>0</v>
      </c>
      <c r="L10" s="202">
        <v>0</v>
      </c>
    </row>
    <row r="11" spans="1:12" ht="15.95" customHeight="1" x14ac:dyDescent="0.25">
      <c r="A11" s="197" t="s">
        <v>1595</v>
      </c>
      <c r="B11" s="198">
        <v>999</v>
      </c>
      <c r="C11" s="203">
        <v>0</v>
      </c>
      <c r="D11" s="473">
        <v>0</v>
      </c>
      <c r="E11" s="201">
        <v>0</v>
      </c>
      <c r="F11" s="201">
        <v>0</v>
      </c>
      <c r="G11" s="201">
        <v>0</v>
      </c>
      <c r="H11" s="201">
        <v>0</v>
      </c>
      <c r="I11" s="201">
        <v>0</v>
      </c>
      <c r="J11" s="201">
        <v>0</v>
      </c>
      <c r="K11" s="201">
        <v>0</v>
      </c>
      <c r="L11" s="202">
        <v>0</v>
      </c>
    </row>
    <row r="12" spans="1:12" ht="15.95" customHeight="1" x14ac:dyDescent="0.25">
      <c r="A12" s="197" t="s">
        <v>1605</v>
      </c>
      <c r="B12" s="198">
        <v>5</v>
      </c>
      <c r="C12" s="199">
        <v>0.9</v>
      </c>
      <c r="D12" s="472">
        <v>0.9</v>
      </c>
      <c r="E12" s="200">
        <v>0.9</v>
      </c>
      <c r="F12" s="201">
        <v>0</v>
      </c>
      <c r="G12" s="201">
        <v>0</v>
      </c>
      <c r="H12" s="201">
        <v>0</v>
      </c>
      <c r="I12" s="201">
        <v>0</v>
      </c>
      <c r="J12" s="201">
        <v>0</v>
      </c>
      <c r="K12" s="201">
        <v>0</v>
      </c>
      <c r="L12" s="202">
        <v>0</v>
      </c>
    </row>
    <row r="13" spans="1:12" ht="15.95" customHeight="1" x14ac:dyDescent="0.25">
      <c r="A13" s="197" t="s">
        <v>1606</v>
      </c>
      <c r="B13" s="198">
        <v>4</v>
      </c>
      <c r="C13" s="199">
        <v>0.4</v>
      </c>
      <c r="D13" s="472">
        <v>0.4</v>
      </c>
      <c r="E13" s="200">
        <v>0.4</v>
      </c>
      <c r="F13" s="201">
        <v>0</v>
      </c>
      <c r="G13" s="201">
        <v>0</v>
      </c>
      <c r="H13" s="201">
        <v>0</v>
      </c>
      <c r="I13" s="201">
        <v>0</v>
      </c>
      <c r="J13" s="201">
        <v>0</v>
      </c>
      <c r="K13" s="201">
        <v>0</v>
      </c>
      <c r="L13" s="202">
        <v>0</v>
      </c>
    </row>
    <row r="14" spans="1:12" ht="15.95" customHeight="1" x14ac:dyDescent="0.25">
      <c r="A14" s="197" t="s">
        <v>1586</v>
      </c>
      <c r="B14" s="198">
        <v>13</v>
      </c>
      <c r="C14" s="203">
        <v>0</v>
      </c>
      <c r="D14" s="473">
        <v>0</v>
      </c>
      <c r="E14" s="201">
        <v>0</v>
      </c>
      <c r="F14" s="200">
        <v>0.65</v>
      </c>
      <c r="G14" s="201">
        <v>0</v>
      </c>
      <c r="H14" s="201">
        <v>0</v>
      </c>
      <c r="I14" s="201">
        <v>0</v>
      </c>
      <c r="J14" s="201">
        <v>0</v>
      </c>
      <c r="K14" s="201">
        <v>0</v>
      </c>
      <c r="L14" s="202">
        <v>0</v>
      </c>
    </row>
    <row r="15" spans="1:12" ht="15.95" customHeight="1" x14ac:dyDescent="0.25">
      <c r="A15" s="197" t="s">
        <v>1592</v>
      </c>
      <c r="B15" s="198">
        <v>11</v>
      </c>
      <c r="C15" s="203">
        <v>0</v>
      </c>
      <c r="D15" s="473">
        <v>0</v>
      </c>
      <c r="E15" s="201">
        <v>0</v>
      </c>
      <c r="F15" s="205">
        <v>0</v>
      </c>
      <c r="G15" s="201">
        <v>0</v>
      </c>
      <c r="H15" s="200">
        <v>0.95</v>
      </c>
      <c r="I15" s="201">
        <v>0</v>
      </c>
      <c r="J15" s="201">
        <v>0</v>
      </c>
      <c r="K15" s="201">
        <v>0</v>
      </c>
      <c r="L15" s="204">
        <v>0.95</v>
      </c>
    </row>
    <row r="16" spans="1:12" ht="15.95" customHeight="1" thickBot="1" x14ac:dyDescent="0.3">
      <c r="A16" s="206" t="s">
        <v>1594</v>
      </c>
      <c r="B16" s="207">
        <v>6</v>
      </c>
      <c r="C16" s="208">
        <v>0.5</v>
      </c>
      <c r="D16" s="474">
        <v>0.5</v>
      </c>
      <c r="E16" s="209">
        <v>0.5</v>
      </c>
      <c r="F16" s="210">
        <v>0</v>
      </c>
      <c r="G16" s="210">
        <v>0</v>
      </c>
      <c r="H16" s="210">
        <v>0</v>
      </c>
      <c r="I16" s="210">
        <v>0</v>
      </c>
      <c r="J16" s="210">
        <v>0</v>
      </c>
      <c r="K16" s="210">
        <v>0</v>
      </c>
      <c r="L16" s="211">
        <v>0</v>
      </c>
    </row>
    <row r="17" spans="1:12" ht="15.95" customHeight="1" thickBot="1" x14ac:dyDescent="0.3"/>
    <row r="18" spans="1:12" ht="22.5" customHeight="1" x14ac:dyDescent="0.25">
      <c r="A18" s="1735" t="s">
        <v>1585</v>
      </c>
      <c r="B18" s="1737" t="s">
        <v>1587</v>
      </c>
      <c r="C18" s="1739" t="s">
        <v>1588</v>
      </c>
      <c r="D18" s="1740"/>
      <c r="E18" s="1740"/>
      <c r="F18" s="1740"/>
      <c r="G18" s="1740"/>
      <c r="H18" s="1740"/>
      <c r="I18" s="1740"/>
      <c r="J18" s="1740"/>
      <c r="K18" s="1740"/>
      <c r="L18" s="1741"/>
    </row>
    <row r="19" spans="1:12" ht="22.5" customHeight="1" thickBot="1" x14ac:dyDescent="0.3">
      <c r="A19" s="1736"/>
      <c r="B19" s="1738"/>
      <c r="C19" s="467" t="s">
        <v>1814</v>
      </c>
      <c r="D19" s="470" t="s">
        <v>1589</v>
      </c>
      <c r="E19" s="189" t="s">
        <v>1590</v>
      </c>
      <c r="F19" s="189" t="s">
        <v>3</v>
      </c>
      <c r="G19" s="189" t="s">
        <v>4</v>
      </c>
      <c r="H19" s="189" t="s">
        <v>0</v>
      </c>
      <c r="I19" s="189" t="s">
        <v>5</v>
      </c>
      <c r="J19" s="189" t="s">
        <v>260</v>
      </c>
      <c r="K19" s="189" t="s">
        <v>236</v>
      </c>
      <c r="L19" s="190" t="s">
        <v>25</v>
      </c>
    </row>
    <row r="20" spans="1:12" ht="15.95" customHeight="1" x14ac:dyDescent="0.25">
      <c r="A20" s="192">
        <v>1</v>
      </c>
      <c r="B20" s="191" t="s">
        <v>1591</v>
      </c>
      <c r="C20" s="471">
        <v>0.95</v>
      </c>
      <c r="D20" s="471">
        <v>0.95</v>
      </c>
      <c r="E20" s="194">
        <v>0.95</v>
      </c>
      <c r="F20" s="195">
        <v>0</v>
      </c>
      <c r="G20" s="195">
        <v>0</v>
      </c>
      <c r="H20" s="195">
        <v>0</v>
      </c>
      <c r="I20" s="195">
        <v>0</v>
      </c>
      <c r="J20" s="195">
        <v>0</v>
      </c>
      <c r="K20" s="194">
        <v>0.8</v>
      </c>
      <c r="L20" s="196">
        <v>0</v>
      </c>
    </row>
    <row r="21" spans="1:12" ht="15.95" customHeight="1" x14ac:dyDescent="0.25">
      <c r="A21" s="192">
        <v>2</v>
      </c>
      <c r="B21" s="191" t="s">
        <v>1593</v>
      </c>
      <c r="C21" s="471">
        <v>0.6</v>
      </c>
      <c r="D21" s="471">
        <v>0.6</v>
      </c>
      <c r="E21" s="194">
        <v>0.6</v>
      </c>
      <c r="F21" s="195">
        <v>0</v>
      </c>
      <c r="G21" s="195">
        <v>0</v>
      </c>
      <c r="H21" s="195">
        <v>0</v>
      </c>
      <c r="I21" s="195">
        <v>0</v>
      </c>
      <c r="J21" s="195">
        <v>0</v>
      </c>
      <c r="K21" s="194">
        <v>0.4</v>
      </c>
      <c r="L21" s="196">
        <v>0</v>
      </c>
    </row>
    <row r="22" spans="1:12" ht="15.95" customHeight="1" x14ac:dyDescent="0.25">
      <c r="A22" s="198">
        <v>3</v>
      </c>
      <c r="B22" s="197" t="s">
        <v>1601</v>
      </c>
      <c r="C22" s="472">
        <v>0.98</v>
      </c>
      <c r="D22" s="472">
        <v>0.98</v>
      </c>
      <c r="E22" s="200">
        <v>0.98</v>
      </c>
      <c r="F22" s="201">
        <v>0</v>
      </c>
      <c r="G22" s="201">
        <v>0</v>
      </c>
      <c r="H22" s="201">
        <v>0</v>
      </c>
      <c r="I22" s="201">
        <v>0</v>
      </c>
      <c r="J22" s="201">
        <v>0</v>
      </c>
      <c r="K22" s="200">
        <v>0.85</v>
      </c>
      <c r="L22" s="202">
        <v>0</v>
      </c>
    </row>
    <row r="23" spans="1:12" ht="15.95" customHeight="1" x14ac:dyDescent="0.25">
      <c r="A23" s="198">
        <v>4</v>
      </c>
      <c r="B23" s="197" t="s">
        <v>1606</v>
      </c>
      <c r="C23" s="472">
        <v>0.4</v>
      </c>
      <c r="D23" s="472">
        <v>0.4</v>
      </c>
      <c r="E23" s="200">
        <v>0.4</v>
      </c>
      <c r="F23" s="201">
        <v>0</v>
      </c>
      <c r="G23" s="201">
        <v>0</v>
      </c>
      <c r="H23" s="201">
        <v>0</v>
      </c>
      <c r="I23" s="201">
        <v>0</v>
      </c>
      <c r="J23" s="201">
        <v>0</v>
      </c>
      <c r="K23" s="201">
        <v>0</v>
      </c>
      <c r="L23" s="202">
        <v>0</v>
      </c>
    </row>
    <row r="24" spans="1:12" ht="15.95" customHeight="1" x14ac:dyDescent="0.25">
      <c r="A24" s="198">
        <v>5</v>
      </c>
      <c r="B24" s="197" t="s">
        <v>1605</v>
      </c>
      <c r="C24" s="472">
        <v>0.9</v>
      </c>
      <c r="D24" s="472">
        <v>0.9</v>
      </c>
      <c r="E24" s="200">
        <v>0.9</v>
      </c>
      <c r="F24" s="201">
        <v>0</v>
      </c>
      <c r="G24" s="201">
        <v>0</v>
      </c>
      <c r="H24" s="201">
        <v>0</v>
      </c>
      <c r="I24" s="201">
        <v>0</v>
      </c>
      <c r="J24" s="201">
        <v>0</v>
      </c>
      <c r="K24" s="201">
        <v>0</v>
      </c>
      <c r="L24" s="202">
        <v>0</v>
      </c>
    </row>
    <row r="25" spans="1:12" ht="15.95" customHeight="1" x14ac:dyDescent="0.25">
      <c r="A25" s="198">
        <v>6</v>
      </c>
      <c r="B25" s="197" t="s">
        <v>1594</v>
      </c>
      <c r="C25" s="472">
        <v>0.5</v>
      </c>
      <c r="D25" s="472">
        <v>0.5</v>
      </c>
      <c r="E25" s="200">
        <v>0.5</v>
      </c>
      <c r="F25" s="201">
        <v>0</v>
      </c>
      <c r="G25" s="201">
        <v>0</v>
      </c>
      <c r="H25" s="201">
        <v>0</v>
      </c>
      <c r="I25" s="201">
        <v>0</v>
      </c>
      <c r="J25" s="201">
        <v>0</v>
      </c>
      <c r="K25" s="201">
        <v>0</v>
      </c>
      <c r="L25" s="202">
        <v>0</v>
      </c>
    </row>
    <row r="26" spans="1:12" ht="15.95" customHeight="1" x14ac:dyDescent="0.25">
      <c r="A26" s="198">
        <v>7</v>
      </c>
      <c r="B26" s="197" t="s">
        <v>1607</v>
      </c>
      <c r="C26" s="472">
        <v>0.5</v>
      </c>
      <c r="D26" s="472">
        <v>0.5</v>
      </c>
      <c r="E26" s="200">
        <v>0.5</v>
      </c>
      <c r="F26" s="201">
        <v>0</v>
      </c>
      <c r="G26" s="201">
        <v>0</v>
      </c>
      <c r="H26" s="201">
        <v>0</v>
      </c>
      <c r="I26" s="201">
        <v>0</v>
      </c>
      <c r="J26" s="201">
        <v>0</v>
      </c>
      <c r="K26" s="201">
        <v>0</v>
      </c>
      <c r="L26" s="202">
        <v>0</v>
      </c>
    </row>
    <row r="27" spans="1:12" ht="15.95" customHeight="1" x14ac:dyDescent="0.25">
      <c r="A27" s="198">
        <v>8</v>
      </c>
      <c r="B27" s="197" t="s">
        <v>1604</v>
      </c>
      <c r="C27" s="472">
        <v>0.5</v>
      </c>
      <c r="D27" s="472">
        <v>0.5</v>
      </c>
      <c r="E27" s="200">
        <v>0.5</v>
      </c>
      <c r="F27" s="201">
        <v>0</v>
      </c>
      <c r="G27" s="201">
        <v>0</v>
      </c>
      <c r="H27" s="201">
        <v>0</v>
      </c>
      <c r="I27" s="201">
        <v>0</v>
      </c>
      <c r="J27" s="201">
        <v>0</v>
      </c>
      <c r="K27" s="201">
        <v>0</v>
      </c>
      <c r="L27" s="202">
        <v>0</v>
      </c>
    </row>
    <row r="28" spans="1:12" ht="15.95" customHeight="1" x14ac:dyDescent="0.25">
      <c r="A28" s="198">
        <v>9</v>
      </c>
      <c r="B28" s="197" t="s">
        <v>1603</v>
      </c>
      <c r="C28" s="472">
        <v>0.5</v>
      </c>
      <c r="D28" s="472">
        <v>0.5</v>
      </c>
      <c r="E28" s="200">
        <v>0.5</v>
      </c>
      <c r="F28" s="201">
        <v>0</v>
      </c>
      <c r="G28" s="201">
        <v>0</v>
      </c>
      <c r="H28" s="201">
        <v>0</v>
      </c>
      <c r="I28" s="201">
        <v>0</v>
      </c>
      <c r="J28" s="201">
        <v>0</v>
      </c>
      <c r="K28" s="201">
        <v>0</v>
      </c>
      <c r="L28" s="202">
        <v>0</v>
      </c>
    </row>
    <row r="29" spans="1:12" ht="15.95" customHeight="1" x14ac:dyDescent="0.25">
      <c r="A29" s="198">
        <v>10</v>
      </c>
      <c r="B29" s="197" t="s">
        <v>1602</v>
      </c>
      <c r="C29" s="472">
        <v>0.99</v>
      </c>
      <c r="D29" s="472">
        <v>0.99</v>
      </c>
      <c r="E29" s="200">
        <v>0.99</v>
      </c>
      <c r="F29" s="201">
        <v>0</v>
      </c>
      <c r="G29" s="201">
        <v>0</v>
      </c>
      <c r="H29" s="201">
        <v>0</v>
      </c>
      <c r="I29" s="201">
        <v>0</v>
      </c>
      <c r="J29" s="201">
        <v>0</v>
      </c>
      <c r="K29" s="200">
        <v>0.9</v>
      </c>
      <c r="L29" s="202">
        <v>0</v>
      </c>
    </row>
    <row r="30" spans="1:12" ht="15.95" customHeight="1" x14ac:dyDescent="0.25">
      <c r="A30" s="198">
        <v>11</v>
      </c>
      <c r="B30" s="197" t="s">
        <v>1592</v>
      </c>
      <c r="C30" s="473">
        <v>0</v>
      </c>
      <c r="D30" s="473">
        <v>0</v>
      </c>
      <c r="E30" s="201">
        <v>0</v>
      </c>
      <c r="F30" s="205">
        <v>0</v>
      </c>
      <c r="G30" s="201">
        <v>0</v>
      </c>
      <c r="H30" s="200">
        <v>0.95</v>
      </c>
      <c r="I30" s="201">
        <v>0</v>
      </c>
      <c r="J30" s="201">
        <v>0</v>
      </c>
      <c r="K30" s="201">
        <v>0</v>
      </c>
      <c r="L30" s="204">
        <v>0.95</v>
      </c>
    </row>
    <row r="31" spans="1:12" ht="15.95" customHeight="1" x14ac:dyDescent="0.25">
      <c r="A31" s="198">
        <v>12</v>
      </c>
      <c r="B31" s="197" t="s">
        <v>1600</v>
      </c>
      <c r="C31" s="473">
        <v>0</v>
      </c>
      <c r="D31" s="473">
        <v>0</v>
      </c>
      <c r="E31" s="201">
        <v>0</v>
      </c>
      <c r="F31" s="201">
        <v>0</v>
      </c>
      <c r="G31" s="201">
        <v>0</v>
      </c>
      <c r="H31" s="200">
        <v>0.9</v>
      </c>
      <c r="I31" s="201">
        <v>0</v>
      </c>
      <c r="J31" s="201">
        <v>0</v>
      </c>
      <c r="K31" s="201">
        <v>0</v>
      </c>
      <c r="L31" s="204">
        <v>0.9</v>
      </c>
    </row>
    <row r="32" spans="1:12" ht="15.95" customHeight="1" x14ac:dyDescent="0.25">
      <c r="A32" s="198">
        <v>13</v>
      </c>
      <c r="B32" s="197" t="s">
        <v>1586</v>
      </c>
      <c r="C32" s="473">
        <v>0</v>
      </c>
      <c r="D32" s="473">
        <v>0</v>
      </c>
      <c r="E32" s="201">
        <v>0</v>
      </c>
      <c r="F32" s="200">
        <v>0.65</v>
      </c>
      <c r="G32" s="201">
        <v>0</v>
      </c>
      <c r="H32" s="201">
        <v>0</v>
      </c>
      <c r="I32" s="201">
        <v>0</v>
      </c>
      <c r="J32" s="201">
        <v>0</v>
      </c>
      <c r="K32" s="201">
        <v>0</v>
      </c>
      <c r="L32" s="202">
        <v>0</v>
      </c>
    </row>
    <row r="33" spans="1:12" ht="15.95" customHeight="1" thickBot="1" x14ac:dyDescent="0.3">
      <c r="A33" s="207">
        <v>999</v>
      </c>
      <c r="B33" s="206" t="s">
        <v>1595</v>
      </c>
      <c r="C33" s="475">
        <v>0</v>
      </c>
      <c r="D33" s="475">
        <v>0</v>
      </c>
      <c r="E33" s="210">
        <v>0</v>
      </c>
      <c r="F33" s="210">
        <v>0</v>
      </c>
      <c r="G33" s="210">
        <v>0</v>
      </c>
      <c r="H33" s="210">
        <v>0</v>
      </c>
      <c r="I33" s="210">
        <v>0</v>
      </c>
      <c r="J33" s="210">
        <v>0</v>
      </c>
      <c r="K33" s="210">
        <v>0</v>
      </c>
      <c r="L33" s="211">
        <v>0</v>
      </c>
    </row>
  </sheetData>
  <sheetProtection password="CCBE" sheet="1" objects="1" scenarios="1"/>
  <sortState xmlns:xlrd2="http://schemas.microsoft.com/office/spreadsheetml/2017/richdata2" ref="A20:K33">
    <sortCondition ref="A20"/>
  </sortState>
  <mergeCells count="6">
    <mergeCell ref="B1:B2"/>
    <mergeCell ref="A1:A2"/>
    <mergeCell ref="B18:B19"/>
    <mergeCell ref="A18:A19"/>
    <mergeCell ref="C1:L1"/>
    <mergeCell ref="C18:L18"/>
  </mergeCells>
  <conditionalFormatting sqref="C3:L16">
    <cfRule type="cellIs" dxfId="1" priority="11" operator="equal">
      <formula>0</formula>
    </cfRule>
  </conditionalFormatting>
  <conditionalFormatting sqref="C20:L33">
    <cfRule type="cellIs" dxfId="0" priority="1" operator="equal">
      <formula>0</formula>
    </cfRule>
  </conditionalFormatting>
  <pageMargins left="0.7" right="0.7" top="0.75" bottom="0.75" header="0.3" footer="0.3"/>
  <pageSetup scale="79"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2060"/>
    <pageSetUpPr fitToPage="1"/>
  </sheetPr>
  <dimension ref="A1:Z143"/>
  <sheetViews>
    <sheetView showGridLines="0" zoomScaleNormal="100" workbookViewId="0">
      <selection sqref="A1:E1"/>
    </sheetView>
  </sheetViews>
  <sheetFormatPr defaultRowHeight="15" x14ac:dyDescent="0.25"/>
  <cols>
    <col min="1" max="2" width="15.7109375" style="64" customWidth="1"/>
    <col min="3" max="3" width="25.7109375" style="64" customWidth="1"/>
    <col min="4" max="5" width="58.7109375" style="64" customWidth="1"/>
    <col min="6" max="6" width="32.28515625" style="64" customWidth="1"/>
    <col min="7" max="11" width="9.140625" style="64"/>
    <col min="12" max="12" width="20.28515625" style="64" customWidth="1"/>
    <col min="13" max="14" width="9.140625" style="64"/>
    <col min="15" max="15" width="27" style="64" customWidth="1"/>
    <col min="16" max="16" width="28.140625" style="64" customWidth="1"/>
    <col min="17" max="17" width="14.5703125" style="64" customWidth="1"/>
    <col min="18" max="19" width="16.7109375" style="541" customWidth="1"/>
    <col min="20" max="20" width="16.7109375" style="64" customWidth="1"/>
    <col min="21" max="21" width="19.28515625" style="64" bestFit="1" customWidth="1"/>
    <col min="22" max="22" width="26.5703125" style="64" customWidth="1"/>
    <col min="23" max="24" width="15.85546875" style="64" customWidth="1"/>
    <col min="25" max="25" width="22.28515625" style="64" bestFit="1" customWidth="1"/>
    <col min="26" max="26" width="13.85546875" style="64" bestFit="1" customWidth="1"/>
    <col min="27" max="16384" width="9.140625" style="64"/>
  </cols>
  <sheetData>
    <row r="1" spans="1:26" s="69" customFormat="1" ht="26.25" customHeight="1" thickBot="1" x14ac:dyDescent="0.3">
      <c r="A1" s="1188" t="s">
        <v>1728</v>
      </c>
      <c r="B1" s="1188"/>
      <c r="C1" s="1188"/>
      <c r="D1" s="1188"/>
      <c r="E1" s="1188"/>
      <c r="R1" s="139"/>
      <c r="S1" s="139"/>
    </row>
    <row r="2" spans="1:26" s="68" customFormat="1" ht="30" customHeight="1" thickBot="1" x14ac:dyDescent="0.3">
      <c r="A2" s="1187" t="s">
        <v>1911</v>
      </c>
      <c r="B2" s="1187"/>
      <c r="C2" s="1187"/>
      <c r="D2" s="1187"/>
      <c r="E2" s="1187"/>
      <c r="N2" s="751" t="s">
        <v>2378</v>
      </c>
      <c r="O2" s="752" t="s">
        <v>2168</v>
      </c>
      <c r="P2" s="753" t="s">
        <v>2169</v>
      </c>
      <c r="Q2" s="539" t="s">
        <v>2189</v>
      </c>
      <c r="R2" s="757" t="s">
        <v>2266</v>
      </c>
      <c r="S2" s="758" t="s">
        <v>2266</v>
      </c>
      <c r="T2" s="759" t="s">
        <v>2373</v>
      </c>
      <c r="U2" s="759" t="s">
        <v>1513</v>
      </c>
      <c r="V2" s="759" t="s">
        <v>2415</v>
      </c>
      <c r="W2" s="760" t="s">
        <v>2370</v>
      </c>
      <c r="X2" s="715"/>
      <c r="Y2" s="757" t="s">
        <v>2377</v>
      </c>
      <c r="Z2" s="789" t="s">
        <v>2379</v>
      </c>
    </row>
    <row r="3" spans="1:26" s="68" customFormat="1" ht="27" customHeight="1" x14ac:dyDescent="0.25">
      <c r="A3" s="538">
        <v>1</v>
      </c>
      <c r="B3" s="1195" t="s">
        <v>2369</v>
      </c>
      <c r="C3" s="1195"/>
      <c r="D3" s="1196"/>
      <c r="E3" s="542"/>
      <c r="F3" s="577"/>
      <c r="N3" s="749">
        <v>0</v>
      </c>
      <c r="O3" s="747" t="s">
        <v>1913</v>
      </c>
      <c r="P3" s="743" t="s">
        <v>2190</v>
      </c>
      <c r="Q3" s="771">
        <v>20200102</v>
      </c>
      <c r="R3" s="743" t="s">
        <v>2371</v>
      </c>
      <c r="S3" s="66" t="s">
        <v>2371</v>
      </c>
      <c r="T3" s="66"/>
      <c r="U3" s="66" t="s">
        <v>1435</v>
      </c>
      <c r="V3" s="684" t="str">
        <f>S3&amp;" - "&amp;U3</f>
        <v>Batch Mix Plant - Natural Gas</v>
      </c>
      <c r="W3" s="744">
        <v>30500245</v>
      </c>
      <c r="X3" s="66"/>
      <c r="Y3" s="743" t="s">
        <v>1435</v>
      </c>
      <c r="Z3" s="744">
        <v>30500206</v>
      </c>
    </row>
    <row r="4" spans="1:26" s="68" customFormat="1" ht="33" customHeight="1" x14ac:dyDescent="0.25">
      <c r="A4" s="538">
        <v>2</v>
      </c>
      <c r="B4" s="1187" t="s">
        <v>2432</v>
      </c>
      <c r="C4" s="1195"/>
      <c r="D4" s="1196"/>
      <c r="E4" s="683"/>
      <c r="F4" s="577"/>
      <c r="I4" s="546" t="b">
        <v>0</v>
      </c>
      <c r="J4" s="546" t="b">
        <v>0</v>
      </c>
      <c r="K4" s="68" t="b">
        <f>IF(OR(AND(I4=FALSE,J4=FALSE),AND(I4=TRUE,J4=TRUE)),FALSE,TRUE)</f>
        <v>0</v>
      </c>
      <c r="N4" s="749">
        <v>1</v>
      </c>
      <c r="O4" s="747" t="s">
        <v>1914</v>
      </c>
      <c r="P4" s="743" t="s">
        <v>2191</v>
      </c>
      <c r="Q4" s="771">
        <v>20200401</v>
      </c>
      <c r="R4" s="743" t="s">
        <v>2372</v>
      </c>
      <c r="S4" s="66" t="s">
        <v>2371</v>
      </c>
      <c r="T4" s="66"/>
      <c r="U4" s="66" t="s">
        <v>2376</v>
      </c>
      <c r="V4" s="684" t="str">
        <f>S4&amp;" - "&amp;U4</f>
        <v>Batch Mix Plant - #2 Fuel Oil</v>
      </c>
      <c r="W4" s="744">
        <v>30500246</v>
      </c>
      <c r="X4" s="66"/>
      <c r="Y4" s="743" t="s">
        <v>2451</v>
      </c>
      <c r="Z4" s="744">
        <v>30500207</v>
      </c>
    </row>
    <row r="5" spans="1:26" s="68" customFormat="1" ht="33" customHeight="1" x14ac:dyDescent="0.25">
      <c r="A5" s="538">
        <v>3</v>
      </c>
      <c r="B5" s="1187" t="s">
        <v>2404</v>
      </c>
      <c r="C5" s="1195"/>
      <c r="D5" s="1196"/>
      <c r="E5" s="543"/>
      <c r="F5" s="92" t="str">
        <f>IF(AND(J5=TRUE,K5=TRUE,ISNUMBER(E5)),"&lt;&lt;&lt; Remove value from box.","")</f>
        <v/>
      </c>
      <c r="I5" s="546" t="b">
        <v>0</v>
      </c>
      <c r="J5" s="546" t="b">
        <v>0</v>
      </c>
      <c r="K5" s="68" t="b">
        <f>IF(OR(AND(I5=FALSE,J5=FALSE),AND(I5=TRUE,J5=TRUE)),FALSE,TRUE)</f>
        <v>0</v>
      </c>
      <c r="N5" s="749">
        <v>2</v>
      </c>
      <c r="O5" s="748" t="s">
        <v>1915</v>
      </c>
      <c r="P5" s="743" t="s">
        <v>2170</v>
      </c>
      <c r="Q5" s="771">
        <v>20200301</v>
      </c>
      <c r="R5" s="743"/>
      <c r="S5" s="66" t="s">
        <v>2371</v>
      </c>
      <c r="T5" s="66"/>
      <c r="U5" s="66" t="s">
        <v>2451</v>
      </c>
      <c r="V5" s="684" t="str">
        <f>S5&amp;" - "&amp;U5</f>
        <v>Batch Mix Plant - #6 Oil</v>
      </c>
      <c r="W5" s="744">
        <v>30500247</v>
      </c>
      <c r="X5" s="66"/>
      <c r="Y5" s="743" t="s">
        <v>2036</v>
      </c>
      <c r="Z5" s="744">
        <v>30500208</v>
      </c>
    </row>
    <row r="6" spans="1:26" s="68" customFormat="1" ht="33" customHeight="1" x14ac:dyDescent="0.25">
      <c r="A6" s="538">
        <v>4</v>
      </c>
      <c r="B6" s="1187" t="s">
        <v>2368</v>
      </c>
      <c r="C6" s="1195"/>
      <c r="D6" s="1196"/>
      <c r="E6" s="543"/>
      <c r="F6" s="92" t="str">
        <f>IF(AND(J6=TRUE,K6=TRUE,ISNUMBER(E6)),"&lt;&lt;&lt; Remove value from box.","")</f>
        <v/>
      </c>
      <c r="I6" s="546" t="b">
        <v>0</v>
      </c>
      <c r="J6" s="546" t="b">
        <v>0</v>
      </c>
      <c r="K6" s="68" t="b">
        <f>IF(OR(AND(I6=FALSE,J6=FALSE),AND(I6=TRUE,J6=TRUE)),FALSE,TRUE)</f>
        <v>0</v>
      </c>
      <c r="N6" s="749">
        <v>3</v>
      </c>
      <c r="O6" s="756"/>
      <c r="P6" s="767" t="s">
        <v>2192</v>
      </c>
      <c r="Q6" s="772">
        <v>20200253</v>
      </c>
      <c r="R6" s="761"/>
      <c r="S6" s="66" t="s">
        <v>2372</v>
      </c>
      <c r="T6" s="66" t="s">
        <v>2374</v>
      </c>
      <c r="U6" s="66" t="s">
        <v>1435</v>
      </c>
      <c r="V6" s="684" t="str">
        <f>S6&amp;" - "&amp;T6&amp;" - "&amp;U6</f>
        <v>Drum Mix Plant - Parallel Flow - Natural Gas</v>
      </c>
      <c r="W6" s="744">
        <v>30500256</v>
      </c>
      <c r="X6" s="66"/>
      <c r="Y6" s="745" t="s">
        <v>2381</v>
      </c>
      <c r="Z6" s="746">
        <v>30500209</v>
      </c>
    </row>
    <row r="7" spans="1:26" s="68" customFormat="1" ht="27" customHeight="1" thickBot="1" x14ac:dyDescent="0.3">
      <c r="A7" s="538">
        <v>5</v>
      </c>
      <c r="B7" s="1195" t="s">
        <v>1912</v>
      </c>
      <c r="C7" s="1195"/>
      <c r="D7" s="1196"/>
      <c r="E7" s="543"/>
      <c r="F7" s="577"/>
      <c r="N7" s="750">
        <v>4</v>
      </c>
      <c r="O7" s="756"/>
      <c r="P7" s="768" t="s">
        <v>2193</v>
      </c>
      <c r="Q7" s="773">
        <v>20200254</v>
      </c>
      <c r="R7" s="761"/>
      <c r="S7" s="66" t="s">
        <v>2372</v>
      </c>
      <c r="T7" s="66" t="s">
        <v>2374</v>
      </c>
      <c r="U7" s="66" t="s">
        <v>2376</v>
      </c>
      <c r="V7" s="684" t="str">
        <f t="shared" ref="V7:V11" si="0">S7&amp;" - "&amp;T7&amp;" - "&amp;U7</f>
        <v>Drum Mix Plant - Parallel Flow - #2 Fuel Oil</v>
      </c>
      <c r="W7" s="744">
        <v>30500259</v>
      </c>
      <c r="X7" s="66"/>
    </row>
    <row r="8" spans="1:26" s="68" customFormat="1" ht="33" customHeight="1" thickBot="1" x14ac:dyDescent="0.3">
      <c r="A8" s="538">
        <v>6</v>
      </c>
      <c r="B8" s="1187" t="s">
        <v>2037</v>
      </c>
      <c r="C8" s="1187"/>
      <c r="D8" s="1200"/>
      <c r="E8" s="576" t="str">
        <f>IF(AND(I8=TRUE,K8=TRUE),"Continue to additional instructions for Miscellaneous Emission Units below.",IF(AND(J8=TRUE,K8=TRUE),"Continue and complete Table 3-A below.",""))</f>
        <v/>
      </c>
      <c r="F8" s="92" t="str">
        <f>IF(AND(I8=TRUE,J8=TRUE),"&lt;&lt;&lt; Too many boxes checked!","")</f>
        <v/>
      </c>
      <c r="I8" s="546" t="b">
        <v>0</v>
      </c>
      <c r="J8" s="546" t="b">
        <v>0</v>
      </c>
      <c r="K8" s="68" t="b">
        <f>IF(OR(AND(I8=FALSE,J8=FALSE),AND(I8=TRUE,J8=TRUE)),FALSE,TRUE)</f>
        <v>0</v>
      </c>
      <c r="R8" s="761"/>
      <c r="S8" s="66" t="s">
        <v>2372</v>
      </c>
      <c r="T8" s="66" t="s">
        <v>2374</v>
      </c>
      <c r="U8" s="66" t="s">
        <v>2451</v>
      </c>
      <c r="V8" s="684" t="str">
        <f t="shared" si="0"/>
        <v>Drum Mix Plant - Parallel Flow - #6 Oil</v>
      </c>
      <c r="W8" s="744">
        <v>30500262</v>
      </c>
      <c r="X8" s="66"/>
    </row>
    <row r="9" spans="1:26" s="68" customFormat="1" ht="14.1" customHeight="1" x14ac:dyDescent="0.25">
      <c r="A9" s="78"/>
      <c r="B9" s="78"/>
      <c r="C9" s="78"/>
      <c r="D9" s="78"/>
      <c r="E9" s="78"/>
      <c r="R9" s="743"/>
      <c r="S9" s="66" t="s">
        <v>2372</v>
      </c>
      <c r="T9" s="66" t="s">
        <v>2375</v>
      </c>
      <c r="U9" s="66" t="s">
        <v>1435</v>
      </c>
      <c r="V9" s="684" t="str">
        <f t="shared" si="0"/>
        <v>Drum Mix Plant - Counter Flow - Natural Gas</v>
      </c>
      <c r="W9" s="744">
        <v>30500257</v>
      </c>
      <c r="X9" s="66"/>
    </row>
    <row r="10" spans="1:26" s="160" customFormat="1" ht="64.5" customHeight="1" x14ac:dyDescent="0.25">
      <c r="A10" s="1197" t="s">
        <v>1920</v>
      </c>
      <c r="B10" s="1197"/>
      <c r="C10" s="1197"/>
      <c r="D10" s="1197"/>
      <c r="E10" s="1197"/>
      <c r="R10" s="762"/>
      <c r="S10" s="165" t="s">
        <v>2372</v>
      </c>
      <c r="T10" s="165" t="s">
        <v>2375</v>
      </c>
      <c r="U10" s="165" t="s">
        <v>2376</v>
      </c>
      <c r="V10" s="769" t="str">
        <f t="shared" si="0"/>
        <v>Drum Mix Plant - Counter Flow - #2 Fuel Oil</v>
      </c>
      <c r="W10" s="763">
        <v>30500260</v>
      </c>
      <c r="X10" s="165"/>
    </row>
    <row r="11" spans="1:26" s="68" customFormat="1" ht="33" customHeight="1" thickBot="1" x14ac:dyDescent="0.3">
      <c r="A11" s="1198" t="s">
        <v>2032</v>
      </c>
      <c r="B11" s="1199"/>
      <c r="C11" s="1199"/>
      <c r="D11" s="1199"/>
      <c r="E11" s="1199"/>
      <c r="N11" s="162"/>
      <c r="O11" s="162"/>
      <c r="P11" s="162"/>
      <c r="Q11" s="162"/>
      <c r="R11" s="764"/>
      <c r="S11" s="765" t="s">
        <v>2372</v>
      </c>
      <c r="T11" s="765" t="s">
        <v>2375</v>
      </c>
      <c r="U11" s="765" t="s">
        <v>2451</v>
      </c>
      <c r="V11" s="770" t="str">
        <f t="shared" si="0"/>
        <v>Drum Mix Plant - Counter Flow - #6 Oil</v>
      </c>
      <c r="W11" s="766">
        <v>30500263</v>
      </c>
    </row>
    <row r="12" spans="1:26" s="68" customFormat="1" ht="135" customHeight="1" thickBot="1" x14ac:dyDescent="0.3">
      <c r="A12" s="1207" t="s">
        <v>2171</v>
      </c>
      <c r="B12" s="1207"/>
      <c r="C12" s="1207"/>
      <c r="D12" s="1207"/>
      <c r="E12" s="1207"/>
      <c r="R12" s="66"/>
      <c r="S12" s="66"/>
    </row>
    <row r="13" spans="1:26" s="68" customFormat="1" ht="18" customHeight="1" thickBot="1" x14ac:dyDescent="0.3">
      <c r="A13" s="1189" t="s">
        <v>264</v>
      </c>
      <c r="B13" s="1190"/>
      <c r="C13" s="1191" t="s">
        <v>269</v>
      </c>
      <c r="D13" s="1193" t="s">
        <v>267</v>
      </c>
      <c r="E13" s="1193" t="s">
        <v>268</v>
      </c>
      <c r="R13" s="66"/>
      <c r="S13" s="66"/>
    </row>
    <row r="14" spans="1:26" s="68" customFormat="1" ht="18" customHeight="1" thickBot="1" x14ac:dyDescent="0.3">
      <c r="A14" s="624" t="s">
        <v>265</v>
      </c>
      <c r="B14" s="98" t="s">
        <v>266</v>
      </c>
      <c r="C14" s="1192"/>
      <c r="D14" s="1194"/>
      <c r="E14" s="1194"/>
      <c r="R14" s="66"/>
      <c r="S14" s="66"/>
    </row>
    <row r="15" spans="1:26" s="78" customFormat="1" ht="18" customHeight="1" x14ac:dyDescent="0.25">
      <c r="A15" s="1204" t="s">
        <v>1917</v>
      </c>
      <c r="B15" s="1205"/>
      <c r="C15" s="1205"/>
      <c r="D15" s="1205"/>
      <c r="E15" s="1206"/>
      <c r="R15" s="539"/>
      <c r="S15" s="539"/>
    </row>
    <row r="16" spans="1:26" s="78" customFormat="1" ht="18" customHeight="1" x14ac:dyDescent="0.25">
      <c r="A16" s="247">
        <v>4</v>
      </c>
      <c r="B16" s="247">
        <v>1</v>
      </c>
      <c r="C16" s="248">
        <v>20100102</v>
      </c>
      <c r="D16" s="544" t="s">
        <v>2034</v>
      </c>
      <c r="E16" s="544" t="s">
        <v>2033</v>
      </c>
      <c r="R16" s="539"/>
      <c r="S16" s="539"/>
    </row>
    <row r="17" spans="1:19" s="249" customFormat="1" ht="18" customHeight="1" x14ac:dyDescent="0.25">
      <c r="A17" s="247">
        <v>5</v>
      </c>
      <c r="B17" s="247">
        <v>1</v>
      </c>
      <c r="C17" s="248">
        <v>10200602</v>
      </c>
      <c r="D17" s="544" t="s">
        <v>2035</v>
      </c>
      <c r="E17" s="544" t="s">
        <v>1435</v>
      </c>
      <c r="F17" s="78"/>
      <c r="G17" s="78"/>
      <c r="H17" s="78"/>
      <c r="I17" s="78"/>
      <c r="J17" s="78"/>
      <c r="K17" s="78"/>
      <c r="R17" s="540"/>
      <c r="S17" s="540"/>
    </row>
    <row r="18" spans="1:19" s="249" customFormat="1" ht="18" customHeight="1" x14ac:dyDescent="0.25">
      <c r="A18" s="247">
        <v>5</v>
      </c>
      <c r="B18" s="247">
        <v>2</v>
      </c>
      <c r="C18" s="248">
        <v>10200501</v>
      </c>
      <c r="D18" s="544" t="s">
        <v>2035</v>
      </c>
      <c r="E18" s="544" t="s">
        <v>2036</v>
      </c>
      <c r="R18" s="540"/>
      <c r="S18" s="540"/>
    </row>
    <row r="19" spans="1:19" s="249" customFormat="1" ht="18" customHeight="1" x14ac:dyDescent="0.25">
      <c r="A19" s="247">
        <v>6</v>
      </c>
      <c r="B19" s="247">
        <v>1</v>
      </c>
      <c r="C19" s="248">
        <v>40400204</v>
      </c>
      <c r="D19" s="544" t="s">
        <v>2040</v>
      </c>
      <c r="E19" s="544" t="s">
        <v>2038</v>
      </c>
      <c r="R19" s="540"/>
      <c r="S19" s="540"/>
    </row>
    <row r="20" spans="1:19" s="249" customFormat="1" ht="18" customHeight="1" x14ac:dyDescent="0.25">
      <c r="A20" s="247">
        <v>6</v>
      </c>
      <c r="B20" s="247">
        <v>2</v>
      </c>
      <c r="C20" s="248">
        <v>40400107</v>
      </c>
      <c r="D20" s="544" t="s">
        <v>2040</v>
      </c>
      <c r="E20" s="544" t="s">
        <v>2039</v>
      </c>
      <c r="R20" s="540"/>
      <c r="S20" s="540"/>
    </row>
    <row r="21" spans="1:19" s="78" customFormat="1" ht="18" customHeight="1" x14ac:dyDescent="0.25">
      <c r="A21" s="247"/>
      <c r="B21" s="247"/>
      <c r="C21" s="248"/>
      <c r="D21" s="544"/>
      <c r="E21" s="544"/>
      <c r="R21" s="539"/>
      <c r="S21" s="539"/>
    </row>
    <row r="22" spans="1:19" s="68" customFormat="1" ht="35.1" customHeight="1" thickBot="1" x14ac:dyDescent="0.3">
      <c r="A22" s="1209" t="s">
        <v>1853</v>
      </c>
      <c r="B22" s="1209"/>
      <c r="C22" s="1209"/>
      <c r="D22" s="1209"/>
      <c r="E22" s="1209"/>
      <c r="R22" s="66"/>
      <c r="S22" s="66"/>
    </row>
    <row r="23" spans="1:19" s="77" customFormat="1" ht="19.5" thickBot="1" x14ac:dyDescent="0.3">
      <c r="A23" s="1208" t="s">
        <v>1449</v>
      </c>
      <c r="B23" s="1208"/>
      <c r="C23" s="1208"/>
      <c r="D23" s="1208"/>
      <c r="E23" s="1208"/>
      <c r="R23" s="141"/>
      <c r="S23" s="141"/>
    </row>
    <row r="24" spans="1:19" ht="60" customHeight="1" x14ac:dyDescent="0.25">
      <c r="A24"/>
      <c r="B24"/>
      <c r="C24"/>
      <c r="D24"/>
      <c r="E24"/>
    </row>
    <row r="25" spans="1:19" ht="24.95" customHeight="1" x14ac:dyDescent="0.25">
      <c r="A25" s="1210" t="s">
        <v>1812</v>
      </c>
      <c r="B25" s="1210"/>
      <c r="C25" s="1210"/>
      <c r="D25" s="1210"/>
      <c r="E25" s="1210"/>
    </row>
    <row r="26" spans="1:19" ht="24.95" customHeight="1" thickBot="1" x14ac:dyDescent="0.3">
      <c r="A26" s="1211" t="s">
        <v>2494</v>
      </c>
      <c r="B26" s="1211"/>
      <c r="C26" s="1211"/>
      <c r="D26" s="1211"/>
      <c r="E26" s="1211"/>
    </row>
    <row r="27" spans="1:19" ht="21.95" customHeight="1" thickBot="1" x14ac:dyDescent="0.3">
      <c r="A27" s="1212" t="s">
        <v>264</v>
      </c>
      <c r="B27" s="1213"/>
      <c r="C27" s="1242" t="s">
        <v>269</v>
      </c>
      <c r="D27" s="1214" t="s">
        <v>267</v>
      </c>
      <c r="E27" s="1214" t="s">
        <v>268</v>
      </c>
      <c r="F27" s="1251" t="s">
        <v>2423</v>
      </c>
      <c r="G27" s="1252"/>
      <c r="H27" s="1252"/>
      <c r="I27" s="1252"/>
      <c r="J27" s="1253"/>
    </row>
    <row r="28" spans="1:19" ht="21.95" customHeight="1" thickBot="1" x14ac:dyDescent="0.3">
      <c r="A28" s="822" t="s">
        <v>265</v>
      </c>
      <c r="B28" s="823" t="s">
        <v>266</v>
      </c>
      <c r="C28" s="1243"/>
      <c r="D28" s="1215"/>
      <c r="E28" s="1215"/>
      <c r="F28" s="1254"/>
      <c r="G28" s="1255"/>
      <c r="H28" s="1255"/>
      <c r="I28" s="1255"/>
      <c r="J28" s="1256"/>
    </row>
    <row r="29" spans="1:19" ht="18" customHeight="1" thickBot="1" x14ac:dyDescent="0.3">
      <c r="A29" s="1201" t="s">
        <v>2367</v>
      </c>
      <c r="B29" s="1202"/>
      <c r="C29" s="1202"/>
      <c r="D29" s="1202"/>
      <c r="E29" s="1203"/>
    </row>
    <row r="30" spans="1:19" ht="18" customHeight="1" x14ac:dyDescent="0.25">
      <c r="A30" s="386">
        <f t="shared" ref="A30:A42" si="1">IF($L$30=0,0,SUM($L$30:$L$42))</f>
        <v>0</v>
      </c>
      <c r="B30" s="386">
        <f>IF(M30=0,0,SUM($M$30:M30))</f>
        <v>0</v>
      </c>
      <c r="C30" s="303">
        <v>30502031</v>
      </c>
      <c r="D30" s="545" t="s">
        <v>2405</v>
      </c>
      <c r="E30" s="545" t="s">
        <v>2416</v>
      </c>
      <c r="F30" s="1218" t="s">
        <v>2421</v>
      </c>
      <c r="G30" s="1219"/>
      <c r="H30" s="1224"/>
      <c r="I30" s="1225"/>
      <c r="J30" s="1226"/>
      <c r="K30" s="755"/>
      <c r="L30" s="64">
        <f>IF(E3&gt;0,1,0)</f>
        <v>0</v>
      </c>
      <c r="M30" s="64">
        <f>IF($L$30=0,0,1)</f>
        <v>0</v>
      </c>
    </row>
    <row r="31" spans="1:19" ht="18" customHeight="1" x14ac:dyDescent="0.25">
      <c r="A31" s="386">
        <f t="shared" si="1"/>
        <v>0</v>
      </c>
      <c r="B31" s="386">
        <f>IF(M31=0,0,SUM($M$30:M31))</f>
        <v>0</v>
      </c>
      <c r="C31" s="303">
        <v>30501123</v>
      </c>
      <c r="D31" s="545" t="s">
        <v>2406</v>
      </c>
      <c r="E31" s="545" t="s">
        <v>2416</v>
      </c>
      <c r="F31" s="1220"/>
      <c r="G31" s="1221"/>
      <c r="H31" s="1227"/>
      <c r="I31" s="1228"/>
      <c r="J31" s="1229"/>
      <c r="K31" s="755"/>
      <c r="M31" s="64">
        <f t="shared" ref="M31:M36" si="2">IF($L$30=0,0,1)</f>
        <v>0</v>
      </c>
    </row>
    <row r="32" spans="1:19" ht="18" customHeight="1" thickBot="1" x14ac:dyDescent="0.3">
      <c r="A32" s="386">
        <f t="shared" si="1"/>
        <v>0</v>
      </c>
      <c r="B32" s="386">
        <f>IF(M32=0,0,SUM($M$30:M32))</f>
        <v>0</v>
      </c>
      <c r="C32" s="303">
        <v>30501123</v>
      </c>
      <c r="D32" s="545" t="s">
        <v>2407</v>
      </c>
      <c r="E32" s="545" t="s">
        <v>2416</v>
      </c>
      <c r="F32" s="1222"/>
      <c r="G32" s="1223"/>
      <c r="H32" s="1230"/>
      <c r="I32" s="1231"/>
      <c r="J32" s="1232"/>
      <c r="K32" s="684"/>
      <c r="M32" s="64">
        <f t="shared" si="2"/>
        <v>0</v>
      </c>
    </row>
    <row r="33" spans="1:18" ht="18" customHeight="1" x14ac:dyDescent="0.25">
      <c r="A33" s="386">
        <f t="shared" si="1"/>
        <v>0</v>
      </c>
      <c r="B33" s="386">
        <f>IF(M33=0,0,SUM($M$30:M33))</f>
        <v>0</v>
      </c>
      <c r="C33" s="303">
        <v>30502032</v>
      </c>
      <c r="D33" s="545" t="s">
        <v>2408</v>
      </c>
      <c r="E33" s="545" t="s">
        <v>2416</v>
      </c>
      <c r="F33" s="1247" t="s">
        <v>2411</v>
      </c>
      <c r="G33" s="1248"/>
      <c r="H33" s="1244"/>
      <c r="I33" s="1245"/>
      <c r="J33" s="1246"/>
      <c r="K33" s="684"/>
      <c r="M33" s="64">
        <f t="shared" si="2"/>
        <v>0</v>
      </c>
    </row>
    <row r="34" spans="1:18" ht="18" customHeight="1" x14ac:dyDescent="0.25">
      <c r="A34" s="386">
        <f t="shared" si="1"/>
        <v>0</v>
      </c>
      <c r="B34" s="386">
        <f>IF(M34=0,0,SUM($M$30:M34))</f>
        <v>0</v>
      </c>
      <c r="C34" s="303">
        <v>30502006</v>
      </c>
      <c r="D34" s="545" t="s">
        <v>2409</v>
      </c>
      <c r="E34" s="545" t="s">
        <v>2416</v>
      </c>
      <c r="F34" s="1216" t="str">
        <f>IF(H33=$R$3,"Proceed to next question.","What type of drum plant is this?")</f>
        <v>What type of drum plant is this?</v>
      </c>
      <c r="G34" s="1217"/>
      <c r="H34" s="1233"/>
      <c r="I34" s="1234"/>
      <c r="J34" s="1235"/>
      <c r="K34" s="68"/>
      <c r="M34" s="64">
        <f t="shared" si="2"/>
        <v>0</v>
      </c>
    </row>
    <row r="35" spans="1:18" ht="18" customHeight="1" x14ac:dyDescent="0.25">
      <c r="A35" s="386">
        <f t="shared" si="1"/>
        <v>0</v>
      </c>
      <c r="B35" s="386">
        <f>IF(M35=0,0,SUM($M$30:M35))</f>
        <v>0</v>
      </c>
      <c r="C35" s="303">
        <v>30502003</v>
      </c>
      <c r="D35" s="545" t="s">
        <v>2410</v>
      </c>
      <c r="E35" s="545" t="s">
        <v>2416</v>
      </c>
      <c r="F35" s="1216" t="s">
        <v>2412</v>
      </c>
      <c r="G35" s="1217"/>
      <c r="H35" s="1178"/>
      <c r="I35" s="1179"/>
      <c r="J35" s="1180"/>
      <c r="K35" s="122"/>
      <c r="M35" s="64">
        <f t="shared" si="2"/>
        <v>0</v>
      </c>
    </row>
    <row r="36" spans="1:18" ht="18" customHeight="1" x14ac:dyDescent="0.25">
      <c r="A36" s="386">
        <f t="shared" si="1"/>
        <v>0</v>
      </c>
      <c r="B36" s="386">
        <f>IF(M36=0,0,SUM($M$30:M36))</f>
        <v>0</v>
      </c>
      <c r="C36" s="303">
        <f ca="1">SUMIF($Y$3:$Z$7,H35,$Z$3:$Z$7)</f>
        <v>0</v>
      </c>
      <c r="D36" s="545" t="s">
        <v>2414</v>
      </c>
      <c r="E36" s="545" t="str">
        <f>IF(ISBLANK(H35),"",H35)</f>
        <v/>
      </c>
      <c r="F36" s="1216"/>
      <c r="G36" s="1217"/>
      <c r="H36" s="1178"/>
      <c r="I36" s="1179"/>
      <c r="J36" s="1180"/>
      <c r="K36" s="122"/>
      <c r="M36" s="64">
        <f t="shared" si="2"/>
        <v>0</v>
      </c>
    </row>
    <row r="37" spans="1:18" ht="18" customHeight="1" x14ac:dyDescent="0.25">
      <c r="A37" s="386">
        <f t="shared" si="1"/>
        <v>0</v>
      </c>
      <c r="B37" s="386">
        <f>IF(M37=0,0,SUM($M$30:M37))</f>
        <v>0</v>
      </c>
      <c r="C37" s="303">
        <f t="shared" ref="C37:C38" ca="1" si="3">SUMIF($V$3:$W$11,D37&amp;" - "&amp;E37,$W$3:$W$11)</f>
        <v>0</v>
      </c>
      <c r="D37" s="545" t="str">
        <f>IF(H33=$R$3,H33,H33&amp;" - "&amp;H34)</f>
        <v xml:space="preserve"> - </v>
      </c>
      <c r="E37" s="545" t="str">
        <f>IF(AND(P37=TRUE,R37=TRUE),$U$3,"")</f>
        <v/>
      </c>
      <c r="F37" s="1216" t="s">
        <v>2459</v>
      </c>
      <c r="G37" s="1217"/>
      <c r="H37" s="1236" t="s">
        <v>2413</v>
      </c>
      <c r="I37" s="1237"/>
      <c r="J37" s="1238"/>
      <c r="K37" s="122"/>
      <c r="M37" s="64">
        <f>IF($L$30=0,0,IF(AND(P37=TRUE,R37=TRUE),1,0))</f>
        <v>0</v>
      </c>
      <c r="P37" s="626" t="b">
        <v>0</v>
      </c>
      <c r="Q37" s="626" t="b">
        <v>0</v>
      </c>
      <c r="R37" s="68" t="b">
        <f>IF(OR(AND(P37=FALSE,Q37=FALSE),AND(P37=TRUE,Q37=TRUE)),FALSE,TRUE)</f>
        <v>0</v>
      </c>
    </row>
    <row r="38" spans="1:18" ht="18" customHeight="1" x14ac:dyDescent="0.25">
      <c r="A38" s="386">
        <f t="shared" si="1"/>
        <v>0</v>
      </c>
      <c r="B38" s="386">
        <f>IF(M38=0,0,SUM($M$30:M38))</f>
        <v>0</v>
      </c>
      <c r="C38" s="303">
        <f t="shared" ca="1" si="3"/>
        <v>0</v>
      </c>
      <c r="D38" s="545" t="str">
        <f>IF(H33=$R$3,H33,H33&amp;" - "&amp;H34)</f>
        <v xml:space="preserve"> - </v>
      </c>
      <c r="E38" s="545" t="str">
        <f>IF(AND(P38=TRUE,R38=TRUE),$U$4,"")</f>
        <v/>
      </c>
      <c r="F38" s="1216" t="s">
        <v>2460</v>
      </c>
      <c r="G38" s="1217"/>
      <c r="H38" s="1236" t="s">
        <v>2413</v>
      </c>
      <c r="I38" s="1237"/>
      <c r="J38" s="1238"/>
      <c r="K38" s="122"/>
      <c r="M38" s="64">
        <f>IF($L$30=0,0,IF(AND(P38=TRUE,R38=TRUE),1,0))</f>
        <v>0</v>
      </c>
      <c r="P38" s="626" t="b">
        <v>0</v>
      </c>
      <c r="Q38" s="626" t="b">
        <v>0</v>
      </c>
      <c r="R38" s="68" t="b">
        <f t="shared" ref="R38:R39" si="4">IF(OR(AND(P38=FALSE,Q38=FALSE),AND(P38=TRUE,Q38=TRUE)),FALSE,TRUE)</f>
        <v>0</v>
      </c>
    </row>
    <row r="39" spans="1:18" ht="18" customHeight="1" thickBot="1" x14ac:dyDescent="0.3">
      <c r="A39" s="386">
        <f t="shared" si="1"/>
        <v>0</v>
      </c>
      <c r="B39" s="386">
        <f>IF(M39=0,0,SUM($M$30:M39))</f>
        <v>0</v>
      </c>
      <c r="C39" s="303">
        <f ca="1">SUMIF($V$3:$W$11,D39&amp;" - "&amp;E39,$W$3:$W$11)</f>
        <v>0</v>
      </c>
      <c r="D39" s="545" t="str">
        <f>IF(H33=$R$3,H33,H33&amp;" - "&amp;H34)</f>
        <v xml:space="preserve"> - </v>
      </c>
      <c r="E39" s="545" t="str">
        <f>IF(AND(P39=TRUE,R39=TRUE),$U$5,"")</f>
        <v/>
      </c>
      <c r="F39" s="1249" t="s">
        <v>2461</v>
      </c>
      <c r="G39" s="1250"/>
      <c r="H39" s="1239" t="s">
        <v>2413</v>
      </c>
      <c r="I39" s="1240"/>
      <c r="J39" s="1241"/>
      <c r="K39" s="122"/>
      <c r="M39" s="64">
        <f>IF($L$30=0,0,IF(AND(P39=TRUE,R39=TRUE),1,0))</f>
        <v>0</v>
      </c>
      <c r="P39" s="626" t="b">
        <v>0</v>
      </c>
      <c r="Q39" s="626" t="b">
        <v>0</v>
      </c>
      <c r="R39" s="68" t="b">
        <f t="shared" si="4"/>
        <v>0</v>
      </c>
    </row>
    <row r="40" spans="1:18" ht="18" customHeight="1" x14ac:dyDescent="0.25">
      <c r="A40" s="386">
        <f t="shared" si="1"/>
        <v>0</v>
      </c>
      <c r="B40" s="386">
        <f>IF(M40=0,0,SUM($M$30:M40))</f>
        <v>0</v>
      </c>
      <c r="C40" s="303">
        <v>30500213</v>
      </c>
      <c r="D40" s="545" t="s">
        <v>2395</v>
      </c>
      <c r="E40" s="545" t="s">
        <v>2417</v>
      </c>
      <c r="K40" s="122"/>
      <c r="M40" s="64">
        <f t="shared" ref="M40:M42" si="5">IF($L$30=0,0,1)</f>
        <v>0</v>
      </c>
    </row>
    <row r="41" spans="1:18" ht="18" customHeight="1" x14ac:dyDescent="0.25">
      <c r="A41" s="386">
        <f t="shared" si="1"/>
        <v>0</v>
      </c>
      <c r="B41" s="386">
        <f>IF(M41=0,0,SUM($M$30:M41))</f>
        <v>0</v>
      </c>
      <c r="C41" s="303">
        <v>30500214</v>
      </c>
      <c r="D41" s="545" t="s">
        <v>2419</v>
      </c>
      <c r="E41" s="545" t="s">
        <v>2417</v>
      </c>
      <c r="K41" s="122"/>
      <c r="M41" s="64">
        <f t="shared" si="5"/>
        <v>0</v>
      </c>
    </row>
    <row r="42" spans="1:18" ht="18" customHeight="1" thickBot="1" x14ac:dyDescent="0.3">
      <c r="A42" s="390">
        <f t="shared" si="1"/>
        <v>0</v>
      </c>
      <c r="B42" s="390">
        <f>IF(M42=0,0,SUM($M$30:M42))</f>
        <v>0</v>
      </c>
      <c r="C42" s="310">
        <v>30500270</v>
      </c>
      <c r="D42" s="629" t="s">
        <v>2420</v>
      </c>
      <c r="E42" s="629" t="s">
        <v>2418</v>
      </c>
      <c r="K42" s="122"/>
      <c r="M42" s="64">
        <f t="shared" si="5"/>
        <v>0</v>
      </c>
    </row>
    <row r="43" spans="1:18" ht="18" customHeight="1" x14ac:dyDescent="0.25">
      <c r="A43" s="685">
        <f>IF($L$43=0,0,SUM($L$30:$L$55))</f>
        <v>0</v>
      </c>
      <c r="B43" s="685">
        <f>IF(M43=0,0,SUM($M$43:M43))</f>
        <v>0</v>
      </c>
      <c r="C43" s="686">
        <v>30502031</v>
      </c>
      <c r="D43" s="687" t="s">
        <v>2405</v>
      </c>
      <c r="E43" s="687" t="s">
        <v>2416</v>
      </c>
      <c r="F43" s="1218" t="s">
        <v>2421</v>
      </c>
      <c r="G43" s="1219"/>
      <c r="H43" s="1224"/>
      <c r="I43" s="1225"/>
      <c r="J43" s="1226"/>
      <c r="K43" s="755"/>
      <c r="L43" s="64">
        <f>IF($E$3&gt;1,1,0)</f>
        <v>0</v>
      </c>
      <c r="M43" s="64">
        <f>IF($L$43=0,0,1)</f>
        <v>0</v>
      </c>
    </row>
    <row r="44" spans="1:18" ht="18" customHeight="1" x14ac:dyDescent="0.25">
      <c r="A44" s="386">
        <f t="shared" ref="A44:A55" si="6">IF($L$43=0,0,SUM($L$30:$L$55))</f>
        <v>0</v>
      </c>
      <c r="B44" s="386">
        <f>IF(M44=0,0,SUM($M$43:M44))</f>
        <v>0</v>
      </c>
      <c r="C44" s="303">
        <v>30501123</v>
      </c>
      <c r="D44" s="545" t="s">
        <v>2406</v>
      </c>
      <c r="E44" s="545" t="s">
        <v>2416</v>
      </c>
      <c r="F44" s="1220"/>
      <c r="G44" s="1221"/>
      <c r="H44" s="1227"/>
      <c r="I44" s="1228"/>
      <c r="J44" s="1229"/>
      <c r="K44" s="755"/>
      <c r="M44" s="64">
        <f t="shared" ref="M44:M49" si="7">IF($L$43=0,0,1)</f>
        <v>0</v>
      </c>
    </row>
    <row r="45" spans="1:18" ht="18" customHeight="1" thickBot="1" x14ac:dyDescent="0.3">
      <c r="A45" s="386">
        <f t="shared" si="6"/>
        <v>0</v>
      </c>
      <c r="B45" s="386">
        <f>IF(M45=0,0,SUM($M$43:M45))</f>
        <v>0</v>
      </c>
      <c r="C45" s="303">
        <v>30501123</v>
      </c>
      <c r="D45" s="545" t="s">
        <v>2407</v>
      </c>
      <c r="E45" s="545" t="s">
        <v>2416</v>
      </c>
      <c r="F45" s="1222"/>
      <c r="G45" s="1223"/>
      <c r="H45" s="1230"/>
      <c r="I45" s="1231"/>
      <c r="J45" s="1232"/>
      <c r="K45" s="684"/>
      <c r="M45" s="64">
        <f t="shared" si="7"/>
        <v>0</v>
      </c>
    </row>
    <row r="46" spans="1:18" ht="18" customHeight="1" x14ac:dyDescent="0.25">
      <c r="A46" s="386">
        <f t="shared" si="6"/>
        <v>0</v>
      </c>
      <c r="B46" s="386">
        <f>IF(M46=0,0,SUM($M$43:M46))</f>
        <v>0</v>
      </c>
      <c r="C46" s="303">
        <v>30502032</v>
      </c>
      <c r="D46" s="545" t="s">
        <v>2408</v>
      </c>
      <c r="E46" s="545" t="s">
        <v>2416</v>
      </c>
      <c r="F46" s="1247" t="s">
        <v>2411</v>
      </c>
      <c r="G46" s="1248"/>
      <c r="H46" s="1244"/>
      <c r="I46" s="1245"/>
      <c r="J46" s="1246"/>
      <c r="K46" s="684"/>
      <c r="M46" s="64">
        <f t="shared" si="7"/>
        <v>0</v>
      </c>
    </row>
    <row r="47" spans="1:18" ht="18" customHeight="1" x14ac:dyDescent="0.25">
      <c r="A47" s="386">
        <f t="shared" si="6"/>
        <v>0</v>
      </c>
      <c r="B47" s="386">
        <f>IF(M47=0,0,SUM($M$43:M47))</f>
        <v>0</v>
      </c>
      <c r="C47" s="303">
        <v>30502006</v>
      </c>
      <c r="D47" s="545" t="s">
        <v>2409</v>
      </c>
      <c r="E47" s="545" t="s">
        <v>2416</v>
      </c>
      <c r="F47" s="1216" t="str">
        <f>IF(H46=$R$3,"Proceed to next question.","What type of drum plant is this?")</f>
        <v>What type of drum plant is this?</v>
      </c>
      <c r="G47" s="1217"/>
      <c r="H47" s="1233"/>
      <c r="I47" s="1234"/>
      <c r="J47" s="1235"/>
      <c r="K47" s="68"/>
      <c r="M47" s="64">
        <f t="shared" si="7"/>
        <v>0</v>
      </c>
    </row>
    <row r="48" spans="1:18" ht="18" customHeight="1" x14ac:dyDescent="0.25">
      <c r="A48" s="386">
        <f t="shared" si="6"/>
        <v>0</v>
      </c>
      <c r="B48" s="386">
        <f>IF(M48=0,0,SUM($M$43:M48))</f>
        <v>0</v>
      </c>
      <c r="C48" s="303">
        <v>30502003</v>
      </c>
      <c r="D48" s="545" t="s">
        <v>2410</v>
      </c>
      <c r="E48" s="545" t="s">
        <v>2416</v>
      </c>
      <c r="F48" s="1216" t="s">
        <v>2412</v>
      </c>
      <c r="G48" s="1217"/>
      <c r="H48" s="1178"/>
      <c r="I48" s="1179"/>
      <c r="J48" s="1180"/>
      <c r="K48" s="68"/>
      <c r="M48" s="64">
        <f t="shared" si="7"/>
        <v>0</v>
      </c>
    </row>
    <row r="49" spans="1:18" ht="18" customHeight="1" x14ac:dyDescent="0.25">
      <c r="A49" s="386">
        <f t="shared" si="6"/>
        <v>0</v>
      </c>
      <c r="B49" s="386">
        <f>IF(M49=0,0,SUM($M$43:M49))</f>
        <v>0</v>
      </c>
      <c r="C49" s="303">
        <f ca="1">SUMIF($Y$3:$Z$7,H48,$Z$3:$Z$7)</f>
        <v>0</v>
      </c>
      <c r="D49" s="545" t="s">
        <v>2414</v>
      </c>
      <c r="E49" s="545" t="str">
        <f>IF(ISBLANK(H48),"",H48)</f>
        <v/>
      </c>
      <c r="F49" s="1216"/>
      <c r="G49" s="1217"/>
      <c r="H49" s="1178"/>
      <c r="I49" s="1179"/>
      <c r="J49" s="1180"/>
      <c r="K49" s="68"/>
      <c r="M49" s="64">
        <f t="shared" si="7"/>
        <v>0</v>
      </c>
    </row>
    <row r="50" spans="1:18" ht="18" customHeight="1" x14ac:dyDescent="0.25">
      <c r="A50" s="386">
        <f t="shared" si="6"/>
        <v>0</v>
      </c>
      <c r="B50" s="386">
        <f>IF(M50=0,0,SUM($M$43:M50))</f>
        <v>0</v>
      </c>
      <c r="C50" s="303">
        <f t="shared" ref="C50:C51" ca="1" si="8">SUMIF($V$3:$W$11,D50&amp;" - "&amp;E50,$W$3:$W$11)</f>
        <v>0</v>
      </c>
      <c r="D50" s="545" t="str">
        <f>IF(H46=$R$3,H46,H46&amp;" - "&amp;H47)</f>
        <v xml:space="preserve"> - </v>
      </c>
      <c r="E50" s="545" t="str">
        <f>IF(AND(P50=TRUE,R50=TRUE),$U$3,"")</f>
        <v/>
      </c>
      <c r="F50" s="1216" t="s">
        <v>2459</v>
      </c>
      <c r="G50" s="1217"/>
      <c r="H50" s="1236" t="s">
        <v>2413</v>
      </c>
      <c r="I50" s="1237"/>
      <c r="J50" s="1238"/>
      <c r="K50" s="68"/>
      <c r="M50" s="64">
        <f>IF($L$43=0,0,IF(AND(P50=TRUE,R50=TRUE),1,0))</f>
        <v>0</v>
      </c>
      <c r="P50" s="626" t="b">
        <v>0</v>
      </c>
      <c r="Q50" s="626" t="b">
        <v>0</v>
      </c>
      <c r="R50" s="68" t="b">
        <f t="shared" ref="R50:R52" si="9">IF(OR(AND(P50=FALSE,Q50=FALSE),AND(P50=TRUE,Q50=TRUE)),FALSE,TRUE)</f>
        <v>0</v>
      </c>
    </row>
    <row r="51" spans="1:18" ht="18" customHeight="1" x14ac:dyDescent="0.25">
      <c r="A51" s="386">
        <f t="shared" si="6"/>
        <v>0</v>
      </c>
      <c r="B51" s="386">
        <f>IF(M51=0,0,SUM($M$43:M51))</f>
        <v>0</v>
      </c>
      <c r="C51" s="303">
        <f t="shared" ca="1" si="8"/>
        <v>0</v>
      </c>
      <c r="D51" s="545" t="str">
        <f>IF(H46=$R$3,H46,H46&amp;" - "&amp;H47)</f>
        <v xml:space="preserve"> - </v>
      </c>
      <c r="E51" s="545" t="str">
        <f>IF(AND(P51=TRUE,R51=TRUE),$U$4,"")</f>
        <v/>
      </c>
      <c r="F51" s="1216" t="s">
        <v>2460</v>
      </c>
      <c r="G51" s="1217"/>
      <c r="H51" s="1236" t="s">
        <v>2413</v>
      </c>
      <c r="I51" s="1237"/>
      <c r="J51" s="1238"/>
      <c r="K51" s="68"/>
      <c r="M51" s="64">
        <f>IF($L$43=0,0,IF(AND(P51=TRUE,R51=TRUE),1,0))</f>
        <v>0</v>
      </c>
      <c r="P51" s="626" t="b">
        <v>0</v>
      </c>
      <c r="Q51" s="626" t="b">
        <v>0</v>
      </c>
      <c r="R51" s="68" t="b">
        <f t="shared" si="9"/>
        <v>0</v>
      </c>
    </row>
    <row r="52" spans="1:18" ht="18" customHeight="1" thickBot="1" x14ac:dyDescent="0.3">
      <c r="A52" s="386">
        <f t="shared" si="6"/>
        <v>0</v>
      </c>
      <c r="B52" s="386">
        <f>IF(M52=0,0,SUM($M$43:M52))</f>
        <v>0</v>
      </c>
      <c r="C52" s="303">
        <f ca="1">SUMIF($V$3:$W$11,D52&amp;" - "&amp;E52,$W$3:$W$11)</f>
        <v>0</v>
      </c>
      <c r="D52" s="545" t="str">
        <f>IF(H46=$R$3,H46,H46&amp;" - "&amp;H47)</f>
        <v xml:space="preserve"> - </v>
      </c>
      <c r="E52" s="545" t="str">
        <f>IF(AND(P52=TRUE,R52=TRUE),$U$5,"")</f>
        <v/>
      </c>
      <c r="F52" s="1249" t="s">
        <v>2461</v>
      </c>
      <c r="G52" s="1250"/>
      <c r="H52" s="1239" t="s">
        <v>2413</v>
      </c>
      <c r="I52" s="1240"/>
      <c r="J52" s="1241"/>
      <c r="K52" s="68"/>
      <c r="M52" s="64">
        <f>IF($L$43=0,0,IF(AND(P52=TRUE,R52=TRUE),1,0))</f>
        <v>0</v>
      </c>
      <c r="P52" s="626" t="b">
        <v>0</v>
      </c>
      <c r="Q52" s="626" t="b">
        <v>0</v>
      </c>
      <c r="R52" s="68" t="b">
        <f t="shared" si="9"/>
        <v>0</v>
      </c>
    </row>
    <row r="53" spans="1:18" ht="18" customHeight="1" x14ac:dyDescent="0.25">
      <c r="A53" s="386">
        <f t="shared" si="6"/>
        <v>0</v>
      </c>
      <c r="B53" s="386">
        <f>IF(M53=0,0,SUM($M$43:M53))</f>
        <v>0</v>
      </c>
      <c r="C53" s="303">
        <v>30500213</v>
      </c>
      <c r="D53" s="545" t="s">
        <v>2395</v>
      </c>
      <c r="E53" s="545" t="s">
        <v>2417</v>
      </c>
      <c r="F53" s="92"/>
      <c r="I53" s="626"/>
      <c r="J53" s="626"/>
      <c r="K53" s="68"/>
      <c r="M53" s="64">
        <f t="shared" ref="M53:M55" si="10">IF($L$43=0,0,1)</f>
        <v>0</v>
      </c>
    </row>
    <row r="54" spans="1:18" ht="18" customHeight="1" x14ac:dyDescent="0.25">
      <c r="A54" s="386">
        <f t="shared" si="6"/>
        <v>0</v>
      </c>
      <c r="B54" s="386">
        <f>IF(M54=0,0,SUM($M$43:M54))</f>
        <v>0</v>
      </c>
      <c r="C54" s="303">
        <v>30500214</v>
      </c>
      <c r="D54" s="545" t="s">
        <v>2419</v>
      </c>
      <c r="E54" s="545" t="s">
        <v>2417</v>
      </c>
      <c r="K54" s="68"/>
      <c r="M54" s="64">
        <f t="shared" si="10"/>
        <v>0</v>
      </c>
    </row>
    <row r="55" spans="1:18" ht="18" customHeight="1" thickBot="1" x14ac:dyDescent="0.3">
      <c r="A55" s="390">
        <f t="shared" si="6"/>
        <v>0</v>
      </c>
      <c r="B55" s="390">
        <f>IF(M55=0,0,SUM($M$43:M55))</f>
        <v>0</v>
      </c>
      <c r="C55" s="310">
        <v>30500270</v>
      </c>
      <c r="D55" s="629" t="s">
        <v>2420</v>
      </c>
      <c r="E55" s="629" t="s">
        <v>2418</v>
      </c>
      <c r="M55" s="64">
        <f t="shared" si="10"/>
        <v>0</v>
      </c>
    </row>
    <row r="56" spans="1:18" ht="18" customHeight="1" x14ac:dyDescent="0.25">
      <c r="A56" s="627">
        <f>IF($L$56=0,0,SUM($L$30:$L$69))</f>
        <v>0</v>
      </c>
      <c r="B56" s="627">
        <f>IF(M56=0,0,SUM($M$56:M56))</f>
        <v>0</v>
      </c>
      <c r="C56" s="628">
        <v>30502031</v>
      </c>
      <c r="D56" s="630" t="s">
        <v>2405</v>
      </c>
      <c r="E56" s="630" t="s">
        <v>2416</v>
      </c>
      <c r="F56" s="1218" t="s">
        <v>2421</v>
      </c>
      <c r="G56" s="1219"/>
      <c r="H56" s="1224"/>
      <c r="I56" s="1225"/>
      <c r="J56" s="1226"/>
      <c r="K56" s="755"/>
      <c r="L56" s="64">
        <f>IF($E$3&gt;2,1,0)</f>
        <v>0</v>
      </c>
      <c r="M56" s="64">
        <f>IF($L$56=0,0,1)</f>
        <v>0</v>
      </c>
    </row>
    <row r="57" spans="1:18" ht="18" customHeight="1" x14ac:dyDescent="0.25">
      <c r="A57" s="386">
        <f t="shared" ref="A57:A68" si="11">IF($L$56=0,0,SUM($L$30:$L$69))</f>
        <v>0</v>
      </c>
      <c r="B57" s="386">
        <f>IF(M57=0,0,SUM($M$56:M57))</f>
        <v>0</v>
      </c>
      <c r="C57" s="303">
        <v>30501123</v>
      </c>
      <c r="D57" s="545" t="s">
        <v>2406</v>
      </c>
      <c r="E57" s="545" t="s">
        <v>2416</v>
      </c>
      <c r="F57" s="1220"/>
      <c r="G57" s="1221"/>
      <c r="H57" s="1227"/>
      <c r="I57" s="1228"/>
      <c r="J57" s="1229"/>
      <c r="K57" s="755"/>
      <c r="M57" s="64">
        <f t="shared" ref="M57:M62" si="12">IF($L$56=0,0,1)</f>
        <v>0</v>
      </c>
    </row>
    <row r="58" spans="1:18" ht="18" customHeight="1" thickBot="1" x14ac:dyDescent="0.3">
      <c r="A58" s="386">
        <f t="shared" si="11"/>
        <v>0</v>
      </c>
      <c r="B58" s="386">
        <f>IF(M58=0,0,SUM($M$56:M58))</f>
        <v>0</v>
      </c>
      <c r="C58" s="303">
        <v>30501123</v>
      </c>
      <c r="D58" s="545" t="s">
        <v>2407</v>
      </c>
      <c r="E58" s="545" t="s">
        <v>2416</v>
      </c>
      <c r="F58" s="1222"/>
      <c r="G58" s="1223"/>
      <c r="H58" s="1230"/>
      <c r="I58" s="1231"/>
      <c r="J58" s="1232"/>
      <c r="K58" s="684"/>
      <c r="M58" s="64">
        <f t="shared" si="12"/>
        <v>0</v>
      </c>
    </row>
    <row r="59" spans="1:18" ht="18" customHeight="1" x14ac:dyDescent="0.25">
      <c r="A59" s="386">
        <f t="shared" si="11"/>
        <v>0</v>
      </c>
      <c r="B59" s="386">
        <f>IF(M59=0,0,SUM($M$56:M59))</f>
        <v>0</v>
      </c>
      <c r="C59" s="303">
        <v>30502032</v>
      </c>
      <c r="D59" s="545" t="s">
        <v>2408</v>
      </c>
      <c r="E59" s="545" t="s">
        <v>2416</v>
      </c>
      <c r="F59" s="1247" t="s">
        <v>2411</v>
      </c>
      <c r="G59" s="1248"/>
      <c r="H59" s="1244"/>
      <c r="I59" s="1245"/>
      <c r="J59" s="1246"/>
      <c r="K59" s="684"/>
      <c r="M59" s="64">
        <f t="shared" si="12"/>
        <v>0</v>
      </c>
    </row>
    <row r="60" spans="1:18" ht="18" customHeight="1" x14ac:dyDescent="0.25">
      <c r="A60" s="386">
        <f t="shared" si="11"/>
        <v>0</v>
      </c>
      <c r="B60" s="386">
        <f>IF(M60=0,0,SUM($M$56:M60))</f>
        <v>0</v>
      </c>
      <c r="C60" s="303">
        <v>30502006</v>
      </c>
      <c r="D60" s="545" t="s">
        <v>2409</v>
      </c>
      <c r="E60" s="545" t="s">
        <v>2416</v>
      </c>
      <c r="F60" s="1216" t="str">
        <f>IF(H59=$R$3,"Proceed to next question.","What type of drum plant is this?")</f>
        <v>What type of drum plant is this?</v>
      </c>
      <c r="G60" s="1217"/>
      <c r="H60" s="1233"/>
      <c r="I60" s="1234"/>
      <c r="J60" s="1235"/>
      <c r="K60" s="68"/>
      <c r="M60" s="64">
        <f t="shared" si="12"/>
        <v>0</v>
      </c>
    </row>
    <row r="61" spans="1:18" ht="18" customHeight="1" x14ac:dyDescent="0.25">
      <c r="A61" s="386">
        <f t="shared" si="11"/>
        <v>0</v>
      </c>
      <c r="B61" s="386">
        <f>IF(M61=0,0,SUM($M$56:M61))</f>
        <v>0</v>
      </c>
      <c r="C61" s="303">
        <v>30502003</v>
      </c>
      <c r="D61" s="545" t="s">
        <v>2410</v>
      </c>
      <c r="E61" s="545" t="s">
        <v>2416</v>
      </c>
      <c r="F61" s="1216" t="s">
        <v>2412</v>
      </c>
      <c r="G61" s="1217"/>
      <c r="H61" s="1178"/>
      <c r="I61" s="1179"/>
      <c r="J61" s="1180"/>
      <c r="K61" s="68"/>
      <c r="M61" s="64">
        <f t="shared" si="12"/>
        <v>0</v>
      </c>
    </row>
    <row r="62" spans="1:18" ht="18" customHeight="1" x14ac:dyDescent="0.25">
      <c r="A62" s="386">
        <f t="shared" si="11"/>
        <v>0</v>
      </c>
      <c r="B62" s="386">
        <f>IF(M62=0,0,SUM($M$56:M62))</f>
        <v>0</v>
      </c>
      <c r="C62" s="303">
        <f ca="1">SUMIF($Y$3:$Z$7,H61,$Z$3:$Z$7)</f>
        <v>0</v>
      </c>
      <c r="D62" s="545" t="s">
        <v>2414</v>
      </c>
      <c r="E62" s="545" t="str">
        <f>IF(ISBLANK(H61),"",H61)</f>
        <v/>
      </c>
      <c r="F62" s="1216"/>
      <c r="G62" s="1217"/>
      <c r="H62" s="1178"/>
      <c r="I62" s="1179"/>
      <c r="J62" s="1180"/>
      <c r="K62" s="68"/>
      <c r="M62" s="64">
        <f t="shared" si="12"/>
        <v>0</v>
      </c>
    </row>
    <row r="63" spans="1:18" ht="18" customHeight="1" x14ac:dyDescent="0.25">
      <c r="A63" s="386">
        <f t="shared" si="11"/>
        <v>0</v>
      </c>
      <c r="B63" s="386">
        <f>IF(M63=0,0,SUM($M$56:M63))</f>
        <v>0</v>
      </c>
      <c r="C63" s="303">
        <f t="shared" ref="C63:C64" ca="1" si="13">SUMIF($V$3:$W$11,D63&amp;" - "&amp;E63,$W$3:$W$11)</f>
        <v>0</v>
      </c>
      <c r="D63" s="545" t="str">
        <f>IF(H59=$R$3,H59,H59&amp;" - "&amp;H60)</f>
        <v xml:space="preserve"> - </v>
      </c>
      <c r="E63" s="545" t="str">
        <f>IF(AND(P63=TRUE,R63=TRUE),$U$3,"")</f>
        <v/>
      </c>
      <c r="F63" s="1216" t="s">
        <v>2459</v>
      </c>
      <c r="G63" s="1217"/>
      <c r="H63" s="1236" t="s">
        <v>2413</v>
      </c>
      <c r="I63" s="1237"/>
      <c r="J63" s="1238"/>
      <c r="K63" s="68"/>
      <c r="M63" s="64">
        <f>IF($L$56=0,0,IF(AND(P63=TRUE,R63=TRUE),1,0))</f>
        <v>0</v>
      </c>
      <c r="P63" s="626" t="b">
        <v>0</v>
      </c>
      <c r="Q63" s="626" t="b">
        <v>0</v>
      </c>
      <c r="R63" s="68" t="b">
        <f t="shared" ref="R63:R65" si="14">IF(OR(AND(P63=FALSE,Q63=FALSE),AND(P63=TRUE,Q63=TRUE)),FALSE,TRUE)</f>
        <v>0</v>
      </c>
    </row>
    <row r="64" spans="1:18" ht="18" customHeight="1" x14ac:dyDescent="0.25">
      <c r="A64" s="386">
        <f t="shared" si="11"/>
        <v>0</v>
      </c>
      <c r="B64" s="386">
        <f>IF(M64=0,0,SUM($M$56:M64))</f>
        <v>0</v>
      </c>
      <c r="C64" s="303">
        <f t="shared" ca="1" si="13"/>
        <v>0</v>
      </c>
      <c r="D64" s="545" t="str">
        <f>IF(H59=$R$3,H59,H59&amp;" - "&amp;H60)</f>
        <v xml:space="preserve"> - </v>
      </c>
      <c r="E64" s="545" t="str">
        <f>IF(AND(P64=TRUE,R64=TRUE),$U$4,"")</f>
        <v/>
      </c>
      <c r="F64" s="1216" t="s">
        <v>2460</v>
      </c>
      <c r="G64" s="1217"/>
      <c r="H64" s="1236" t="s">
        <v>2413</v>
      </c>
      <c r="I64" s="1237"/>
      <c r="J64" s="1238"/>
      <c r="K64" s="68"/>
      <c r="M64" s="64">
        <f>IF($L$56=0,0,IF(AND(P64=TRUE,R64=TRUE),1,0))</f>
        <v>0</v>
      </c>
      <c r="P64" s="626" t="b">
        <v>0</v>
      </c>
      <c r="Q64" s="626" t="b">
        <v>0</v>
      </c>
      <c r="R64" s="68" t="b">
        <f t="shared" si="14"/>
        <v>0</v>
      </c>
    </row>
    <row r="65" spans="1:18" ht="18" customHeight="1" thickBot="1" x14ac:dyDescent="0.3">
      <c r="A65" s="386">
        <f t="shared" si="11"/>
        <v>0</v>
      </c>
      <c r="B65" s="386">
        <f>IF(M65=0,0,SUM($M$56:M65))</f>
        <v>0</v>
      </c>
      <c r="C65" s="303">
        <f ca="1">SUMIF($V$3:$W$11,D65&amp;" - "&amp;E65,$W$3:$W$11)</f>
        <v>0</v>
      </c>
      <c r="D65" s="545" t="str">
        <f>IF(H59=$R$3,H59,H59&amp;" - "&amp;H60)</f>
        <v xml:space="preserve"> - </v>
      </c>
      <c r="E65" s="545" t="str">
        <f>IF(AND(P65=TRUE,R65=TRUE),$U$5,"")</f>
        <v/>
      </c>
      <c r="F65" s="1249" t="s">
        <v>2461</v>
      </c>
      <c r="G65" s="1250"/>
      <c r="H65" s="1239" t="s">
        <v>2413</v>
      </c>
      <c r="I65" s="1240"/>
      <c r="J65" s="1241"/>
      <c r="K65" s="68"/>
      <c r="M65" s="64">
        <f>IF($L$56=0,0,IF(AND(P65=TRUE,R65=TRUE),1,0))</f>
        <v>0</v>
      </c>
      <c r="P65" s="626" t="b">
        <v>0</v>
      </c>
      <c r="Q65" s="626" t="b">
        <v>0</v>
      </c>
      <c r="R65" s="68" t="b">
        <f t="shared" si="14"/>
        <v>0</v>
      </c>
    </row>
    <row r="66" spans="1:18" ht="18" customHeight="1" x14ac:dyDescent="0.25">
      <c r="A66" s="386">
        <f t="shared" si="11"/>
        <v>0</v>
      </c>
      <c r="B66" s="386">
        <f>IF(M66=0,0,SUM($M$56:M66))</f>
        <v>0</v>
      </c>
      <c r="C66" s="303">
        <v>30500213</v>
      </c>
      <c r="D66" s="545" t="s">
        <v>2395</v>
      </c>
      <c r="E66" s="545" t="s">
        <v>2417</v>
      </c>
      <c r="K66" s="68"/>
      <c r="M66" s="64">
        <f>IF($L$56=0,0,1)</f>
        <v>0</v>
      </c>
    </row>
    <row r="67" spans="1:18" ht="18" customHeight="1" x14ac:dyDescent="0.25">
      <c r="A67" s="386">
        <f t="shared" si="11"/>
        <v>0</v>
      </c>
      <c r="B67" s="386">
        <f>IF(M67=0,0,SUM($M$56:M67))</f>
        <v>0</v>
      </c>
      <c r="C67" s="303">
        <v>30500214</v>
      </c>
      <c r="D67" s="545" t="s">
        <v>2419</v>
      </c>
      <c r="E67" s="545" t="s">
        <v>2417</v>
      </c>
      <c r="K67" s="68"/>
      <c r="M67" s="64">
        <f>IF($L$56=0,0,1)</f>
        <v>0</v>
      </c>
    </row>
    <row r="68" spans="1:18" ht="18" customHeight="1" thickBot="1" x14ac:dyDescent="0.3">
      <c r="A68" s="386">
        <f t="shared" si="11"/>
        <v>0</v>
      </c>
      <c r="B68" s="386">
        <f>IF(M68=0,0,SUM($M$56:M68))</f>
        <v>0</v>
      </c>
      <c r="C68" s="303">
        <v>30500270</v>
      </c>
      <c r="D68" s="545" t="s">
        <v>2420</v>
      </c>
      <c r="E68" s="629" t="s">
        <v>2418</v>
      </c>
      <c r="M68" s="64">
        <f t="shared" ref="M68" si="15">IF($L$56=0,0,1)</f>
        <v>0</v>
      </c>
    </row>
    <row r="69" spans="1:18" ht="18" customHeight="1" thickBot="1" x14ac:dyDescent="0.3">
      <c r="A69" s="1201" t="s">
        <v>2173</v>
      </c>
      <c r="B69" s="1202"/>
      <c r="C69" s="1202"/>
      <c r="D69" s="1202"/>
      <c r="E69" s="1203"/>
    </row>
    <row r="70" spans="1:18" ht="18" customHeight="1" x14ac:dyDescent="0.25">
      <c r="A70" s="627">
        <f>IF($L$70=0,0,SUM($L$30:$L$80))</f>
        <v>0</v>
      </c>
      <c r="B70" s="386">
        <f>IF(M70=0,0,SUM($M$70:M70))</f>
        <v>0</v>
      </c>
      <c r="C70" s="303">
        <v>30502031</v>
      </c>
      <c r="D70" s="545" t="s">
        <v>2175</v>
      </c>
      <c r="E70" s="545" t="s">
        <v>2416</v>
      </c>
      <c r="F70" s="1218" t="s">
        <v>2421</v>
      </c>
      <c r="G70" s="1261"/>
      <c r="H70" s="1225"/>
      <c r="I70" s="1225"/>
      <c r="J70" s="1226"/>
      <c r="L70" s="64">
        <f>IF($E$4&gt;0,1,0)</f>
        <v>0</v>
      </c>
      <c r="M70" s="64">
        <f>IF($L$70=0,0,1)</f>
        <v>0</v>
      </c>
    </row>
    <row r="71" spans="1:18" ht="18" customHeight="1" x14ac:dyDescent="0.25">
      <c r="A71" s="386">
        <f t="shared" ref="A71:A80" si="16">IF($L$70=0,0,SUM($L$30:$L$80))</f>
        <v>0</v>
      </c>
      <c r="B71" s="386">
        <f>IF(M71=0,0,SUM($M$70:M71))</f>
        <v>0</v>
      </c>
      <c r="C71" s="303">
        <v>30501123</v>
      </c>
      <c r="D71" s="545" t="s">
        <v>2176</v>
      </c>
      <c r="E71" s="545" t="s">
        <v>2416</v>
      </c>
      <c r="F71" s="1220"/>
      <c r="G71" s="1262"/>
      <c r="H71" s="1228"/>
      <c r="I71" s="1228"/>
      <c r="J71" s="1229"/>
      <c r="M71" s="64">
        <f t="shared" ref="M71:M73" si="17">IF($L$70=0,0,1)</f>
        <v>0</v>
      </c>
    </row>
    <row r="72" spans="1:18" ht="18" customHeight="1" thickBot="1" x14ac:dyDescent="0.3">
      <c r="A72" s="386">
        <f t="shared" si="16"/>
        <v>0</v>
      </c>
      <c r="B72" s="386">
        <f>IF(M72=0,0,SUM($M$70:M72))</f>
        <v>0</v>
      </c>
      <c r="C72" s="303">
        <v>30501123</v>
      </c>
      <c r="D72" s="545" t="s">
        <v>2177</v>
      </c>
      <c r="E72" s="545" t="s">
        <v>2416</v>
      </c>
      <c r="F72" s="1222"/>
      <c r="G72" s="1263"/>
      <c r="H72" s="1231"/>
      <c r="I72" s="1231"/>
      <c r="J72" s="1232"/>
      <c r="M72" s="64">
        <f t="shared" si="17"/>
        <v>0</v>
      </c>
    </row>
    <row r="73" spans="1:18" ht="18" customHeight="1" thickBot="1" x14ac:dyDescent="0.3">
      <c r="A73" s="386">
        <f t="shared" si="16"/>
        <v>0</v>
      </c>
      <c r="B73" s="386">
        <f>IF(M73=0,0,SUM($M$70:M73))</f>
        <v>0</v>
      </c>
      <c r="C73" s="303">
        <v>30502001</v>
      </c>
      <c r="D73" s="545" t="s">
        <v>2178</v>
      </c>
      <c r="E73" s="545" t="s">
        <v>2416</v>
      </c>
      <c r="F73" s="1264" t="s">
        <v>2422</v>
      </c>
      <c r="G73" s="1265"/>
      <c r="H73" s="1265"/>
      <c r="I73" s="1265"/>
      <c r="J73" s="1266"/>
      <c r="M73" s="64">
        <f t="shared" si="17"/>
        <v>0</v>
      </c>
    </row>
    <row r="74" spans="1:18" ht="18" customHeight="1" x14ac:dyDescent="0.25">
      <c r="A74" s="386">
        <f t="shared" si="16"/>
        <v>0</v>
      </c>
      <c r="B74" s="386">
        <f>IF(M74=0,0,SUM($M$70:M74))</f>
        <v>0</v>
      </c>
      <c r="C74" s="303">
        <v>30502003</v>
      </c>
      <c r="D74" s="545" t="s">
        <v>2174</v>
      </c>
      <c r="E74" s="545" t="s">
        <v>2416</v>
      </c>
      <c r="F74" s="1285" t="s">
        <v>2428</v>
      </c>
      <c r="G74" s="1286"/>
      <c r="H74" s="1257" t="s">
        <v>2184</v>
      </c>
      <c r="I74" s="1257"/>
      <c r="J74" s="1258"/>
      <c r="M74" s="64">
        <f>IF($L$70=0,0,IF(AND(P74=TRUE,R74=TRUE),1,0))</f>
        <v>0</v>
      </c>
      <c r="P74" s="626" t="b">
        <v>0</v>
      </c>
      <c r="Q74" s="626" t="b">
        <v>0</v>
      </c>
      <c r="R74" s="68" t="b">
        <f>IF(OR(AND(P74=FALSE,Q74=FALSE),AND(P74=TRUE,Q74=TRUE)),FALSE,TRUE)</f>
        <v>0</v>
      </c>
    </row>
    <row r="75" spans="1:18" ht="18" customHeight="1" x14ac:dyDescent="0.25">
      <c r="A75" s="386">
        <f t="shared" si="16"/>
        <v>0</v>
      </c>
      <c r="B75" s="386">
        <f>IF(M75=0,0,SUM($M$70:M75))</f>
        <v>0</v>
      </c>
      <c r="C75" s="303">
        <v>30502006</v>
      </c>
      <c r="D75" s="545" t="s">
        <v>2179</v>
      </c>
      <c r="E75" s="545" t="s">
        <v>2416</v>
      </c>
      <c r="F75" s="1271"/>
      <c r="G75" s="1272"/>
      <c r="H75" s="1259"/>
      <c r="I75" s="1259"/>
      <c r="J75" s="1260"/>
      <c r="M75" s="64">
        <f>IF($L$70=0,0,IF(AND(P74=TRUE,R74=TRUE),1,0))</f>
        <v>0</v>
      </c>
      <c r="R75" s="68"/>
    </row>
    <row r="76" spans="1:18" ht="18" customHeight="1" x14ac:dyDescent="0.25">
      <c r="A76" s="386">
        <f t="shared" si="16"/>
        <v>0</v>
      </c>
      <c r="B76" s="386">
        <f>IF(M76=0,0,SUM($M$70:M76))</f>
        <v>0</v>
      </c>
      <c r="C76" s="303">
        <v>30501123</v>
      </c>
      <c r="D76" s="545" t="s">
        <v>2180</v>
      </c>
      <c r="E76" s="545" t="s">
        <v>2416</v>
      </c>
      <c r="F76" s="1271" t="s">
        <v>2429</v>
      </c>
      <c r="G76" s="1272"/>
      <c r="H76" s="1259" t="s">
        <v>2184</v>
      </c>
      <c r="I76" s="1259"/>
      <c r="J76" s="1260"/>
      <c r="M76" s="64">
        <f>IF($L$70=0,0,IF(AND(P76=TRUE,R76=TRUE),1,0))</f>
        <v>0</v>
      </c>
      <c r="P76" s="626" t="b">
        <v>0</v>
      </c>
      <c r="Q76" s="626" t="b">
        <v>0</v>
      </c>
      <c r="R76" s="68" t="b">
        <f>IF(OR(AND(P76=FALSE,Q76=FALSE),AND(P76=TRUE,Q76=TRUE)),FALSE,TRUE)</f>
        <v>0</v>
      </c>
    </row>
    <row r="77" spans="1:18" ht="18" customHeight="1" x14ac:dyDescent="0.25">
      <c r="A77" s="386">
        <f t="shared" si="16"/>
        <v>0</v>
      </c>
      <c r="B77" s="386">
        <f>IF(M77=0,0,SUM($M$70:M77))</f>
        <v>0</v>
      </c>
      <c r="C77" s="303">
        <v>30502002</v>
      </c>
      <c r="D77" s="545" t="s">
        <v>2181</v>
      </c>
      <c r="E77" s="545" t="s">
        <v>2416</v>
      </c>
      <c r="F77" s="1271"/>
      <c r="G77" s="1272"/>
      <c r="H77" s="1259"/>
      <c r="I77" s="1259"/>
      <c r="J77" s="1260"/>
      <c r="M77" s="64">
        <f>IF($L$70=0,0,IF(AND(P76=TRUE,R76=TRUE),1,0))</f>
        <v>0</v>
      </c>
      <c r="R77" s="68"/>
    </row>
    <row r="78" spans="1:18" ht="18" customHeight="1" x14ac:dyDescent="0.25">
      <c r="A78" s="386">
        <f t="shared" si="16"/>
        <v>0</v>
      </c>
      <c r="B78" s="386">
        <f>IF(M78=0,0,SUM($M$70:M78))</f>
        <v>0</v>
      </c>
      <c r="C78" s="303">
        <v>30502006</v>
      </c>
      <c r="D78" s="545" t="s">
        <v>2185</v>
      </c>
      <c r="E78" s="545" t="s">
        <v>2416</v>
      </c>
      <c r="F78" s="1271"/>
      <c r="G78" s="1272"/>
      <c r="H78" s="1259"/>
      <c r="I78" s="1259"/>
      <c r="J78" s="1260"/>
      <c r="M78" s="64">
        <f>IF($L$70=0,0,1)</f>
        <v>0</v>
      </c>
      <c r="R78" s="64" t="s">
        <v>2186</v>
      </c>
    </row>
    <row r="79" spans="1:18" ht="18" customHeight="1" x14ac:dyDescent="0.25">
      <c r="A79" s="386">
        <f t="shared" si="16"/>
        <v>0</v>
      </c>
      <c r="B79" s="386">
        <f>IF(M79=0,0,SUM($M$70:M79))</f>
        <v>0</v>
      </c>
      <c r="C79" s="303">
        <v>30501123</v>
      </c>
      <c r="D79" s="545" t="s">
        <v>2182</v>
      </c>
      <c r="E79" s="545" t="s">
        <v>2416</v>
      </c>
      <c r="F79" s="1271" t="s">
        <v>2430</v>
      </c>
      <c r="G79" s="1272"/>
      <c r="H79" s="1269" t="s">
        <v>2184</v>
      </c>
      <c r="I79" s="1269"/>
      <c r="J79" s="1270"/>
      <c r="M79" s="64">
        <f>IF($L$70=0,0,IF(AND(P79=TRUE,R79=TRUE),1,0))</f>
        <v>0</v>
      </c>
      <c r="P79" s="626" t="b">
        <v>0</v>
      </c>
      <c r="Q79" s="626" t="b">
        <v>0</v>
      </c>
      <c r="R79" s="68" t="b">
        <f>IF(OR(AND(P79=FALSE,Q79=FALSE),AND(P79=TRUE,Q79=TRUE)),FALSE,TRUE)</f>
        <v>0</v>
      </c>
    </row>
    <row r="80" spans="1:18" ht="18" customHeight="1" thickBot="1" x14ac:dyDescent="0.3">
      <c r="A80" s="390">
        <f t="shared" si="16"/>
        <v>0</v>
      </c>
      <c r="B80" s="390">
        <f>IF(M80=0,0,SUM($M$70:M80))</f>
        <v>0</v>
      </c>
      <c r="C80" s="310">
        <v>30502032</v>
      </c>
      <c r="D80" s="629" t="s">
        <v>2183</v>
      </c>
      <c r="E80" s="629" t="s">
        <v>2416</v>
      </c>
      <c r="F80" s="1273" t="s">
        <v>2431</v>
      </c>
      <c r="G80" s="1274"/>
      <c r="H80" s="1267" t="s">
        <v>2184</v>
      </c>
      <c r="I80" s="1267"/>
      <c r="J80" s="1268"/>
      <c r="M80" s="64">
        <f>IF($L$70=0,0,IF(AND(P80=TRUE,R80=TRUE),1,0))</f>
        <v>0</v>
      </c>
      <c r="P80" s="626" t="b">
        <v>0</v>
      </c>
      <c r="Q80" s="626" t="b">
        <v>0</v>
      </c>
      <c r="R80" s="68" t="b">
        <f>IF(OR(AND(P80=FALSE,Q80=FALSE),AND(P80=TRUE,Q80=TRUE)),FALSE,TRUE)</f>
        <v>0</v>
      </c>
    </row>
    <row r="81" spans="1:18" ht="18" customHeight="1" x14ac:dyDescent="0.25">
      <c r="A81" s="627">
        <f>IF($L$81=0,0,SUM($L$30:$L$91))</f>
        <v>0</v>
      </c>
      <c r="B81" s="627">
        <f>IF(M81=0,0,SUM($M$81:M81))</f>
        <v>0</v>
      </c>
      <c r="C81" s="628">
        <v>30502031</v>
      </c>
      <c r="D81" s="630" t="s">
        <v>2175</v>
      </c>
      <c r="E81" s="687" t="s">
        <v>2416</v>
      </c>
      <c r="F81" s="1218" t="s">
        <v>2421</v>
      </c>
      <c r="G81" s="1261"/>
      <c r="H81" s="1225"/>
      <c r="I81" s="1225"/>
      <c r="J81" s="1226"/>
      <c r="L81" s="64">
        <f>IF($E$4&gt;1,1,0)</f>
        <v>0</v>
      </c>
      <c r="M81" s="64">
        <f>IF($L$81=0,0,1)</f>
        <v>0</v>
      </c>
    </row>
    <row r="82" spans="1:18" ht="18" customHeight="1" x14ac:dyDescent="0.25">
      <c r="A82" s="386">
        <f t="shared" ref="A82:A91" si="18">IF($L$81=0,0,SUM($L$30:$L$91))</f>
        <v>0</v>
      </c>
      <c r="B82" s="386">
        <f>IF(M82=0,0,SUM($M$81:M82))</f>
        <v>0</v>
      </c>
      <c r="C82" s="303">
        <v>30501123</v>
      </c>
      <c r="D82" s="545" t="s">
        <v>2176</v>
      </c>
      <c r="E82" s="545" t="s">
        <v>2416</v>
      </c>
      <c r="F82" s="1220"/>
      <c r="G82" s="1262"/>
      <c r="H82" s="1228"/>
      <c r="I82" s="1228"/>
      <c r="J82" s="1229"/>
      <c r="M82" s="64">
        <f t="shared" ref="M82:M84" si="19">IF($L$81=0,0,1)</f>
        <v>0</v>
      </c>
    </row>
    <row r="83" spans="1:18" ht="18" customHeight="1" thickBot="1" x14ac:dyDescent="0.3">
      <c r="A83" s="386">
        <f t="shared" si="18"/>
        <v>0</v>
      </c>
      <c r="B83" s="386">
        <f>IF(M83=0,0,SUM($M$81:M83))</f>
        <v>0</v>
      </c>
      <c r="C83" s="303">
        <v>30501123</v>
      </c>
      <c r="D83" s="545" t="s">
        <v>2177</v>
      </c>
      <c r="E83" s="545" t="s">
        <v>2416</v>
      </c>
      <c r="F83" s="1222"/>
      <c r="G83" s="1263"/>
      <c r="H83" s="1231"/>
      <c r="I83" s="1231"/>
      <c r="J83" s="1232"/>
      <c r="M83" s="64">
        <f t="shared" si="19"/>
        <v>0</v>
      </c>
    </row>
    <row r="84" spans="1:18" ht="18" customHeight="1" thickBot="1" x14ac:dyDescent="0.3">
      <c r="A84" s="386">
        <f t="shared" si="18"/>
        <v>0</v>
      </c>
      <c r="B84" s="386">
        <f>IF(M84=0,0,SUM($M$81:M84))</f>
        <v>0</v>
      </c>
      <c r="C84" s="303">
        <v>30502001</v>
      </c>
      <c r="D84" s="545" t="s">
        <v>2178</v>
      </c>
      <c r="E84" s="545" t="s">
        <v>2416</v>
      </c>
      <c r="F84" s="1264" t="s">
        <v>2422</v>
      </c>
      <c r="G84" s="1265"/>
      <c r="H84" s="1265"/>
      <c r="I84" s="1265"/>
      <c r="J84" s="1266"/>
      <c r="M84" s="64">
        <f t="shared" si="19"/>
        <v>0</v>
      </c>
    </row>
    <row r="85" spans="1:18" ht="18" customHeight="1" x14ac:dyDescent="0.25">
      <c r="A85" s="386">
        <f t="shared" si="18"/>
        <v>0</v>
      </c>
      <c r="B85" s="386">
        <f>IF(M85=0,0,SUM($M$81:M85))</f>
        <v>0</v>
      </c>
      <c r="C85" s="303">
        <v>30502003</v>
      </c>
      <c r="D85" s="545" t="s">
        <v>2174</v>
      </c>
      <c r="E85" s="545" t="s">
        <v>2416</v>
      </c>
      <c r="F85" s="1287" t="s">
        <v>2428</v>
      </c>
      <c r="G85" s="1288"/>
      <c r="H85" s="1257" t="s">
        <v>2184</v>
      </c>
      <c r="I85" s="1257"/>
      <c r="J85" s="1258"/>
      <c r="M85" s="64">
        <f>IF($L$81=0,0,IF(AND(P85=TRUE,R85=TRUE),1,0))</f>
        <v>0</v>
      </c>
      <c r="P85" s="626" t="b">
        <v>0</v>
      </c>
      <c r="Q85" s="626" t="b">
        <v>0</v>
      </c>
      <c r="R85" s="68" t="b">
        <f>IF(OR(AND(P85=FALSE,Q85=FALSE),AND(P85=TRUE,Q85=TRUE)),FALSE,TRUE)</f>
        <v>0</v>
      </c>
    </row>
    <row r="86" spans="1:18" ht="18" customHeight="1" x14ac:dyDescent="0.25">
      <c r="A86" s="386">
        <f t="shared" si="18"/>
        <v>0</v>
      </c>
      <c r="B86" s="386">
        <f>IF(M86=0,0,SUM($M$81:M86))</f>
        <v>0</v>
      </c>
      <c r="C86" s="303">
        <v>30502006</v>
      </c>
      <c r="D86" s="545" t="s">
        <v>2179</v>
      </c>
      <c r="E86" s="545" t="s">
        <v>2416</v>
      </c>
      <c r="F86" s="1283"/>
      <c r="G86" s="1284"/>
      <c r="H86" s="1259"/>
      <c r="I86" s="1259"/>
      <c r="J86" s="1260"/>
      <c r="M86" s="64">
        <f>IF($L$81=0,0,IF(AND(P85=TRUE,R85=TRUE),1,0))</f>
        <v>0</v>
      </c>
      <c r="R86" s="68"/>
    </row>
    <row r="87" spans="1:18" ht="18" customHeight="1" x14ac:dyDescent="0.25">
      <c r="A87" s="386">
        <f t="shared" si="18"/>
        <v>0</v>
      </c>
      <c r="B87" s="386">
        <f>IF(M87=0,0,SUM($M$81:M87))</f>
        <v>0</v>
      </c>
      <c r="C87" s="303">
        <v>30501123</v>
      </c>
      <c r="D87" s="545" t="s">
        <v>2180</v>
      </c>
      <c r="E87" s="545" t="s">
        <v>2416</v>
      </c>
      <c r="F87" s="1279" t="s">
        <v>2429</v>
      </c>
      <c r="G87" s="1280"/>
      <c r="H87" s="1259" t="s">
        <v>2184</v>
      </c>
      <c r="I87" s="1259"/>
      <c r="J87" s="1260"/>
      <c r="M87" s="64">
        <f>IF($L$81=0,0,IF(AND(P87=TRUE,R87=TRUE),1,0))</f>
        <v>0</v>
      </c>
      <c r="P87" s="626" t="b">
        <v>0</v>
      </c>
      <c r="Q87" s="626" t="b">
        <v>0</v>
      </c>
      <c r="R87" s="68" t="b">
        <f>IF(OR(AND(P87=FALSE,Q87=FALSE),AND(P87=TRUE,Q87=TRUE)),FALSE,TRUE)</f>
        <v>0</v>
      </c>
    </row>
    <row r="88" spans="1:18" ht="18" customHeight="1" x14ac:dyDescent="0.25">
      <c r="A88" s="386">
        <f t="shared" si="18"/>
        <v>0</v>
      </c>
      <c r="B88" s="386">
        <f>IF(M88=0,0,SUM($M$81:M88))</f>
        <v>0</v>
      </c>
      <c r="C88" s="303">
        <v>30502002</v>
      </c>
      <c r="D88" s="545" t="s">
        <v>2181</v>
      </c>
      <c r="E88" s="545" t="s">
        <v>2416</v>
      </c>
      <c r="F88" s="1281"/>
      <c r="G88" s="1282"/>
      <c r="H88" s="1259"/>
      <c r="I88" s="1259"/>
      <c r="J88" s="1260"/>
      <c r="M88" s="64">
        <f>IF($L$81=0,0,IF(AND(P87=TRUE,R87=TRUE),1,0))</f>
        <v>0</v>
      </c>
      <c r="R88" s="68"/>
    </row>
    <row r="89" spans="1:18" ht="18" customHeight="1" x14ac:dyDescent="0.25">
      <c r="A89" s="386">
        <f t="shared" si="18"/>
        <v>0</v>
      </c>
      <c r="B89" s="386">
        <f>IF(M89=0,0,SUM($M$81:M89))</f>
        <v>0</v>
      </c>
      <c r="C89" s="303">
        <v>30502006</v>
      </c>
      <c r="D89" s="545" t="s">
        <v>2185</v>
      </c>
      <c r="E89" s="545" t="s">
        <v>2416</v>
      </c>
      <c r="F89" s="1283"/>
      <c r="G89" s="1284"/>
      <c r="H89" s="1259"/>
      <c r="I89" s="1259"/>
      <c r="J89" s="1260"/>
      <c r="M89" s="64">
        <f>IF($L$81=0,0,1)</f>
        <v>0</v>
      </c>
      <c r="R89" s="64" t="s">
        <v>2186</v>
      </c>
    </row>
    <row r="90" spans="1:18" ht="18" customHeight="1" x14ac:dyDescent="0.25">
      <c r="A90" s="386">
        <f t="shared" si="18"/>
        <v>0</v>
      </c>
      <c r="B90" s="386">
        <f>IF(M90=0,0,SUM($M$81:M90))</f>
        <v>0</v>
      </c>
      <c r="C90" s="303">
        <v>30501123</v>
      </c>
      <c r="D90" s="545" t="s">
        <v>2182</v>
      </c>
      <c r="E90" s="545" t="s">
        <v>2416</v>
      </c>
      <c r="F90" s="1277" t="s">
        <v>2430</v>
      </c>
      <c r="G90" s="1278"/>
      <c r="H90" s="1269" t="s">
        <v>2184</v>
      </c>
      <c r="I90" s="1269"/>
      <c r="J90" s="1270"/>
      <c r="M90" s="64">
        <f>IF($L$81=0,0,IF(AND(P90=TRUE,R90=TRUE),1,0))</f>
        <v>0</v>
      </c>
      <c r="P90" s="626" t="b">
        <v>0</v>
      </c>
      <c r="Q90" s="626" t="b">
        <v>0</v>
      </c>
      <c r="R90" s="68" t="b">
        <f>IF(OR(AND(P90=FALSE,Q90=FALSE),AND(P90=TRUE,Q90=TRUE)),FALSE,TRUE)</f>
        <v>0</v>
      </c>
    </row>
    <row r="91" spans="1:18" ht="18" customHeight="1" thickBot="1" x14ac:dyDescent="0.3">
      <c r="A91" s="390">
        <f t="shared" si="18"/>
        <v>0</v>
      </c>
      <c r="B91" s="390">
        <f>IF(M91=0,0,SUM($M$81:M91))</f>
        <v>0</v>
      </c>
      <c r="C91" s="310">
        <v>30502032</v>
      </c>
      <c r="D91" s="629" t="s">
        <v>2183</v>
      </c>
      <c r="E91" s="629" t="s">
        <v>2416</v>
      </c>
      <c r="F91" s="1275" t="s">
        <v>2431</v>
      </c>
      <c r="G91" s="1276"/>
      <c r="H91" s="1267" t="s">
        <v>2184</v>
      </c>
      <c r="I91" s="1267"/>
      <c r="J91" s="1268"/>
      <c r="M91" s="64">
        <f>IF($L$81=0,0,IF(AND(P91=TRUE,R91=TRUE),1,0))</f>
        <v>0</v>
      </c>
      <c r="P91" s="626" t="b">
        <v>0</v>
      </c>
      <c r="Q91" s="626" t="b">
        <v>0</v>
      </c>
      <c r="R91" s="68" t="b">
        <f>IF(OR(AND(P91=FALSE,Q91=FALSE),AND(P91=TRUE,Q91=TRUE)),FALSE,TRUE)</f>
        <v>0</v>
      </c>
    </row>
    <row r="92" spans="1:18" ht="18" customHeight="1" x14ac:dyDescent="0.25">
      <c r="A92" s="627">
        <f>IF($L$92=0,0,SUM($L$30:$L$103))</f>
        <v>0</v>
      </c>
      <c r="B92" s="627">
        <f>IF(M92=0,0,SUM($M$92:M92))</f>
        <v>0</v>
      </c>
      <c r="C92" s="628">
        <v>30502031</v>
      </c>
      <c r="D92" s="630" t="s">
        <v>2175</v>
      </c>
      <c r="E92" s="687" t="s">
        <v>2416</v>
      </c>
      <c r="F92" s="1218" t="s">
        <v>2421</v>
      </c>
      <c r="G92" s="1261"/>
      <c r="H92" s="1225"/>
      <c r="I92" s="1225"/>
      <c r="J92" s="1226"/>
      <c r="L92" s="64">
        <f>IF(E4&gt;2,1,0)</f>
        <v>0</v>
      </c>
      <c r="M92" s="64">
        <f>IF($L$92=0,0,1)</f>
        <v>0</v>
      </c>
    </row>
    <row r="93" spans="1:18" ht="18" customHeight="1" x14ac:dyDescent="0.25">
      <c r="A93" s="386">
        <f t="shared" ref="A93:A102" si="20">IF($L$92=0,0,SUM($L$30:$L$103))</f>
        <v>0</v>
      </c>
      <c r="B93" s="386">
        <f>IF(M93=0,0,SUM($M$92:M93))</f>
        <v>0</v>
      </c>
      <c r="C93" s="303">
        <v>30501123</v>
      </c>
      <c r="D93" s="545" t="s">
        <v>2176</v>
      </c>
      <c r="E93" s="545" t="s">
        <v>2416</v>
      </c>
      <c r="F93" s="1220"/>
      <c r="G93" s="1262"/>
      <c r="H93" s="1228"/>
      <c r="I93" s="1228"/>
      <c r="J93" s="1229"/>
      <c r="M93" s="64">
        <f t="shared" ref="M93:M95" si="21">IF($L$92=0,0,1)</f>
        <v>0</v>
      </c>
    </row>
    <row r="94" spans="1:18" ht="18" customHeight="1" thickBot="1" x14ac:dyDescent="0.3">
      <c r="A94" s="386">
        <f t="shared" si="20"/>
        <v>0</v>
      </c>
      <c r="B94" s="386">
        <f>IF(M94=0,0,SUM($M$92:M94))</f>
        <v>0</v>
      </c>
      <c r="C94" s="303">
        <v>30501123</v>
      </c>
      <c r="D94" s="545" t="s">
        <v>2177</v>
      </c>
      <c r="E94" s="545" t="s">
        <v>2416</v>
      </c>
      <c r="F94" s="1222"/>
      <c r="G94" s="1263"/>
      <c r="H94" s="1231"/>
      <c r="I94" s="1231"/>
      <c r="J94" s="1232"/>
      <c r="M94" s="64">
        <f t="shared" si="21"/>
        <v>0</v>
      </c>
    </row>
    <row r="95" spans="1:18" ht="18" customHeight="1" thickBot="1" x14ac:dyDescent="0.3">
      <c r="A95" s="386">
        <f t="shared" si="20"/>
        <v>0</v>
      </c>
      <c r="B95" s="386">
        <f>IF(M95=0,0,SUM($M$92:M95))</f>
        <v>0</v>
      </c>
      <c r="C95" s="303">
        <v>30502001</v>
      </c>
      <c r="D95" s="545" t="s">
        <v>2178</v>
      </c>
      <c r="E95" s="545" t="s">
        <v>2416</v>
      </c>
      <c r="F95" s="1264" t="s">
        <v>2422</v>
      </c>
      <c r="G95" s="1265"/>
      <c r="H95" s="1265"/>
      <c r="I95" s="1265"/>
      <c r="J95" s="1266"/>
      <c r="M95" s="64">
        <f t="shared" si="21"/>
        <v>0</v>
      </c>
    </row>
    <row r="96" spans="1:18" ht="18" customHeight="1" x14ac:dyDescent="0.25">
      <c r="A96" s="386">
        <f t="shared" si="20"/>
        <v>0</v>
      </c>
      <c r="B96" s="386">
        <f>IF(M96=0,0,SUM($M$92:M96))</f>
        <v>0</v>
      </c>
      <c r="C96" s="303">
        <v>30502003</v>
      </c>
      <c r="D96" s="545" t="s">
        <v>2174</v>
      </c>
      <c r="E96" s="545" t="s">
        <v>2416</v>
      </c>
      <c r="F96" s="1285" t="s">
        <v>2428</v>
      </c>
      <c r="G96" s="1286"/>
      <c r="H96" s="1257" t="s">
        <v>2184</v>
      </c>
      <c r="I96" s="1257"/>
      <c r="J96" s="1258"/>
      <c r="M96" s="64">
        <f>IF($L$92=0,0,IF(AND(P96=TRUE,R96=TRUE),1,0))</f>
        <v>0</v>
      </c>
      <c r="P96" s="626" t="b">
        <v>0</v>
      </c>
      <c r="Q96" s="626" t="b">
        <v>0</v>
      </c>
      <c r="R96" s="68" t="b">
        <f>IF(OR(AND(P96=FALSE,Q96=FALSE),AND(P96=TRUE,Q96=TRUE)),FALSE,TRUE)</f>
        <v>0</v>
      </c>
    </row>
    <row r="97" spans="1:18" ht="18" customHeight="1" x14ac:dyDescent="0.25">
      <c r="A97" s="386">
        <f t="shared" si="20"/>
        <v>0</v>
      </c>
      <c r="B97" s="386">
        <f>IF(M97=0,0,SUM($M$92:M97))</f>
        <v>0</v>
      </c>
      <c r="C97" s="303">
        <v>30502006</v>
      </c>
      <c r="D97" s="545" t="s">
        <v>2179</v>
      </c>
      <c r="E97" s="545" t="s">
        <v>2416</v>
      </c>
      <c r="F97" s="1271"/>
      <c r="G97" s="1272"/>
      <c r="H97" s="1259"/>
      <c r="I97" s="1259"/>
      <c r="J97" s="1260"/>
      <c r="M97" s="64">
        <f>IF($L$92=0,0,IF(AND(P96=TRUE,R96=TRUE),1,0))</f>
        <v>0</v>
      </c>
      <c r="R97" s="68"/>
    </row>
    <row r="98" spans="1:18" ht="18" customHeight="1" x14ac:dyDescent="0.25">
      <c r="A98" s="386">
        <f t="shared" si="20"/>
        <v>0</v>
      </c>
      <c r="B98" s="386">
        <f>IF(M98=0,0,SUM($M$92:M98))</f>
        <v>0</v>
      </c>
      <c r="C98" s="303">
        <v>30501123</v>
      </c>
      <c r="D98" s="545" t="s">
        <v>2180</v>
      </c>
      <c r="E98" s="545" t="s">
        <v>2416</v>
      </c>
      <c r="F98" s="1271" t="s">
        <v>2429</v>
      </c>
      <c r="G98" s="1272"/>
      <c r="H98" s="1259" t="s">
        <v>2184</v>
      </c>
      <c r="I98" s="1259"/>
      <c r="J98" s="1260"/>
      <c r="M98" s="64">
        <f>IF($L$92=0,0,IF(AND(P98=TRUE,R98=TRUE),1,0))</f>
        <v>0</v>
      </c>
      <c r="P98" s="626" t="b">
        <v>0</v>
      </c>
      <c r="Q98" s="626" t="b">
        <v>0</v>
      </c>
      <c r="R98" s="68" t="b">
        <f>IF(OR(AND(P98=FALSE,Q98=FALSE),AND(P98=TRUE,Q98=TRUE)),FALSE,TRUE)</f>
        <v>0</v>
      </c>
    </row>
    <row r="99" spans="1:18" ht="18" customHeight="1" x14ac:dyDescent="0.25">
      <c r="A99" s="386">
        <f t="shared" si="20"/>
        <v>0</v>
      </c>
      <c r="B99" s="386">
        <f>IF(M99=0,0,SUM($M$92:M99))</f>
        <v>0</v>
      </c>
      <c r="C99" s="303">
        <v>30502002</v>
      </c>
      <c r="D99" s="545" t="s">
        <v>2181</v>
      </c>
      <c r="E99" s="545" t="s">
        <v>2416</v>
      </c>
      <c r="F99" s="1271"/>
      <c r="G99" s="1272"/>
      <c r="H99" s="1259"/>
      <c r="I99" s="1259"/>
      <c r="J99" s="1260"/>
      <c r="M99" s="64">
        <f>IF($L$92=0,0,IF(AND(P98=TRUE,R98=TRUE),1,0))</f>
        <v>0</v>
      </c>
      <c r="R99" s="68"/>
    </row>
    <row r="100" spans="1:18" ht="18" customHeight="1" x14ac:dyDescent="0.25">
      <c r="A100" s="386">
        <f t="shared" si="20"/>
        <v>0</v>
      </c>
      <c r="B100" s="386">
        <f>IF(M100=0,0,SUM($M$92:M100))</f>
        <v>0</v>
      </c>
      <c r="C100" s="303">
        <v>30502006</v>
      </c>
      <c r="D100" s="545" t="s">
        <v>2185</v>
      </c>
      <c r="E100" s="545" t="s">
        <v>2416</v>
      </c>
      <c r="F100" s="1271"/>
      <c r="G100" s="1272"/>
      <c r="H100" s="1259"/>
      <c r="I100" s="1259"/>
      <c r="J100" s="1260"/>
      <c r="M100" s="64">
        <f>IF($L$92=0,0,1)</f>
        <v>0</v>
      </c>
      <c r="R100" s="64" t="s">
        <v>2186</v>
      </c>
    </row>
    <row r="101" spans="1:18" ht="18" customHeight="1" x14ac:dyDescent="0.25">
      <c r="A101" s="386">
        <f t="shared" si="20"/>
        <v>0</v>
      </c>
      <c r="B101" s="386">
        <f>IF(M101=0,0,SUM($M$92:M101))</f>
        <v>0</v>
      </c>
      <c r="C101" s="303">
        <v>30501123</v>
      </c>
      <c r="D101" s="545" t="s">
        <v>2182</v>
      </c>
      <c r="E101" s="545" t="s">
        <v>2416</v>
      </c>
      <c r="F101" s="1271" t="s">
        <v>2430</v>
      </c>
      <c r="G101" s="1272"/>
      <c r="H101" s="1289" t="s">
        <v>2184</v>
      </c>
      <c r="I101" s="1289"/>
      <c r="J101" s="1290"/>
      <c r="M101" s="64">
        <f>IF($L$92=0,0,IF(AND(P101=TRUE,R101=TRUE),1,0))</f>
        <v>0</v>
      </c>
      <c r="P101" s="626" t="b">
        <v>0</v>
      </c>
      <c r="Q101" s="626" t="b">
        <v>0</v>
      </c>
      <c r="R101" s="68" t="b">
        <f>IF(OR(AND(P101=FALSE,Q101=FALSE),AND(P101=TRUE,Q101=TRUE)),FALSE,TRUE)</f>
        <v>0</v>
      </c>
    </row>
    <row r="102" spans="1:18" ht="18" customHeight="1" thickBot="1" x14ac:dyDescent="0.3">
      <c r="A102" s="390">
        <f t="shared" si="20"/>
        <v>0</v>
      </c>
      <c r="B102" s="390">
        <f>IF(M102=0,0,SUM($M$92:M102))</f>
        <v>0</v>
      </c>
      <c r="C102" s="310">
        <v>30502032</v>
      </c>
      <c r="D102" s="545" t="s">
        <v>2183</v>
      </c>
      <c r="E102" s="629" t="s">
        <v>2416</v>
      </c>
      <c r="F102" s="1273" t="s">
        <v>2431</v>
      </c>
      <c r="G102" s="1274"/>
      <c r="H102" s="1267" t="s">
        <v>2184</v>
      </c>
      <c r="I102" s="1267"/>
      <c r="J102" s="1268"/>
      <c r="M102" s="64">
        <f>IF($L$92=0,0,IF(AND(P102=TRUE,R102=TRUE),1,0))</f>
        <v>0</v>
      </c>
      <c r="P102" s="626" t="b">
        <v>0</v>
      </c>
      <c r="Q102" s="626" t="b">
        <v>0</v>
      </c>
      <c r="R102" s="68" t="b">
        <f>IF(OR(AND(P102=FALSE,Q102=FALSE),AND(P102=TRUE,Q102=TRUE)),FALSE,TRUE)</f>
        <v>0</v>
      </c>
    </row>
    <row r="103" spans="1:18" ht="18" customHeight="1" thickBot="1" x14ac:dyDescent="0.3">
      <c r="A103" s="1201" t="s">
        <v>2172</v>
      </c>
      <c r="B103" s="1202"/>
      <c r="C103" s="1202"/>
      <c r="D103" s="1202"/>
      <c r="E103" s="1203"/>
      <c r="F103" s="1172" t="s">
        <v>2500</v>
      </c>
      <c r="G103" s="1173"/>
      <c r="H103" s="1173"/>
      <c r="I103" s="1173"/>
      <c r="J103" s="1174"/>
    </row>
    <row r="104" spans="1:18" ht="18" customHeight="1" x14ac:dyDescent="0.25">
      <c r="A104" s="386">
        <f>IF($L$104=0,0,SUM($L$30:$L$106))</f>
        <v>0</v>
      </c>
      <c r="B104" s="386">
        <f>IF($L$104&gt;0,SUM($M$104:M104),0)</f>
        <v>0</v>
      </c>
      <c r="C104" s="303">
        <v>30502003</v>
      </c>
      <c r="D104" s="545" t="s">
        <v>2187</v>
      </c>
      <c r="E104" s="545" t="s">
        <v>2416</v>
      </c>
      <c r="F104" s="1175"/>
      <c r="G104" s="1176"/>
      <c r="H104" s="1176"/>
      <c r="I104" s="1176"/>
      <c r="J104" s="1177"/>
      <c r="L104" s="64">
        <f>IF(AND($I$5=TRUE,$K$5=TRUE,$E$5&gt;0),1,0)</f>
        <v>0</v>
      </c>
      <c r="M104" s="64">
        <f>IF(AND($I$5=TRUE,$K$5=TRUE,$E$5&gt;0),1,0)</f>
        <v>0</v>
      </c>
    </row>
    <row r="105" spans="1:18" ht="18" customHeight="1" x14ac:dyDescent="0.25">
      <c r="A105" s="386">
        <f>IF($L$104=0,0,SUM($L$30:$L$106))</f>
        <v>0</v>
      </c>
      <c r="B105" s="386">
        <f>IF($L$104&gt;0,SUM($M$104:M105),0)</f>
        <v>0</v>
      </c>
      <c r="C105" s="303">
        <v>30502003</v>
      </c>
      <c r="D105" s="545" t="s">
        <v>2187</v>
      </c>
      <c r="E105" s="545" t="s">
        <v>2416</v>
      </c>
      <c r="F105" s="1178"/>
      <c r="G105" s="1179"/>
      <c r="H105" s="1179"/>
      <c r="I105" s="1179"/>
      <c r="J105" s="1180"/>
      <c r="M105" s="64">
        <f>IF(AND($I$5=TRUE,$K$5=TRUE,$E$5&gt;1),1,0)</f>
        <v>0</v>
      </c>
    </row>
    <row r="106" spans="1:18" ht="18" customHeight="1" thickBot="1" x14ac:dyDescent="0.3">
      <c r="A106" s="386">
        <f>IF($L$104=0,0,SUM($L$30:$L$106))</f>
        <v>0</v>
      </c>
      <c r="B106" s="386">
        <f>IF($L$104&gt;0,SUM($M$104:M106),0)</f>
        <v>0</v>
      </c>
      <c r="C106" s="303">
        <v>30502003</v>
      </c>
      <c r="D106" s="545" t="s">
        <v>2187</v>
      </c>
      <c r="E106" s="545" t="s">
        <v>2416</v>
      </c>
      <c r="F106" s="1169"/>
      <c r="G106" s="1170"/>
      <c r="H106" s="1170"/>
      <c r="I106" s="1170"/>
      <c r="J106" s="1171"/>
      <c r="M106" s="64">
        <f>IF(AND($I$5=TRUE,$K$5=TRUE,$E$5&gt;2),1,0)</f>
        <v>0</v>
      </c>
    </row>
    <row r="107" spans="1:18" ht="18" customHeight="1" x14ac:dyDescent="0.25">
      <c r="A107" s="1201" t="s">
        <v>1916</v>
      </c>
      <c r="B107" s="1202"/>
      <c r="C107" s="1202"/>
      <c r="D107" s="1202"/>
      <c r="E107" s="1203"/>
    </row>
    <row r="108" spans="1:18" ht="18" customHeight="1" x14ac:dyDescent="0.25">
      <c r="A108" s="386">
        <f>IF($L$108=0,0,SUM($L$30:$L$109))</f>
        <v>0</v>
      </c>
      <c r="B108" s="386">
        <f>IF($L$108&gt;0,1,0)</f>
        <v>0</v>
      </c>
      <c r="C108" s="303">
        <v>2294000000</v>
      </c>
      <c r="D108" s="545" t="s">
        <v>2424</v>
      </c>
      <c r="E108" s="545" t="s">
        <v>2416</v>
      </c>
      <c r="L108" s="64">
        <f>IF(OR($E$7=$O$3,$E$7=$O$5),1,0)</f>
        <v>0</v>
      </c>
    </row>
    <row r="109" spans="1:18" ht="18" customHeight="1" x14ac:dyDescent="0.25">
      <c r="A109" s="386">
        <f>IF($L$108=0,0,SUM($L$30:$L$109))</f>
        <v>0</v>
      </c>
      <c r="B109" s="386">
        <f>IF($L$108&gt;0,2,0)</f>
        <v>0</v>
      </c>
      <c r="C109" s="303">
        <v>2294000000</v>
      </c>
      <c r="D109" s="545" t="s">
        <v>2425</v>
      </c>
      <c r="E109" s="545" t="s">
        <v>2416</v>
      </c>
    </row>
    <row r="110" spans="1:18" ht="18" customHeight="1" x14ac:dyDescent="0.25">
      <c r="A110" s="386">
        <f>IF($L$110=0,0,SUM($L$30:$L$111))</f>
        <v>0</v>
      </c>
      <c r="B110" s="386">
        <f>IF($L$110&gt;0,1,0)</f>
        <v>0</v>
      </c>
      <c r="C110" s="303">
        <v>2296000000</v>
      </c>
      <c r="D110" s="545" t="s">
        <v>2426</v>
      </c>
      <c r="E110" s="545" t="s">
        <v>2416</v>
      </c>
      <c r="L110" s="64">
        <f>IF(OR($E$7=$O$4,$E$7=$O$5),1,0)</f>
        <v>0</v>
      </c>
    </row>
    <row r="111" spans="1:18" ht="18" customHeight="1" thickBot="1" x14ac:dyDescent="0.3">
      <c r="A111" s="386">
        <f>IF($L$110=0,0,SUM($L$30:$L$111))</f>
        <v>0</v>
      </c>
      <c r="B111" s="386">
        <f>IF($L$110&gt;0,2,0)</f>
        <v>0</v>
      </c>
      <c r="C111" s="303">
        <v>2296000000</v>
      </c>
      <c r="D111" s="545" t="s">
        <v>2427</v>
      </c>
      <c r="E111" s="545" t="s">
        <v>2416</v>
      </c>
    </row>
    <row r="112" spans="1:18" ht="18" customHeight="1" x14ac:dyDescent="0.25">
      <c r="A112" s="1201" t="s">
        <v>2380</v>
      </c>
      <c r="B112" s="1202"/>
      <c r="C112" s="1202"/>
      <c r="D112" s="1202"/>
      <c r="E112" s="1203"/>
      <c r="F112" s="1181" t="s">
        <v>2501</v>
      </c>
      <c r="G112" s="1182"/>
      <c r="H112" s="1182"/>
      <c r="I112" s="1182"/>
      <c r="J112" s="1183"/>
      <c r="K112" s="625"/>
      <c r="L112" s="625"/>
    </row>
    <row r="113" spans="1:12" ht="18" customHeight="1" thickBot="1" x14ac:dyDescent="0.3">
      <c r="A113" s="386">
        <f>SUM(L30:L113)</f>
        <v>1</v>
      </c>
      <c r="B113" s="386">
        <v>1</v>
      </c>
      <c r="C113" s="303">
        <v>30502502</v>
      </c>
      <c r="D113" s="545" t="s">
        <v>2264</v>
      </c>
      <c r="E113" s="545" t="s">
        <v>2499</v>
      </c>
      <c r="F113" s="1184"/>
      <c r="G113" s="1185"/>
      <c r="H113" s="1185"/>
      <c r="I113" s="1185"/>
      <c r="J113" s="1186"/>
      <c r="K113" s="625"/>
      <c r="L113" s="625">
        <v>1</v>
      </c>
    </row>
    <row r="114" spans="1:12" ht="18" customHeight="1" thickBot="1" x14ac:dyDescent="0.3">
      <c r="A114" s="1201" t="s">
        <v>2188</v>
      </c>
      <c r="B114" s="1202"/>
      <c r="C114" s="1202"/>
      <c r="D114" s="1202"/>
      <c r="E114" s="1203"/>
      <c r="F114" s="1172" t="s">
        <v>2502</v>
      </c>
      <c r="G114" s="1173"/>
      <c r="H114" s="1173"/>
      <c r="I114" s="1173"/>
      <c r="J114" s="1174"/>
    </row>
    <row r="115" spans="1:12" ht="18" customHeight="1" x14ac:dyDescent="0.25">
      <c r="A115" s="386">
        <f>IF($L$115=0,0,SUM($L$30:$L$115))</f>
        <v>0</v>
      </c>
      <c r="B115" s="386">
        <v>1</v>
      </c>
      <c r="C115" s="303">
        <f ca="1">SUMIF($P$3:$Q$7,D115,$Q$3:$Q$7)</f>
        <v>0</v>
      </c>
      <c r="D115" s="289"/>
      <c r="E115" s="545" t="str">
        <f ca="1">IF(OR(C115=$Q$3,C115=$Q$4),"Diesel Combustion",IF(C115=$Q$5,"Gasoline Combustion",IF(OR(C115=$Q$6,C115=$Q$7),"Natural Gas Combustion","")))</f>
        <v/>
      </c>
      <c r="F115" s="1175"/>
      <c r="G115" s="1176"/>
      <c r="H115" s="1176"/>
      <c r="I115" s="1176"/>
      <c r="J115" s="1177"/>
      <c r="L115" s="64">
        <f>IF(AND($I$6=TRUE,$K$6=TRUE,$E$6&gt;0),1,0)</f>
        <v>0</v>
      </c>
    </row>
    <row r="116" spans="1:12" ht="18" customHeight="1" x14ac:dyDescent="0.25">
      <c r="A116" s="386">
        <f>IF($L$116=0,0,SUM($L$30:$L$116))</f>
        <v>0</v>
      </c>
      <c r="B116" s="386">
        <v>1</v>
      </c>
      <c r="C116" s="303">
        <f ca="1">SUMIF($P$3:$Q$7,D116,$Q$3:$Q$7)</f>
        <v>0</v>
      </c>
      <c r="D116" s="289"/>
      <c r="E116" s="545" t="str">
        <f t="shared" ref="E116:E118" ca="1" si="22">IF(OR(C116=$Q$3,C116=$Q$4),"Diesel Combustion",IF(C116=$Q$5,"Gasoline Combustion",IF(OR(C116=$Q$6,C116=$Q$7),"Natural Gas Combustion","")))</f>
        <v/>
      </c>
      <c r="F116" s="1178"/>
      <c r="G116" s="1179"/>
      <c r="H116" s="1179"/>
      <c r="I116" s="1179"/>
      <c r="J116" s="1180"/>
      <c r="L116" s="64">
        <f>IF(AND($I$6=TRUE,$K$6=TRUE,$E$6&gt;1),1,0)</f>
        <v>0</v>
      </c>
    </row>
    <row r="117" spans="1:12" ht="18" customHeight="1" x14ac:dyDescent="0.25">
      <c r="A117" s="386">
        <f>IF($L$117=0,0,SUM($L$30:$L$117))</f>
        <v>0</v>
      </c>
      <c r="B117" s="386">
        <v>1</v>
      </c>
      <c r="C117" s="303">
        <f ca="1">SUMIF($P$3:$Q$7,D117,$Q$3:$Q$7)</f>
        <v>0</v>
      </c>
      <c r="D117" s="289"/>
      <c r="E117" s="545" t="str">
        <f t="shared" ca="1" si="22"/>
        <v/>
      </c>
      <c r="F117" s="1178"/>
      <c r="G117" s="1179"/>
      <c r="H117" s="1179"/>
      <c r="I117" s="1179"/>
      <c r="J117" s="1180"/>
      <c r="L117" s="64">
        <f>IF(AND($I$6=TRUE,$K$6=TRUE,$E$6&gt;2),1,0)</f>
        <v>0</v>
      </c>
    </row>
    <row r="118" spans="1:12" ht="18" customHeight="1" thickBot="1" x14ac:dyDescent="0.3">
      <c r="A118" s="386">
        <f>IF($L$118=0,0,SUM($L$30:$L$118))</f>
        <v>0</v>
      </c>
      <c r="B118" s="386">
        <v>1</v>
      </c>
      <c r="C118" s="303">
        <f ca="1">SUMIF($P$3:$Q$7,D118,$Q$3:$Q$7)</f>
        <v>0</v>
      </c>
      <c r="D118" s="289"/>
      <c r="E118" s="545" t="str">
        <f t="shared" ca="1" si="22"/>
        <v/>
      </c>
      <c r="F118" s="1169"/>
      <c r="G118" s="1170"/>
      <c r="H118" s="1170"/>
      <c r="I118" s="1170"/>
      <c r="J118" s="1171"/>
      <c r="L118" s="64">
        <f>IF(AND($I$6=TRUE,$K$6=TRUE,$E$6&gt;3),1,0)</f>
        <v>0</v>
      </c>
    </row>
    <row r="119" spans="1:12" ht="18" customHeight="1" x14ac:dyDescent="0.25">
      <c r="A119" s="1201" t="s">
        <v>1917</v>
      </c>
      <c r="B119" s="1202"/>
      <c r="C119" s="1202"/>
      <c r="D119" s="1202"/>
      <c r="E119" s="1203"/>
    </row>
    <row r="120" spans="1:12" ht="18" customHeight="1" x14ac:dyDescent="0.25">
      <c r="A120" s="242"/>
      <c r="B120" s="242"/>
      <c r="C120" s="241"/>
      <c r="D120" s="289"/>
      <c r="E120" s="289"/>
    </row>
    <row r="121" spans="1:12" ht="18" customHeight="1" x14ac:dyDescent="0.25">
      <c r="A121" s="242"/>
      <c r="B121" s="242"/>
      <c r="C121" s="241"/>
      <c r="D121" s="289"/>
      <c r="E121" s="289"/>
    </row>
    <row r="122" spans="1:12" ht="18" customHeight="1" x14ac:dyDescent="0.25">
      <c r="A122" s="242"/>
      <c r="B122" s="242"/>
      <c r="C122" s="241"/>
      <c r="D122" s="289"/>
      <c r="E122" s="289"/>
    </row>
    <row r="123" spans="1:12" ht="18" customHeight="1" x14ac:dyDescent="0.25">
      <c r="A123" s="242"/>
      <c r="B123" s="242"/>
      <c r="C123" s="241"/>
      <c r="D123" s="289"/>
      <c r="E123" s="289"/>
    </row>
    <row r="124" spans="1:12" ht="18" customHeight="1" x14ac:dyDescent="0.25">
      <c r="A124" s="242"/>
      <c r="B124" s="242"/>
      <c r="C124" s="241"/>
      <c r="D124" s="289"/>
      <c r="E124" s="289"/>
    </row>
    <row r="125" spans="1:12" ht="18" customHeight="1" x14ac:dyDescent="0.25">
      <c r="A125" s="242"/>
      <c r="B125" s="242"/>
      <c r="C125" s="241"/>
      <c r="D125" s="289"/>
      <c r="E125" s="289"/>
    </row>
    <row r="126" spans="1:12" ht="18" customHeight="1" x14ac:dyDescent="0.25">
      <c r="A126" s="242"/>
      <c r="B126" s="242"/>
      <c r="C126" s="241"/>
      <c r="D126" s="289"/>
      <c r="E126" s="289"/>
    </row>
    <row r="127" spans="1:12" ht="18" customHeight="1" x14ac:dyDescent="0.25">
      <c r="A127" s="242"/>
      <c r="B127" s="242"/>
      <c r="C127" s="241"/>
      <c r="D127" s="289"/>
      <c r="E127" s="289"/>
    </row>
    <row r="128" spans="1:12" ht="18" customHeight="1" x14ac:dyDescent="0.25">
      <c r="A128" s="242"/>
      <c r="B128" s="242"/>
      <c r="C128" s="241"/>
      <c r="D128" s="289"/>
      <c r="E128" s="289"/>
    </row>
    <row r="129" spans="1:5" ht="18" customHeight="1" x14ac:dyDescent="0.25">
      <c r="A129" s="242"/>
      <c r="B129" s="242"/>
      <c r="C129" s="241"/>
      <c r="D129" s="289"/>
      <c r="E129" s="289"/>
    </row>
    <row r="130" spans="1:5" ht="18" customHeight="1" x14ac:dyDescent="0.25">
      <c r="A130" s="242"/>
      <c r="B130" s="242"/>
      <c r="C130" s="241"/>
      <c r="D130" s="289"/>
      <c r="E130" s="289"/>
    </row>
    <row r="131" spans="1:5" ht="18" customHeight="1" x14ac:dyDescent="0.25">
      <c r="A131" s="242"/>
      <c r="B131" s="242"/>
      <c r="C131" s="241"/>
      <c r="D131" s="289"/>
      <c r="E131" s="289"/>
    </row>
    <row r="132" spans="1:5" ht="18" customHeight="1" x14ac:dyDescent="0.25">
      <c r="A132" s="242"/>
      <c r="B132" s="242"/>
      <c r="C132" s="241"/>
      <c r="D132" s="289"/>
      <c r="E132" s="289"/>
    </row>
    <row r="133" spans="1:5" ht="18" customHeight="1" x14ac:dyDescent="0.25">
      <c r="A133" s="242"/>
      <c r="B133" s="242"/>
      <c r="C133" s="241"/>
      <c r="D133" s="289"/>
      <c r="E133" s="289"/>
    </row>
    <row r="134" spans="1:5" ht="18" customHeight="1" x14ac:dyDescent="0.25">
      <c r="A134" s="242"/>
      <c r="B134" s="242"/>
      <c r="C134" s="241"/>
      <c r="D134" s="289"/>
      <c r="E134" s="289"/>
    </row>
    <row r="135" spans="1:5" ht="18" customHeight="1" x14ac:dyDescent="0.25">
      <c r="A135" s="242"/>
      <c r="B135" s="242"/>
      <c r="C135" s="241"/>
      <c r="D135" s="289"/>
      <c r="E135" s="289"/>
    </row>
    <row r="136" spans="1:5" ht="18" customHeight="1" x14ac:dyDescent="0.25">
      <c r="A136" s="242"/>
      <c r="B136" s="242"/>
      <c r="C136" s="241"/>
      <c r="D136" s="289"/>
      <c r="E136" s="289"/>
    </row>
    <row r="137" spans="1:5" ht="18" customHeight="1" x14ac:dyDescent="0.25">
      <c r="A137" s="242"/>
      <c r="B137" s="242"/>
      <c r="C137" s="241"/>
      <c r="D137" s="289"/>
      <c r="E137" s="289"/>
    </row>
    <row r="138" spans="1:5" ht="18" customHeight="1" x14ac:dyDescent="0.25">
      <c r="A138" s="242"/>
      <c r="B138" s="242"/>
      <c r="C138" s="241"/>
      <c r="D138" s="289"/>
      <c r="E138" s="289"/>
    </row>
    <row r="139" spans="1:5" ht="18" customHeight="1" x14ac:dyDescent="0.25">
      <c r="A139" s="242"/>
      <c r="B139" s="242"/>
      <c r="C139" s="241"/>
      <c r="D139" s="289"/>
      <c r="E139" s="289"/>
    </row>
    <row r="140" spans="1:5" ht="18" customHeight="1" x14ac:dyDescent="0.25">
      <c r="A140" s="242"/>
      <c r="B140" s="242"/>
      <c r="C140" s="241"/>
      <c r="D140" s="289"/>
      <c r="E140" s="289"/>
    </row>
    <row r="141" spans="1:5" ht="18" customHeight="1" x14ac:dyDescent="0.25">
      <c r="A141" s="242"/>
      <c r="B141" s="242"/>
      <c r="C141" s="241"/>
      <c r="D141" s="289"/>
      <c r="E141" s="289"/>
    </row>
    <row r="142" spans="1:5" ht="18" customHeight="1" thickBot="1" x14ac:dyDescent="0.3">
      <c r="A142" s="244"/>
      <c r="B142" s="244"/>
      <c r="C142" s="243"/>
      <c r="D142" s="293"/>
      <c r="E142" s="293"/>
    </row>
    <row r="143" spans="1:5" ht="18" customHeight="1" x14ac:dyDescent="0.25"/>
  </sheetData>
  <sheetProtection algorithmName="SHA-512" hashValue="CgWJAxv0/wNL5P/PiKaQqwY0vHjOxwVagpZr2bjBzmmNYGn/ctAMvjRs7rRnSWzbVZpUXFmXEIJuJOjIliddVw==" saltValue="dsxqyo+vFT35/3dcc6v4xg==" spinCount="100000" sheet="1" objects="1" scenarios="1"/>
  <mergeCells count="117">
    <mergeCell ref="F101:G101"/>
    <mergeCell ref="F102:G102"/>
    <mergeCell ref="F91:G91"/>
    <mergeCell ref="F90:G90"/>
    <mergeCell ref="F87:G89"/>
    <mergeCell ref="H98:J100"/>
    <mergeCell ref="F74:G75"/>
    <mergeCell ref="F76:G78"/>
    <mergeCell ref="F79:G79"/>
    <mergeCell ref="F80:G80"/>
    <mergeCell ref="F96:G97"/>
    <mergeCell ref="F98:G100"/>
    <mergeCell ref="F85:G86"/>
    <mergeCell ref="F92:G94"/>
    <mergeCell ref="H92:J94"/>
    <mergeCell ref="F95:J95"/>
    <mergeCell ref="H96:J97"/>
    <mergeCell ref="H102:J102"/>
    <mergeCell ref="H101:J101"/>
    <mergeCell ref="H91:J91"/>
    <mergeCell ref="H90:J90"/>
    <mergeCell ref="H87:J89"/>
    <mergeCell ref="F59:G59"/>
    <mergeCell ref="H59:J59"/>
    <mergeCell ref="F60:G60"/>
    <mergeCell ref="H60:J60"/>
    <mergeCell ref="F63:G63"/>
    <mergeCell ref="H63:J63"/>
    <mergeCell ref="H74:J75"/>
    <mergeCell ref="H76:J78"/>
    <mergeCell ref="H85:J86"/>
    <mergeCell ref="F64:G64"/>
    <mergeCell ref="H64:J64"/>
    <mergeCell ref="F65:G65"/>
    <mergeCell ref="H65:J65"/>
    <mergeCell ref="F61:G62"/>
    <mergeCell ref="H61:J62"/>
    <mergeCell ref="F70:G72"/>
    <mergeCell ref="H70:J72"/>
    <mergeCell ref="F81:G83"/>
    <mergeCell ref="H81:J83"/>
    <mergeCell ref="F84:J84"/>
    <mergeCell ref="F73:J73"/>
    <mergeCell ref="H80:J80"/>
    <mergeCell ref="H79:J79"/>
    <mergeCell ref="F51:G51"/>
    <mergeCell ref="H51:J51"/>
    <mergeCell ref="F52:G52"/>
    <mergeCell ref="H52:J52"/>
    <mergeCell ref="F56:G58"/>
    <mergeCell ref="H56:J58"/>
    <mergeCell ref="F48:G49"/>
    <mergeCell ref="H48:J49"/>
    <mergeCell ref="F46:G46"/>
    <mergeCell ref="H46:J46"/>
    <mergeCell ref="F47:G47"/>
    <mergeCell ref="H47:J47"/>
    <mergeCell ref="F50:G50"/>
    <mergeCell ref="H50:J50"/>
    <mergeCell ref="F35:G36"/>
    <mergeCell ref="F43:G45"/>
    <mergeCell ref="H43:J45"/>
    <mergeCell ref="H34:J34"/>
    <mergeCell ref="H37:J37"/>
    <mergeCell ref="H38:J38"/>
    <mergeCell ref="H39:J39"/>
    <mergeCell ref="H35:J36"/>
    <mergeCell ref="C27:C28"/>
    <mergeCell ref="H33:J33"/>
    <mergeCell ref="F33:G33"/>
    <mergeCell ref="F34:G34"/>
    <mergeCell ref="F37:G37"/>
    <mergeCell ref="F38:G38"/>
    <mergeCell ref="F39:G39"/>
    <mergeCell ref="F27:J28"/>
    <mergeCell ref="F30:G32"/>
    <mergeCell ref="H30:J32"/>
    <mergeCell ref="A119:E119"/>
    <mergeCell ref="A112:E112"/>
    <mergeCell ref="A114:E114"/>
    <mergeCell ref="A69:E69"/>
    <mergeCell ref="A103:E103"/>
    <mergeCell ref="A107:E107"/>
    <mergeCell ref="A15:E15"/>
    <mergeCell ref="A12:E12"/>
    <mergeCell ref="A23:E23"/>
    <mergeCell ref="A22:E22"/>
    <mergeCell ref="A25:E25"/>
    <mergeCell ref="A26:E26"/>
    <mergeCell ref="A27:B27"/>
    <mergeCell ref="E27:E28"/>
    <mergeCell ref="D27:D28"/>
    <mergeCell ref="A29:E29"/>
    <mergeCell ref="A2:E2"/>
    <mergeCell ref="A1:E1"/>
    <mergeCell ref="A13:B13"/>
    <mergeCell ref="C13:C14"/>
    <mergeCell ref="D13:D14"/>
    <mergeCell ref="E13:E14"/>
    <mergeCell ref="B4:D4"/>
    <mergeCell ref="B7:D7"/>
    <mergeCell ref="B6:D6"/>
    <mergeCell ref="B5:D5"/>
    <mergeCell ref="A10:E10"/>
    <mergeCell ref="A11:E11"/>
    <mergeCell ref="B3:D3"/>
    <mergeCell ref="B8:D8"/>
    <mergeCell ref="F118:J118"/>
    <mergeCell ref="F103:J103"/>
    <mergeCell ref="F104:J104"/>
    <mergeCell ref="F105:J105"/>
    <mergeCell ref="F106:J106"/>
    <mergeCell ref="F112:J113"/>
    <mergeCell ref="F114:J114"/>
    <mergeCell ref="F115:J115"/>
    <mergeCell ref="F116:J116"/>
    <mergeCell ref="F117:J117"/>
  </mergeCells>
  <conditionalFormatting sqref="A30:E68">
    <cfRule type="expression" dxfId="340" priority="25">
      <formula>OR($A30=0,$B30=0)</formula>
    </cfRule>
  </conditionalFormatting>
  <conditionalFormatting sqref="A70:E102">
    <cfRule type="expression" dxfId="339" priority="17">
      <formula>OR($A70=0,$B70=0)</formula>
    </cfRule>
  </conditionalFormatting>
  <conditionalFormatting sqref="A104:E106">
    <cfRule type="expression" dxfId="338" priority="55">
      <formula>$M104=0</formula>
    </cfRule>
    <cfRule type="expression" dxfId="337" priority="156" stopIfTrue="1">
      <formula>$L$104=0</formula>
    </cfRule>
  </conditionalFormatting>
  <conditionalFormatting sqref="A108:E111">
    <cfRule type="expression" dxfId="336" priority="145">
      <formula>$A108=0</formula>
    </cfRule>
  </conditionalFormatting>
  <conditionalFormatting sqref="A113:E113">
    <cfRule type="expression" dxfId="335" priority="195" stopIfTrue="1">
      <formula>$B113=0</formula>
    </cfRule>
  </conditionalFormatting>
  <conditionalFormatting sqref="A115:E118">
    <cfRule type="expression" dxfId="334" priority="139" stopIfTrue="1">
      <formula>$A115=0</formula>
    </cfRule>
  </conditionalFormatting>
  <conditionalFormatting sqref="A120:E142">
    <cfRule type="expression" dxfId="333" priority="187">
      <formula>AND(NOT(ISBLANK($A120)),ISBLANK(A120))</formula>
    </cfRule>
  </conditionalFormatting>
  <conditionalFormatting sqref="B16:B21">
    <cfRule type="expression" dxfId="332" priority="233">
      <formula>AND(NOT(ISBLANK(A16)),ISBLANK(B16))</formula>
    </cfRule>
  </conditionalFormatting>
  <conditionalFormatting sqref="B5:D5">
    <cfRule type="expression" dxfId="331" priority="132">
      <formula>AND($I$5=TRUE,$J$5=TRUE)</formula>
    </cfRule>
  </conditionalFormatting>
  <conditionalFormatting sqref="B6:D6">
    <cfRule type="expression" dxfId="330" priority="135">
      <formula>AND($I$6=TRUE,$J$6=TRUE)</formula>
    </cfRule>
  </conditionalFormatting>
  <conditionalFormatting sqref="C16:C21">
    <cfRule type="expression" dxfId="329" priority="229">
      <formula>AND(NOT(ISBLANK(A16)),NOT(ISBLANK(B16)),ISBLANK(C16))</formula>
    </cfRule>
    <cfRule type="expression" dxfId="328" priority="232">
      <formula>C16&gt;99999999</formula>
    </cfRule>
  </conditionalFormatting>
  <conditionalFormatting sqref="C104:C106 C115:C118 C30:C68 C70:C102 C108:C111 C120:C142">
    <cfRule type="expression" dxfId="327" priority="247">
      <formula>C30&gt;99999999</formula>
    </cfRule>
  </conditionalFormatting>
  <conditionalFormatting sqref="C113">
    <cfRule type="expression" dxfId="326" priority="221">
      <formula>C113&gt;99999999</formula>
    </cfRule>
  </conditionalFormatting>
  <conditionalFormatting sqref="D16:D21">
    <cfRule type="expression" dxfId="325" priority="231">
      <formula>AND(NOT(ISBLANK(A16)),NOT(ISBLANK(B16)),NOT(ISBLANK(C16)),ISBLANK(D16))</formula>
    </cfRule>
  </conditionalFormatting>
  <conditionalFormatting sqref="D115:D118">
    <cfRule type="expression" dxfId="324" priority="141">
      <formula>AND($A115&gt;0,ISBLANK($D115))</formula>
    </cfRule>
  </conditionalFormatting>
  <conditionalFormatting sqref="E4:E6">
    <cfRule type="expression" dxfId="323" priority="142" stopIfTrue="1">
      <formula>AND($J4=TRUE,$K4=TRUE)</formula>
    </cfRule>
  </conditionalFormatting>
  <conditionalFormatting sqref="E4:E7">
    <cfRule type="expression" dxfId="322" priority="143">
      <formula>AND(ISBLANK($E4),$I4=TRUE,$K4=TRUE)</formula>
    </cfRule>
  </conditionalFormatting>
  <conditionalFormatting sqref="E8">
    <cfRule type="expression" dxfId="321" priority="205">
      <formula>AND($J8=TRUE,$K8=TRUE)</formula>
    </cfRule>
    <cfRule type="expression" dxfId="320" priority="227">
      <formula>$K$8=FALSE</formula>
    </cfRule>
  </conditionalFormatting>
  <conditionalFormatting sqref="E16:E21">
    <cfRule type="expression" dxfId="319" priority="230">
      <formula>AND(NOT(ISBLANK(A16)),NOT(ISBLANK(B16)),NOT(ISBLANK(C16)),NOT(ISBLANK(D16)),ISBLANK(E16))</formula>
    </cfRule>
  </conditionalFormatting>
  <conditionalFormatting sqref="E104:E106 E3 E7">
    <cfRule type="expression" dxfId="318" priority="166">
      <formula>ISBLANK($E3)</formula>
    </cfRule>
  </conditionalFormatting>
  <conditionalFormatting sqref="E113">
    <cfRule type="expression" dxfId="317" priority="922">
      <formula>AND(#REF!&gt;0,ISBLANK($E113))</formula>
    </cfRule>
  </conditionalFormatting>
  <conditionalFormatting sqref="E115:E118">
    <cfRule type="expression" dxfId="316" priority="140">
      <formula>AND($A115&gt;0,ISBLANK($E115))</formula>
    </cfRule>
  </conditionalFormatting>
  <conditionalFormatting sqref="F5:F6">
    <cfRule type="expression" dxfId="315" priority="133">
      <formula>AND(J5=TRUE,K5=TRUE,ISNUMBER(E5))</formula>
    </cfRule>
  </conditionalFormatting>
  <conditionalFormatting sqref="F8">
    <cfRule type="expression" dxfId="314" priority="224">
      <formula>AND($I8=TRUE,$J8=TRUE)</formula>
    </cfRule>
  </conditionalFormatting>
  <conditionalFormatting sqref="F30:J39">
    <cfRule type="expression" dxfId="313" priority="10">
      <formula>$L$30=0</formula>
    </cfRule>
  </conditionalFormatting>
  <conditionalFormatting sqref="F43:J52">
    <cfRule type="expression" dxfId="312" priority="15">
      <formula>$L$43=0</formula>
    </cfRule>
  </conditionalFormatting>
  <conditionalFormatting sqref="F56:J65">
    <cfRule type="expression" dxfId="311" priority="14">
      <formula>$L$56=0</formula>
    </cfRule>
  </conditionalFormatting>
  <conditionalFormatting sqref="F70:J80">
    <cfRule type="expression" dxfId="310" priority="9">
      <formula>$L$70=0</formula>
    </cfRule>
  </conditionalFormatting>
  <conditionalFormatting sqref="F81:J91">
    <cfRule type="expression" dxfId="309" priority="8">
      <formula>$L$81=0</formula>
    </cfRule>
  </conditionalFormatting>
  <conditionalFormatting sqref="F92:J102">
    <cfRule type="expression" dxfId="308" priority="11">
      <formula>$L$92=0</formula>
    </cfRule>
  </conditionalFormatting>
  <conditionalFormatting sqref="F103:J106">
    <cfRule type="expression" dxfId="307" priority="6">
      <formula>$L$104=0</formula>
    </cfRule>
  </conditionalFormatting>
  <conditionalFormatting sqref="F104:J106">
    <cfRule type="expression" dxfId="306" priority="2">
      <formula>$M104=0</formula>
    </cfRule>
    <cfRule type="expression" dxfId="305" priority="5">
      <formula>AND(ISBLANK(F104),M104&gt;0)</formula>
    </cfRule>
  </conditionalFormatting>
  <conditionalFormatting sqref="F112:J118">
    <cfRule type="expression" dxfId="304" priority="4">
      <formula>$L$115=0</formula>
    </cfRule>
  </conditionalFormatting>
  <conditionalFormatting sqref="F115:J117 F118">
    <cfRule type="expression" dxfId="303" priority="1">
      <formula>$L115=0</formula>
    </cfRule>
    <cfRule type="expression" dxfId="302" priority="3">
      <formula>AND(ISBLANK(F115),$L115&gt;0)</formula>
    </cfRule>
  </conditionalFormatting>
  <conditionalFormatting sqref="H30:J36 H43:J49 H56:J62">
    <cfRule type="expression" dxfId="301" priority="23">
      <formula>ISBLANK(H30)</formula>
    </cfRule>
  </conditionalFormatting>
  <conditionalFormatting sqref="H34:J34 H47:J47 H60:J60">
    <cfRule type="expression" dxfId="300" priority="22">
      <formula>H33=$R$3</formula>
    </cfRule>
  </conditionalFormatting>
  <conditionalFormatting sqref="H50:J52 H63:J65 H37:J39">
    <cfRule type="expression" dxfId="299" priority="16">
      <formula>$R37=FALSE</formula>
    </cfRule>
  </conditionalFormatting>
  <conditionalFormatting sqref="H70:J72">
    <cfRule type="expression" dxfId="298" priority="21">
      <formula>ISBLANK(H70)</formula>
    </cfRule>
  </conditionalFormatting>
  <conditionalFormatting sqref="H81:J83">
    <cfRule type="expression" dxfId="297" priority="20">
      <formula>ISBLANK(H81)</formula>
    </cfRule>
  </conditionalFormatting>
  <conditionalFormatting sqref="H92:J94">
    <cfRule type="expression" dxfId="296" priority="19">
      <formula>ISBLANK(H92)</formula>
    </cfRule>
  </conditionalFormatting>
  <conditionalFormatting sqref="H96:J102 H74:J80 H85:J91">
    <cfRule type="expression" dxfId="295" priority="18">
      <formula>R74=FALSE</formula>
    </cfRule>
  </conditionalFormatting>
  <dataValidations count="7">
    <dataValidation type="list" allowBlank="1" showInputMessage="1" showErrorMessage="1" errorTitle="Invalid Entry" error="Select a number from the list." promptTitle="Enter Number" prompt="Select a number from the list." sqref="E3:E5" xr:uid="{00000000-0002-0000-0300-000000000000}">
      <formula1>$N$4:$N$6</formula1>
    </dataValidation>
    <dataValidation type="list" allowBlank="1" showInputMessage="1" showErrorMessage="1" errorTitle="Invalid Entry" error="Select a number from the list." promptTitle="Enter Number" prompt="Select a number from the list." sqref="E6" xr:uid="{00000000-0002-0000-0300-000001000000}">
      <formula1>$N$4:$N$7</formula1>
    </dataValidation>
    <dataValidation type="list" allowBlank="1" showInputMessage="1" showErrorMessage="1" errorTitle="Invalid Entry" error="Select an entry from the list." promptTitle="Haul Road Type" prompt="Select what type of roads your facility has." sqref="E7" xr:uid="{00000000-0002-0000-0300-000003000000}">
      <formula1>$O$3:$O$5</formula1>
    </dataValidation>
    <dataValidation type="list" allowBlank="1" showInputMessage="1" showErrorMessage="1" errorTitle="Invalid Entry" error="You must select an engine type from the list." promptTitle="Select Engine Type" prompt="Using the drop-down box, select the type of engine from the list." sqref="D115:D118" xr:uid="{00000000-0002-0000-0300-000004000000}">
      <formula1>$P$3:$P$7</formula1>
    </dataValidation>
    <dataValidation type="list" allowBlank="1" showInputMessage="1" showErrorMessage="1" errorTitle="Invalid Entry" error="Select a plant type using the drop-down box." promptTitle="Select Plant Type" prompt="Select a plant type using the drop-down box." sqref="H33 H46 H59" xr:uid="{00000000-0002-0000-0300-000005000000}">
      <formula1>$R$3:$R$4</formula1>
    </dataValidation>
    <dataValidation type="list" allowBlank="1" showInputMessage="1" showErrorMessage="1" errorTitle="Invalid entry." error="Select an entry from the drop-down list." promptTitle="Select flow type." prompt="Indicate whether this plant is &quot;Parallel Flow&quot; or &quot;Counter Flow&quot;." sqref="H34:J34 H47:J47 H60:J60" xr:uid="{00000000-0002-0000-0300-000006000000}">
      <formula1>$T$8:$T$9</formula1>
    </dataValidation>
    <dataValidation type="list" allowBlank="1" showInputMessage="1" showErrorMessage="1" errorTitle="Invalid entry." error="Select a valid entry using the drop-down list." promptTitle="Select fuel type." prompt="Select the type of fuel burned by the asphalt oil heater associated with this asphalt plant." sqref="H35:J36 H48:J49 H61:J62" xr:uid="{00000000-0002-0000-0300-000007000000}">
      <formula1>$Y$3:$Y$6</formula1>
    </dataValidation>
  </dataValidations>
  <printOptions horizontalCentered="1"/>
  <pageMargins left="0.5" right="0.5" top="0.5" bottom="0.5" header="0.3" footer="0.3"/>
  <pageSetup scale="72" fitToHeight="0" orientation="landscape" r:id="rId1"/>
  <headerFooter>
    <oddFooter>&amp;LRev. 7/2016&amp;C&amp;A&amp;RPage &amp;P</oddFooter>
  </headerFooter>
  <rowBreaks count="2" manualBreakCount="2">
    <brk id="42" max="4" man="1"/>
    <brk id="117" max="4" man="1"/>
  </rowBreaks>
  <ignoredErrors>
    <ignoredError sqref="B31:B42 B44:B49 B57:B63 B71:B101"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4897" r:id="rId4" name="Check Box 81">
              <controlPr defaultSize="0" autoFill="0" autoLine="0" autoPict="0">
                <anchor moveWithCells="1">
                  <from>
                    <xdr:col>3</xdr:col>
                    <xdr:colOff>2619375</xdr:colOff>
                    <xdr:row>7</xdr:row>
                    <xdr:rowOff>228600</xdr:rowOff>
                  </from>
                  <to>
                    <xdr:col>3</xdr:col>
                    <xdr:colOff>3171825</xdr:colOff>
                    <xdr:row>7</xdr:row>
                    <xdr:rowOff>361950</xdr:rowOff>
                  </to>
                </anchor>
              </controlPr>
            </control>
          </mc:Choice>
        </mc:AlternateContent>
        <mc:AlternateContent xmlns:mc="http://schemas.openxmlformats.org/markup-compatibility/2006">
          <mc:Choice Requires="x14">
            <control shapeId="34898" r:id="rId5" name="Check Box 82">
              <controlPr defaultSize="0" autoFill="0" autoLine="0" autoPict="0">
                <anchor moveWithCells="1">
                  <from>
                    <xdr:col>3</xdr:col>
                    <xdr:colOff>3190875</xdr:colOff>
                    <xdr:row>7</xdr:row>
                    <xdr:rowOff>228600</xdr:rowOff>
                  </from>
                  <to>
                    <xdr:col>3</xdr:col>
                    <xdr:colOff>3810000</xdr:colOff>
                    <xdr:row>7</xdr:row>
                    <xdr:rowOff>361950</xdr:rowOff>
                  </to>
                </anchor>
              </controlPr>
            </control>
          </mc:Choice>
        </mc:AlternateContent>
        <mc:AlternateContent xmlns:mc="http://schemas.openxmlformats.org/markup-compatibility/2006">
          <mc:Choice Requires="x14">
            <control shapeId="34903" r:id="rId6" name="Check Box 87">
              <controlPr defaultSize="0" autoFill="0" autoLine="0" autoPict="0">
                <anchor moveWithCells="1">
                  <from>
                    <xdr:col>3</xdr:col>
                    <xdr:colOff>2619375</xdr:colOff>
                    <xdr:row>4</xdr:row>
                    <xdr:rowOff>238125</xdr:rowOff>
                  </from>
                  <to>
                    <xdr:col>3</xdr:col>
                    <xdr:colOff>3171825</xdr:colOff>
                    <xdr:row>4</xdr:row>
                    <xdr:rowOff>371475</xdr:rowOff>
                  </to>
                </anchor>
              </controlPr>
            </control>
          </mc:Choice>
        </mc:AlternateContent>
        <mc:AlternateContent xmlns:mc="http://schemas.openxmlformats.org/markup-compatibility/2006">
          <mc:Choice Requires="x14">
            <control shapeId="34904" r:id="rId7" name="Check Box 88">
              <controlPr defaultSize="0" autoFill="0" autoLine="0" autoPict="0">
                <anchor moveWithCells="1">
                  <from>
                    <xdr:col>3</xdr:col>
                    <xdr:colOff>3190875</xdr:colOff>
                    <xdr:row>4</xdr:row>
                    <xdr:rowOff>238125</xdr:rowOff>
                  </from>
                  <to>
                    <xdr:col>3</xdr:col>
                    <xdr:colOff>3810000</xdr:colOff>
                    <xdr:row>4</xdr:row>
                    <xdr:rowOff>371475</xdr:rowOff>
                  </to>
                </anchor>
              </controlPr>
            </control>
          </mc:Choice>
        </mc:AlternateContent>
        <mc:AlternateContent xmlns:mc="http://schemas.openxmlformats.org/markup-compatibility/2006">
          <mc:Choice Requires="x14">
            <control shapeId="34907" r:id="rId8" name="Check Box 91">
              <controlPr defaultSize="0" autoFill="0" autoLine="0" autoPict="0">
                <anchor moveWithCells="1">
                  <from>
                    <xdr:col>7</xdr:col>
                    <xdr:colOff>409575</xdr:colOff>
                    <xdr:row>73</xdr:row>
                    <xdr:rowOff>66675</xdr:rowOff>
                  </from>
                  <to>
                    <xdr:col>8</xdr:col>
                    <xdr:colOff>371475</xdr:colOff>
                    <xdr:row>73</xdr:row>
                    <xdr:rowOff>161925</xdr:rowOff>
                  </to>
                </anchor>
              </controlPr>
            </control>
          </mc:Choice>
        </mc:AlternateContent>
        <mc:AlternateContent xmlns:mc="http://schemas.openxmlformats.org/markup-compatibility/2006">
          <mc:Choice Requires="x14">
            <control shapeId="34908" r:id="rId9" name="Check Box 92">
              <controlPr defaultSize="0" autoFill="0" autoLine="0" autoPict="0">
                <anchor moveWithCells="1">
                  <from>
                    <xdr:col>8</xdr:col>
                    <xdr:colOff>390525</xdr:colOff>
                    <xdr:row>73</xdr:row>
                    <xdr:rowOff>66675</xdr:rowOff>
                  </from>
                  <to>
                    <xdr:col>9</xdr:col>
                    <xdr:colOff>428625</xdr:colOff>
                    <xdr:row>73</xdr:row>
                    <xdr:rowOff>161925</xdr:rowOff>
                  </to>
                </anchor>
              </controlPr>
            </control>
          </mc:Choice>
        </mc:AlternateContent>
        <mc:AlternateContent xmlns:mc="http://schemas.openxmlformats.org/markup-compatibility/2006">
          <mc:Choice Requires="x14">
            <control shapeId="34909" r:id="rId10" name="Check Box 93">
              <controlPr defaultSize="0" autoFill="0" autoLine="0" autoPict="0">
                <anchor moveWithCells="1">
                  <from>
                    <xdr:col>7</xdr:col>
                    <xdr:colOff>409575</xdr:colOff>
                    <xdr:row>75</xdr:row>
                    <xdr:rowOff>57150</xdr:rowOff>
                  </from>
                  <to>
                    <xdr:col>8</xdr:col>
                    <xdr:colOff>371475</xdr:colOff>
                    <xdr:row>75</xdr:row>
                    <xdr:rowOff>152400</xdr:rowOff>
                  </to>
                </anchor>
              </controlPr>
            </control>
          </mc:Choice>
        </mc:AlternateContent>
        <mc:AlternateContent xmlns:mc="http://schemas.openxmlformats.org/markup-compatibility/2006">
          <mc:Choice Requires="x14">
            <control shapeId="34910" r:id="rId11" name="Check Box 94">
              <controlPr defaultSize="0" autoFill="0" autoLine="0" autoPict="0">
                <anchor moveWithCells="1">
                  <from>
                    <xdr:col>8</xdr:col>
                    <xdr:colOff>390525</xdr:colOff>
                    <xdr:row>75</xdr:row>
                    <xdr:rowOff>57150</xdr:rowOff>
                  </from>
                  <to>
                    <xdr:col>9</xdr:col>
                    <xdr:colOff>428625</xdr:colOff>
                    <xdr:row>75</xdr:row>
                    <xdr:rowOff>152400</xdr:rowOff>
                  </to>
                </anchor>
              </controlPr>
            </control>
          </mc:Choice>
        </mc:AlternateContent>
        <mc:AlternateContent xmlns:mc="http://schemas.openxmlformats.org/markup-compatibility/2006">
          <mc:Choice Requires="x14">
            <control shapeId="34915" r:id="rId12" name="Check Box 99">
              <controlPr defaultSize="0" autoFill="0" autoLine="0" autoPict="0">
                <anchor moveWithCells="1">
                  <from>
                    <xdr:col>7</xdr:col>
                    <xdr:colOff>409575</xdr:colOff>
                    <xdr:row>79</xdr:row>
                    <xdr:rowOff>76200</xdr:rowOff>
                  </from>
                  <to>
                    <xdr:col>8</xdr:col>
                    <xdr:colOff>371475</xdr:colOff>
                    <xdr:row>79</xdr:row>
                    <xdr:rowOff>171450</xdr:rowOff>
                  </to>
                </anchor>
              </controlPr>
            </control>
          </mc:Choice>
        </mc:AlternateContent>
        <mc:AlternateContent xmlns:mc="http://schemas.openxmlformats.org/markup-compatibility/2006">
          <mc:Choice Requires="x14">
            <control shapeId="34916" r:id="rId13" name="Check Box 100">
              <controlPr defaultSize="0" autoFill="0" autoLine="0" autoPict="0">
                <anchor moveWithCells="1">
                  <from>
                    <xdr:col>8</xdr:col>
                    <xdr:colOff>390525</xdr:colOff>
                    <xdr:row>79</xdr:row>
                    <xdr:rowOff>76200</xdr:rowOff>
                  </from>
                  <to>
                    <xdr:col>9</xdr:col>
                    <xdr:colOff>428625</xdr:colOff>
                    <xdr:row>79</xdr:row>
                    <xdr:rowOff>171450</xdr:rowOff>
                  </to>
                </anchor>
              </controlPr>
            </control>
          </mc:Choice>
        </mc:AlternateContent>
        <mc:AlternateContent xmlns:mc="http://schemas.openxmlformats.org/markup-compatibility/2006">
          <mc:Choice Requires="x14">
            <control shapeId="34917" r:id="rId14" name="Check Box 101">
              <controlPr defaultSize="0" autoFill="0" autoLine="0" autoPict="0">
                <anchor moveWithCells="1">
                  <from>
                    <xdr:col>7</xdr:col>
                    <xdr:colOff>409575</xdr:colOff>
                    <xdr:row>78</xdr:row>
                    <xdr:rowOff>76200</xdr:rowOff>
                  </from>
                  <to>
                    <xdr:col>8</xdr:col>
                    <xdr:colOff>371475</xdr:colOff>
                    <xdr:row>78</xdr:row>
                    <xdr:rowOff>171450</xdr:rowOff>
                  </to>
                </anchor>
              </controlPr>
            </control>
          </mc:Choice>
        </mc:AlternateContent>
        <mc:AlternateContent xmlns:mc="http://schemas.openxmlformats.org/markup-compatibility/2006">
          <mc:Choice Requires="x14">
            <control shapeId="34918" r:id="rId15" name="Check Box 102">
              <controlPr defaultSize="0" autoFill="0" autoLine="0" autoPict="0">
                <anchor moveWithCells="1">
                  <from>
                    <xdr:col>8</xdr:col>
                    <xdr:colOff>390525</xdr:colOff>
                    <xdr:row>78</xdr:row>
                    <xdr:rowOff>76200</xdr:rowOff>
                  </from>
                  <to>
                    <xdr:col>9</xdr:col>
                    <xdr:colOff>428625</xdr:colOff>
                    <xdr:row>78</xdr:row>
                    <xdr:rowOff>171450</xdr:rowOff>
                  </to>
                </anchor>
              </controlPr>
            </control>
          </mc:Choice>
        </mc:AlternateContent>
        <mc:AlternateContent xmlns:mc="http://schemas.openxmlformats.org/markup-compatibility/2006">
          <mc:Choice Requires="x14">
            <control shapeId="34919" r:id="rId16" name="Check Box 103">
              <controlPr defaultSize="0" autoFill="0" autoLine="0" autoPict="0">
                <anchor moveWithCells="1">
                  <from>
                    <xdr:col>7</xdr:col>
                    <xdr:colOff>409575</xdr:colOff>
                    <xdr:row>84</xdr:row>
                    <xdr:rowOff>66675</xdr:rowOff>
                  </from>
                  <to>
                    <xdr:col>8</xdr:col>
                    <xdr:colOff>371475</xdr:colOff>
                    <xdr:row>84</xdr:row>
                    <xdr:rowOff>161925</xdr:rowOff>
                  </to>
                </anchor>
              </controlPr>
            </control>
          </mc:Choice>
        </mc:AlternateContent>
        <mc:AlternateContent xmlns:mc="http://schemas.openxmlformats.org/markup-compatibility/2006">
          <mc:Choice Requires="x14">
            <control shapeId="34920" r:id="rId17" name="Check Box 104">
              <controlPr defaultSize="0" autoFill="0" autoLine="0" autoPict="0">
                <anchor moveWithCells="1">
                  <from>
                    <xdr:col>8</xdr:col>
                    <xdr:colOff>390525</xdr:colOff>
                    <xdr:row>84</xdr:row>
                    <xdr:rowOff>66675</xdr:rowOff>
                  </from>
                  <to>
                    <xdr:col>9</xdr:col>
                    <xdr:colOff>428625</xdr:colOff>
                    <xdr:row>84</xdr:row>
                    <xdr:rowOff>161925</xdr:rowOff>
                  </to>
                </anchor>
              </controlPr>
            </control>
          </mc:Choice>
        </mc:AlternateContent>
        <mc:AlternateContent xmlns:mc="http://schemas.openxmlformats.org/markup-compatibility/2006">
          <mc:Choice Requires="x14">
            <control shapeId="34921" r:id="rId18" name="Check Box 105">
              <controlPr defaultSize="0" autoFill="0" autoLine="0" autoPict="0">
                <anchor moveWithCells="1">
                  <from>
                    <xdr:col>7</xdr:col>
                    <xdr:colOff>409575</xdr:colOff>
                    <xdr:row>86</xdr:row>
                    <xdr:rowOff>57150</xdr:rowOff>
                  </from>
                  <to>
                    <xdr:col>8</xdr:col>
                    <xdr:colOff>371475</xdr:colOff>
                    <xdr:row>86</xdr:row>
                    <xdr:rowOff>152400</xdr:rowOff>
                  </to>
                </anchor>
              </controlPr>
            </control>
          </mc:Choice>
        </mc:AlternateContent>
        <mc:AlternateContent xmlns:mc="http://schemas.openxmlformats.org/markup-compatibility/2006">
          <mc:Choice Requires="x14">
            <control shapeId="34922" r:id="rId19" name="Check Box 106">
              <controlPr defaultSize="0" autoFill="0" autoLine="0" autoPict="0">
                <anchor moveWithCells="1">
                  <from>
                    <xdr:col>8</xdr:col>
                    <xdr:colOff>390525</xdr:colOff>
                    <xdr:row>86</xdr:row>
                    <xdr:rowOff>57150</xdr:rowOff>
                  </from>
                  <to>
                    <xdr:col>9</xdr:col>
                    <xdr:colOff>428625</xdr:colOff>
                    <xdr:row>86</xdr:row>
                    <xdr:rowOff>152400</xdr:rowOff>
                  </to>
                </anchor>
              </controlPr>
            </control>
          </mc:Choice>
        </mc:AlternateContent>
        <mc:AlternateContent xmlns:mc="http://schemas.openxmlformats.org/markup-compatibility/2006">
          <mc:Choice Requires="x14">
            <control shapeId="34927" r:id="rId20" name="Check Box 111">
              <controlPr defaultSize="0" autoFill="0" autoLine="0" autoPict="0">
                <anchor moveWithCells="1">
                  <from>
                    <xdr:col>7</xdr:col>
                    <xdr:colOff>409575</xdr:colOff>
                    <xdr:row>90</xdr:row>
                    <xdr:rowOff>76200</xdr:rowOff>
                  </from>
                  <to>
                    <xdr:col>8</xdr:col>
                    <xdr:colOff>371475</xdr:colOff>
                    <xdr:row>90</xdr:row>
                    <xdr:rowOff>171450</xdr:rowOff>
                  </to>
                </anchor>
              </controlPr>
            </control>
          </mc:Choice>
        </mc:AlternateContent>
        <mc:AlternateContent xmlns:mc="http://schemas.openxmlformats.org/markup-compatibility/2006">
          <mc:Choice Requires="x14">
            <control shapeId="34928" r:id="rId21" name="Check Box 112">
              <controlPr defaultSize="0" autoFill="0" autoLine="0" autoPict="0">
                <anchor moveWithCells="1">
                  <from>
                    <xdr:col>8</xdr:col>
                    <xdr:colOff>390525</xdr:colOff>
                    <xdr:row>90</xdr:row>
                    <xdr:rowOff>76200</xdr:rowOff>
                  </from>
                  <to>
                    <xdr:col>9</xdr:col>
                    <xdr:colOff>428625</xdr:colOff>
                    <xdr:row>90</xdr:row>
                    <xdr:rowOff>171450</xdr:rowOff>
                  </to>
                </anchor>
              </controlPr>
            </control>
          </mc:Choice>
        </mc:AlternateContent>
        <mc:AlternateContent xmlns:mc="http://schemas.openxmlformats.org/markup-compatibility/2006">
          <mc:Choice Requires="x14">
            <control shapeId="34929" r:id="rId22" name="Check Box 113">
              <controlPr defaultSize="0" autoFill="0" autoLine="0" autoPict="0">
                <anchor moveWithCells="1">
                  <from>
                    <xdr:col>7</xdr:col>
                    <xdr:colOff>409575</xdr:colOff>
                    <xdr:row>89</xdr:row>
                    <xdr:rowOff>76200</xdr:rowOff>
                  </from>
                  <to>
                    <xdr:col>8</xdr:col>
                    <xdr:colOff>371475</xdr:colOff>
                    <xdr:row>89</xdr:row>
                    <xdr:rowOff>171450</xdr:rowOff>
                  </to>
                </anchor>
              </controlPr>
            </control>
          </mc:Choice>
        </mc:AlternateContent>
        <mc:AlternateContent xmlns:mc="http://schemas.openxmlformats.org/markup-compatibility/2006">
          <mc:Choice Requires="x14">
            <control shapeId="34930" r:id="rId23" name="Check Box 114">
              <controlPr defaultSize="0" autoFill="0" autoLine="0" autoPict="0">
                <anchor moveWithCells="1">
                  <from>
                    <xdr:col>8</xdr:col>
                    <xdr:colOff>390525</xdr:colOff>
                    <xdr:row>89</xdr:row>
                    <xdr:rowOff>76200</xdr:rowOff>
                  </from>
                  <to>
                    <xdr:col>9</xdr:col>
                    <xdr:colOff>428625</xdr:colOff>
                    <xdr:row>89</xdr:row>
                    <xdr:rowOff>171450</xdr:rowOff>
                  </to>
                </anchor>
              </controlPr>
            </control>
          </mc:Choice>
        </mc:AlternateContent>
        <mc:AlternateContent xmlns:mc="http://schemas.openxmlformats.org/markup-compatibility/2006">
          <mc:Choice Requires="x14">
            <control shapeId="34947" r:id="rId24" name="Check Box 131">
              <controlPr defaultSize="0" autoFill="0" autoLine="0" autoPict="0">
                <anchor moveWithCells="1">
                  <from>
                    <xdr:col>3</xdr:col>
                    <xdr:colOff>2619375</xdr:colOff>
                    <xdr:row>5</xdr:row>
                    <xdr:rowOff>228600</xdr:rowOff>
                  </from>
                  <to>
                    <xdr:col>3</xdr:col>
                    <xdr:colOff>3171825</xdr:colOff>
                    <xdr:row>5</xdr:row>
                    <xdr:rowOff>361950</xdr:rowOff>
                  </to>
                </anchor>
              </controlPr>
            </control>
          </mc:Choice>
        </mc:AlternateContent>
        <mc:AlternateContent xmlns:mc="http://schemas.openxmlformats.org/markup-compatibility/2006">
          <mc:Choice Requires="x14">
            <control shapeId="34948" r:id="rId25" name="Check Box 132">
              <controlPr defaultSize="0" autoFill="0" autoLine="0" autoPict="0">
                <anchor moveWithCells="1">
                  <from>
                    <xdr:col>3</xdr:col>
                    <xdr:colOff>3190875</xdr:colOff>
                    <xdr:row>5</xdr:row>
                    <xdr:rowOff>228600</xdr:rowOff>
                  </from>
                  <to>
                    <xdr:col>3</xdr:col>
                    <xdr:colOff>3810000</xdr:colOff>
                    <xdr:row>5</xdr:row>
                    <xdr:rowOff>361950</xdr:rowOff>
                  </to>
                </anchor>
              </controlPr>
            </control>
          </mc:Choice>
        </mc:AlternateContent>
        <mc:AlternateContent xmlns:mc="http://schemas.openxmlformats.org/markup-compatibility/2006">
          <mc:Choice Requires="x14">
            <control shapeId="34955" r:id="rId26" name="Check Box 139">
              <controlPr defaultSize="0" autoFill="0" autoLine="0" autoPict="0">
                <anchor moveWithCells="1">
                  <from>
                    <xdr:col>7</xdr:col>
                    <xdr:colOff>381000</xdr:colOff>
                    <xdr:row>36</xdr:row>
                    <xdr:rowOff>47625</xdr:rowOff>
                  </from>
                  <to>
                    <xdr:col>8</xdr:col>
                    <xdr:colOff>323850</xdr:colOff>
                    <xdr:row>36</xdr:row>
                    <xdr:rowOff>180975</xdr:rowOff>
                  </to>
                </anchor>
              </controlPr>
            </control>
          </mc:Choice>
        </mc:AlternateContent>
        <mc:AlternateContent xmlns:mc="http://schemas.openxmlformats.org/markup-compatibility/2006">
          <mc:Choice Requires="x14">
            <control shapeId="34956" r:id="rId27" name="Check Box 140">
              <controlPr defaultSize="0" autoFill="0" autoLine="0" autoPict="0">
                <anchor moveWithCells="1">
                  <from>
                    <xdr:col>8</xdr:col>
                    <xdr:colOff>342900</xdr:colOff>
                    <xdr:row>36</xdr:row>
                    <xdr:rowOff>47625</xdr:rowOff>
                  </from>
                  <to>
                    <xdr:col>9</xdr:col>
                    <xdr:colOff>352425</xdr:colOff>
                    <xdr:row>36</xdr:row>
                    <xdr:rowOff>180975</xdr:rowOff>
                  </to>
                </anchor>
              </controlPr>
            </control>
          </mc:Choice>
        </mc:AlternateContent>
        <mc:AlternateContent xmlns:mc="http://schemas.openxmlformats.org/markup-compatibility/2006">
          <mc:Choice Requires="x14">
            <control shapeId="34957" r:id="rId28" name="Check Box 141">
              <controlPr defaultSize="0" autoFill="0" autoLine="0" autoPict="0">
                <anchor moveWithCells="1">
                  <from>
                    <xdr:col>7</xdr:col>
                    <xdr:colOff>381000</xdr:colOff>
                    <xdr:row>37</xdr:row>
                    <xdr:rowOff>47625</xdr:rowOff>
                  </from>
                  <to>
                    <xdr:col>8</xdr:col>
                    <xdr:colOff>323850</xdr:colOff>
                    <xdr:row>37</xdr:row>
                    <xdr:rowOff>180975</xdr:rowOff>
                  </to>
                </anchor>
              </controlPr>
            </control>
          </mc:Choice>
        </mc:AlternateContent>
        <mc:AlternateContent xmlns:mc="http://schemas.openxmlformats.org/markup-compatibility/2006">
          <mc:Choice Requires="x14">
            <control shapeId="34958" r:id="rId29" name="Check Box 142">
              <controlPr defaultSize="0" autoFill="0" autoLine="0" autoPict="0">
                <anchor moveWithCells="1">
                  <from>
                    <xdr:col>8</xdr:col>
                    <xdr:colOff>342900</xdr:colOff>
                    <xdr:row>37</xdr:row>
                    <xdr:rowOff>47625</xdr:rowOff>
                  </from>
                  <to>
                    <xdr:col>9</xdr:col>
                    <xdr:colOff>352425</xdr:colOff>
                    <xdr:row>37</xdr:row>
                    <xdr:rowOff>180975</xdr:rowOff>
                  </to>
                </anchor>
              </controlPr>
            </control>
          </mc:Choice>
        </mc:AlternateContent>
        <mc:AlternateContent xmlns:mc="http://schemas.openxmlformats.org/markup-compatibility/2006">
          <mc:Choice Requires="x14">
            <control shapeId="34959" r:id="rId30" name="Check Box 143">
              <controlPr defaultSize="0" autoFill="0" autoLine="0" autoPict="0">
                <anchor moveWithCells="1">
                  <from>
                    <xdr:col>7</xdr:col>
                    <xdr:colOff>381000</xdr:colOff>
                    <xdr:row>38</xdr:row>
                    <xdr:rowOff>47625</xdr:rowOff>
                  </from>
                  <to>
                    <xdr:col>8</xdr:col>
                    <xdr:colOff>323850</xdr:colOff>
                    <xdr:row>38</xdr:row>
                    <xdr:rowOff>180975</xdr:rowOff>
                  </to>
                </anchor>
              </controlPr>
            </control>
          </mc:Choice>
        </mc:AlternateContent>
        <mc:AlternateContent xmlns:mc="http://schemas.openxmlformats.org/markup-compatibility/2006">
          <mc:Choice Requires="x14">
            <control shapeId="34960" r:id="rId31" name="Check Box 144">
              <controlPr defaultSize="0" autoFill="0" autoLine="0" autoPict="0">
                <anchor moveWithCells="1">
                  <from>
                    <xdr:col>8</xdr:col>
                    <xdr:colOff>342900</xdr:colOff>
                    <xdr:row>38</xdr:row>
                    <xdr:rowOff>47625</xdr:rowOff>
                  </from>
                  <to>
                    <xdr:col>9</xdr:col>
                    <xdr:colOff>352425</xdr:colOff>
                    <xdr:row>38</xdr:row>
                    <xdr:rowOff>180975</xdr:rowOff>
                  </to>
                </anchor>
              </controlPr>
            </control>
          </mc:Choice>
        </mc:AlternateContent>
        <mc:AlternateContent xmlns:mc="http://schemas.openxmlformats.org/markup-compatibility/2006">
          <mc:Choice Requires="x14">
            <control shapeId="34967" r:id="rId32" name="Check Box 151">
              <controlPr defaultSize="0" autoFill="0" autoLine="0" autoPict="0">
                <anchor moveWithCells="1">
                  <from>
                    <xdr:col>7</xdr:col>
                    <xdr:colOff>381000</xdr:colOff>
                    <xdr:row>49</xdr:row>
                    <xdr:rowOff>47625</xdr:rowOff>
                  </from>
                  <to>
                    <xdr:col>8</xdr:col>
                    <xdr:colOff>323850</xdr:colOff>
                    <xdr:row>49</xdr:row>
                    <xdr:rowOff>180975</xdr:rowOff>
                  </to>
                </anchor>
              </controlPr>
            </control>
          </mc:Choice>
        </mc:AlternateContent>
        <mc:AlternateContent xmlns:mc="http://schemas.openxmlformats.org/markup-compatibility/2006">
          <mc:Choice Requires="x14">
            <control shapeId="34968" r:id="rId33" name="Check Box 152">
              <controlPr defaultSize="0" autoFill="0" autoLine="0" autoPict="0">
                <anchor moveWithCells="1">
                  <from>
                    <xdr:col>8</xdr:col>
                    <xdr:colOff>342900</xdr:colOff>
                    <xdr:row>49</xdr:row>
                    <xdr:rowOff>47625</xdr:rowOff>
                  </from>
                  <to>
                    <xdr:col>9</xdr:col>
                    <xdr:colOff>352425</xdr:colOff>
                    <xdr:row>49</xdr:row>
                    <xdr:rowOff>180975</xdr:rowOff>
                  </to>
                </anchor>
              </controlPr>
            </control>
          </mc:Choice>
        </mc:AlternateContent>
        <mc:AlternateContent xmlns:mc="http://schemas.openxmlformats.org/markup-compatibility/2006">
          <mc:Choice Requires="x14">
            <control shapeId="34969" r:id="rId34" name="Check Box 153">
              <controlPr defaultSize="0" autoFill="0" autoLine="0" autoPict="0">
                <anchor moveWithCells="1">
                  <from>
                    <xdr:col>7</xdr:col>
                    <xdr:colOff>381000</xdr:colOff>
                    <xdr:row>50</xdr:row>
                    <xdr:rowOff>47625</xdr:rowOff>
                  </from>
                  <to>
                    <xdr:col>8</xdr:col>
                    <xdr:colOff>323850</xdr:colOff>
                    <xdr:row>50</xdr:row>
                    <xdr:rowOff>180975</xdr:rowOff>
                  </to>
                </anchor>
              </controlPr>
            </control>
          </mc:Choice>
        </mc:AlternateContent>
        <mc:AlternateContent xmlns:mc="http://schemas.openxmlformats.org/markup-compatibility/2006">
          <mc:Choice Requires="x14">
            <control shapeId="34970" r:id="rId35" name="Check Box 154">
              <controlPr defaultSize="0" autoFill="0" autoLine="0" autoPict="0">
                <anchor moveWithCells="1">
                  <from>
                    <xdr:col>8</xdr:col>
                    <xdr:colOff>342900</xdr:colOff>
                    <xdr:row>50</xdr:row>
                    <xdr:rowOff>47625</xdr:rowOff>
                  </from>
                  <to>
                    <xdr:col>9</xdr:col>
                    <xdr:colOff>352425</xdr:colOff>
                    <xdr:row>50</xdr:row>
                    <xdr:rowOff>180975</xdr:rowOff>
                  </to>
                </anchor>
              </controlPr>
            </control>
          </mc:Choice>
        </mc:AlternateContent>
        <mc:AlternateContent xmlns:mc="http://schemas.openxmlformats.org/markup-compatibility/2006">
          <mc:Choice Requires="x14">
            <control shapeId="34971" r:id="rId36" name="Check Box 155">
              <controlPr defaultSize="0" autoFill="0" autoLine="0" autoPict="0">
                <anchor moveWithCells="1">
                  <from>
                    <xdr:col>7</xdr:col>
                    <xdr:colOff>381000</xdr:colOff>
                    <xdr:row>51</xdr:row>
                    <xdr:rowOff>47625</xdr:rowOff>
                  </from>
                  <to>
                    <xdr:col>8</xdr:col>
                    <xdr:colOff>323850</xdr:colOff>
                    <xdr:row>51</xdr:row>
                    <xdr:rowOff>180975</xdr:rowOff>
                  </to>
                </anchor>
              </controlPr>
            </control>
          </mc:Choice>
        </mc:AlternateContent>
        <mc:AlternateContent xmlns:mc="http://schemas.openxmlformats.org/markup-compatibility/2006">
          <mc:Choice Requires="x14">
            <control shapeId="34972" r:id="rId37" name="Check Box 156">
              <controlPr defaultSize="0" autoFill="0" autoLine="0" autoPict="0">
                <anchor moveWithCells="1">
                  <from>
                    <xdr:col>8</xdr:col>
                    <xdr:colOff>342900</xdr:colOff>
                    <xdr:row>51</xdr:row>
                    <xdr:rowOff>47625</xdr:rowOff>
                  </from>
                  <to>
                    <xdr:col>9</xdr:col>
                    <xdr:colOff>352425</xdr:colOff>
                    <xdr:row>51</xdr:row>
                    <xdr:rowOff>180975</xdr:rowOff>
                  </to>
                </anchor>
              </controlPr>
            </control>
          </mc:Choice>
        </mc:AlternateContent>
        <mc:AlternateContent xmlns:mc="http://schemas.openxmlformats.org/markup-compatibility/2006">
          <mc:Choice Requires="x14">
            <control shapeId="34973" r:id="rId38" name="Check Box 157">
              <controlPr defaultSize="0" autoFill="0" autoLine="0" autoPict="0">
                <anchor moveWithCells="1">
                  <from>
                    <xdr:col>7</xdr:col>
                    <xdr:colOff>381000</xdr:colOff>
                    <xdr:row>62</xdr:row>
                    <xdr:rowOff>47625</xdr:rowOff>
                  </from>
                  <to>
                    <xdr:col>8</xdr:col>
                    <xdr:colOff>323850</xdr:colOff>
                    <xdr:row>62</xdr:row>
                    <xdr:rowOff>180975</xdr:rowOff>
                  </to>
                </anchor>
              </controlPr>
            </control>
          </mc:Choice>
        </mc:AlternateContent>
        <mc:AlternateContent xmlns:mc="http://schemas.openxmlformats.org/markup-compatibility/2006">
          <mc:Choice Requires="x14">
            <control shapeId="34974" r:id="rId39" name="Check Box 158">
              <controlPr defaultSize="0" autoFill="0" autoLine="0" autoPict="0">
                <anchor moveWithCells="1">
                  <from>
                    <xdr:col>8</xdr:col>
                    <xdr:colOff>342900</xdr:colOff>
                    <xdr:row>62</xdr:row>
                    <xdr:rowOff>47625</xdr:rowOff>
                  </from>
                  <to>
                    <xdr:col>9</xdr:col>
                    <xdr:colOff>352425</xdr:colOff>
                    <xdr:row>62</xdr:row>
                    <xdr:rowOff>180975</xdr:rowOff>
                  </to>
                </anchor>
              </controlPr>
            </control>
          </mc:Choice>
        </mc:AlternateContent>
        <mc:AlternateContent xmlns:mc="http://schemas.openxmlformats.org/markup-compatibility/2006">
          <mc:Choice Requires="x14">
            <control shapeId="34975" r:id="rId40" name="Check Box 159">
              <controlPr defaultSize="0" autoFill="0" autoLine="0" autoPict="0">
                <anchor moveWithCells="1">
                  <from>
                    <xdr:col>7</xdr:col>
                    <xdr:colOff>381000</xdr:colOff>
                    <xdr:row>63</xdr:row>
                    <xdr:rowOff>47625</xdr:rowOff>
                  </from>
                  <to>
                    <xdr:col>8</xdr:col>
                    <xdr:colOff>323850</xdr:colOff>
                    <xdr:row>63</xdr:row>
                    <xdr:rowOff>180975</xdr:rowOff>
                  </to>
                </anchor>
              </controlPr>
            </control>
          </mc:Choice>
        </mc:AlternateContent>
        <mc:AlternateContent xmlns:mc="http://schemas.openxmlformats.org/markup-compatibility/2006">
          <mc:Choice Requires="x14">
            <control shapeId="34976" r:id="rId41" name="Check Box 160">
              <controlPr defaultSize="0" autoFill="0" autoLine="0" autoPict="0">
                <anchor moveWithCells="1">
                  <from>
                    <xdr:col>8</xdr:col>
                    <xdr:colOff>342900</xdr:colOff>
                    <xdr:row>63</xdr:row>
                    <xdr:rowOff>47625</xdr:rowOff>
                  </from>
                  <to>
                    <xdr:col>9</xdr:col>
                    <xdr:colOff>352425</xdr:colOff>
                    <xdr:row>63</xdr:row>
                    <xdr:rowOff>180975</xdr:rowOff>
                  </to>
                </anchor>
              </controlPr>
            </control>
          </mc:Choice>
        </mc:AlternateContent>
        <mc:AlternateContent xmlns:mc="http://schemas.openxmlformats.org/markup-compatibility/2006">
          <mc:Choice Requires="x14">
            <control shapeId="34977" r:id="rId42" name="Check Box 161">
              <controlPr defaultSize="0" autoFill="0" autoLine="0" autoPict="0">
                <anchor moveWithCells="1">
                  <from>
                    <xdr:col>7</xdr:col>
                    <xdr:colOff>381000</xdr:colOff>
                    <xdr:row>64</xdr:row>
                    <xdr:rowOff>47625</xdr:rowOff>
                  </from>
                  <to>
                    <xdr:col>8</xdr:col>
                    <xdr:colOff>323850</xdr:colOff>
                    <xdr:row>64</xdr:row>
                    <xdr:rowOff>180975</xdr:rowOff>
                  </to>
                </anchor>
              </controlPr>
            </control>
          </mc:Choice>
        </mc:AlternateContent>
        <mc:AlternateContent xmlns:mc="http://schemas.openxmlformats.org/markup-compatibility/2006">
          <mc:Choice Requires="x14">
            <control shapeId="34978" r:id="rId43" name="Check Box 162">
              <controlPr defaultSize="0" autoFill="0" autoLine="0" autoPict="0">
                <anchor moveWithCells="1">
                  <from>
                    <xdr:col>8</xdr:col>
                    <xdr:colOff>342900</xdr:colOff>
                    <xdr:row>64</xdr:row>
                    <xdr:rowOff>47625</xdr:rowOff>
                  </from>
                  <to>
                    <xdr:col>9</xdr:col>
                    <xdr:colOff>352425</xdr:colOff>
                    <xdr:row>64</xdr:row>
                    <xdr:rowOff>180975</xdr:rowOff>
                  </to>
                </anchor>
              </controlPr>
            </control>
          </mc:Choice>
        </mc:AlternateContent>
        <mc:AlternateContent xmlns:mc="http://schemas.openxmlformats.org/markup-compatibility/2006">
          <mc:Choice Requires="x14">
            <control shapeId="34984" r:id="rId44" name="Check Box 168">
              <controlPr defaultSize="0" autoFill="0" autoLine="0" autoPict="0">
                <anchor moveWithCells="1">
                  <from>
                    <xdr:col>7</xdr:col>
                    <xdr:colOff>409575</xdr:colOff>
                    <xdr:row>95</xdr:row>
                    <xdr:rowOff>66675</xdr:rowOff>
                  </from>
                  <to>
                    <xdr:col>8</xdr:col>
                    <xdr:colOff>371475</xdr:colOff>
                    <xdr:row>95</xdr:row>
                    <xdr:rowOff>161925</xdr:rowOff>
                  </to>
                </anchor>
              </controlPr>
            </control>
          </mc:Choice>
        </mc:AlternateContent>
        <mc:AlternateContent xmlns:mc="http://schemas.openxmlformats.org/markup-compatibility/2006">
          <mc:Choice Requires="x14">
            <control shapeId="34985" r:id="rId45" name="Check Box 169">
              <controlPr defaultSize="0" autoFill="0" autoLine="0" autoPict="0">
                <anchor moveWithCells="1">
                  <from>
                    <xdr:col>8</xdr:col>
                    <xdr:colOff>390525</xdr:colOff>
                    <xdr:row>95</xdr:row>
                    <xdr:rowOff>66675</xdr:rowOff>
                  </from>
                  <to>
                    <xdr:col>9</xdr:col>
                    <xdr:colOff>428625</xdr:colOff>
                    <xdr:row>95</xdr:row>
                    <xdr:rowOff>161925</xdr:rowOff>
                  </to>
                </anchor>
              </controlPr>
            </control>
          </mc:Choice>
        </mc:AlternateContent>
        <mc:AlternateContent xmlns:mc="http://schemas.openxmlformats.org/markup-compatibility/2006">
          <mc:Choice Requires="x14">
            <control shapeId="34986" r:id="rId46" name="Check Box 170">
              <controlPr defaultSize="0" autoFill="0" autoLine="0" autoPict="0">
                <anchor moveWithCells="1">
                  <from>
                    <xdr:col>7</xdr:col>
                    <xdr:colOff>409575</xdr:colOff>
                    <xdr:row>97</xdr:row>
                    <xdr:rowOff>66675</xdr:rowOff>
                  </from>
                  <to>
                    <xdr:col>8</xdr:col>
                    <xdr:colOff>371475</xdr:colOff>
                    <xdr:row>97</xdr:row>
                    <xdr:rowOff>161925</xdr:rowOff>
                  </to>
                </anchor>
              </controlPr>
            </control>
          </mc:Choice>
        </mc:AlternateContent>
        <mc:AlternateContent xmlns:mc="http://schemas.openxmlformats.org/markup-compatibility/2006">
          <mc:Choice Requires="x14">
            <control shapeId="34987" r:id="rId47" name="Check Box 171">
              <controlPr defaultSize="0" autoFill="0" autoLine="0" autoPict="0">
                <anchor moveWithCells="1">
                  <from>
                    <xdr:col>8</xdr:col>
                    <xdr:colOff>390525</xdr:colOff>
                    <xdr:row>97</xdr:row>
                    <xdr:rowOff>66675</xdr:rowOff>
                  </from>
                  <to>
                    <xdr:col>9</xdr:col>
                    <xdr:colOff>428625</xdr:colOff>
                    <xdr:row>97</xdr:row>
                    <xdr:rowOff>161925</xdr:rowOff>
                  </to>
                </anchor>
              </controlPr>
            </control>
          </mc:Choice>
        </mc:AlternateContent>
        <mc:AlternateContent xmlns:mc="http://schemas.openxmlformats.org/markup-compatibility/2006">
          <mc:Choice Requires="x14">
            <control shapeId="34988" r:id="rId48" name="Check Box 172">
              <controlPr defaultSize="0" autoFill="0" autoLine="0" autoPict="0">
                <anchor moveWithCells="1">
                  <from>
                    <xdr:col>7</xdr:col>
                    <xdr:colOff>409575</xdr:colOff>
                    <xdr:row>100</xdr:row>
                    <xdr:rowOff>95250</xdr:rowOff>
                  </from>
                  <to>
                    <xdr:col>8</xdr:col>
                    <xdr:colOff>371475</xdr:colOff>
                    <xdr:row>100</xdr:row>
                    <xdr:rowOff>190500</xdr:rowOff>
                  </to>
                </anchor>
              </controlPr>
            </control>
          </mc:Choice>
        </mc:AlternateContent>
        <mc:AlternateContent xmlns:mc="http://schemas.openxmlformats.org/markup-compatibility/2006">
          <mc:Choice Requires="x14">
            <control shapeId="34989" r:id="rId49" name="Check Box 173">
              <controlPr defaultSize="0" autoFill="0" autoLine="0" autoPict="0">
                <anchor moveWithCells="1">
                  <from>
                    <xdr:col>8</xdr:col>
                    <xdr:colOff>390525</xdr:colOff>
                    <xdr:row>100</xdr:row>
                    <xdr:rowOff>95250</xdr:rowOff>
                  </from>
                  <to>
                    <xdr:col>9</xdr:col>
                    <xdr:colOff>428625</xdr:colOff>
                    <xdr:row>100</xdr:row>
                    <xdr:rowOff>190500</xdr:rowOff>
                  </to>
                </anchor>
              </controlPr>
            </control>
          </mc:Choice>
        </mc:AlternateContent>
        <mc:AlternateContent xmlns:mc="http://schemas.openxmlformats.org/markup-compatibility/2006">
          <mc:Choice Requires="x14">
            <control shapeId="34990" r:id="rId50" name="Check Box 174">
              <controlPr defaultSize="0" autoFill="0" autoLine="0" autoPict="0">
                <anchor moveWithCells="1">
                  <from>
                    <xdr:col>7</xdr:col>
                    <xdr:colOff>409575</xdr:colOff>
                    <xdr:row>101</xdr:row>
                    <xdr:rowOff>66675</xdr:rowOff>
                  </from>
                  <to>
                    <xdr:col>8</xdr:col>
                    <xdr:colOff>371475</xdr:colOff>
                    <xdr:row>101</xdr:row>
                    <xdr:rowOff>161925</xdr:rowOff>
                  </to>
                </anchor>
              </controlPr>
            </control>
          </mc:Choice>
        </mc:AlternateContent>
        <mc:AlternateContent xmlns:mc="http://schemas.openxmlformats.org/markup-compatibility/2006">
          <mc:Choice Requires="x14">
            <control shapeId="34991" r:id="rId51" name="Check Box 175">
              <controlPr defaultSize="0" autoFill="0" autoLine="0" autoPict="0">
                <anchor moveWithCells="1">
                  <from>
                    <xdr:col>8</xdr:col>
                    <xdr:colOff>390525</xdr:colOff>
                    <xdr:row>101</xdr:row>
                    <xdr:rowOff>66675</xdr:rowOff>
                  </from>
                  <to>
                    <xdr:col>9</xdr:col>
                    <xdr:colOff>428625</xdr:colOff>
                    <xdr:row>101</xdr:row>
                    <xdr:rowOff>161925</xdr:rowOff>
                  </to>
                </anchor>
              </controlPr>
            </control>
          </mc:Choice>
        </mc:AlternateContent>
        <mc:AlternateContent xmlns:mc="http://schemas.openxmlformats.org/markup-compatibility/2006">
          <mc:Choice Requires="x14">
            <control shapeId="34997" r:id="rId52" name="Check Box 181">
              <controlPr defaultSize="0" autoFill="0" autoLine="0" autoPict="0">
                <anchor moveWithCells="1">
                  <from>
                    <xdr:col>3</xdr:col>
                    <xdr:colOff>2619375</xdr:colOff>
                    <xdr:row>3</xdr:row>
                    <xdr:rowOff>247650</xdr:rowOff>
                  </from>
                  <to>
                    <xdr:col>3</xdr:col>
                    <xdr:colOff>3171825</xdr:colOff>
                    <xdr:row>3</xdr:row>
                    <xdr:rowOff>381000</xdr:rowOff>
                  </to>
                </anchor>
              </controlPr>
            </control>
          </mc:Choice>
        </mc:AlternateContent>
        <mc:AlternateContent xmlns:mc="http://schemas.openxmlformats.org/markup-compatibility/2006">
          <mc:Choice Requires="x14">
            <control shapeId="34998" r:id="rId53" name="Check Box 182">
              <controlPr defaultSize="0" autoFill="0" autoLine="0" autoPict="0">
                <anchor moveWithCells="1">
                  <from>
                    <xdr:col>3</xdr:col>
                    <xdr:colOff>3190875</xdr:colOff>
                    <xdr:row>3</xdr:row>
                    <xdr:rowOff>247650</xdr:rowOff>
                  </from>
                  <to>
                    <xdr:col>3</xdr:col>
                    <xdr:colOff>3810000</xdr:colOff>
                    <xdr:row>3</xdr:row>
                    <xdr:rowOff>381000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002060"/>
    <pageSetUpPr fitToPage="1"/>
  </sheetPr>
  <dimension ref="A1:AG101"/>
  <sheetViews>
    <sheetView showGridLines="0" zoomScaleNormal="100" zoomScalePageLayoutView="85" workbookViewId="0">
      <selection sqref="A1:L1"/>
    </sheetView>
  </sheetViews>
  <sheetFormatPr defaultColWidth="5.28515625" defaultRowHeight="14.25" x14ac:dyDescent="0.25"/>
  <cols>
    <col min="1" max="1" width="10.42578125" style="124" customWidth="1"/>
    <col min="2" max="2" width="29.85546875" style="124" customWidth="1"/>
    <col min="3" max="4" width="13.7109375" style="179" customWidth="1"/>
    <col min="5" max="10" width="13.7109375" style="180" customWidth="1"/>
    <col min="11" max="12" width="11.7109375" style="180" customWidth="1"/>
    <col min="13" max="13" width="4" style="48" customWidth="1"/>
    <col min="14" max="14" width="47.85546875" style="48" customWidth="1"/>
    <col min="15" max="31" width="5.28515625" style="48"/>
    <col min="32" max="32" width="13.28515625" style="48" customWidth="1"/>
    <col min="33" max="33" width="15" style="48" customWidth="1"/>
    <col min="34" max="16384" width="5.28515625" style="48"/>
  </cols>
  <sheetData>
    <row r="1" spans="1:33" s="69" customFormat="1" ht="26.25" customHeight="1" thickBot="1" x14ac:dyDescent="0.3">
      <c r="A1" s="1315" t="s">
        <v>2041</v>
      </c>
      <c r="B1" s="1315"/>
      <c r="C1" s="1315"/>
      <c r="D1" s="1315"/>
      <c r="E1" s="1315"/>
      <c r="F1" s="1315"/>
      <c r="G1" s="1315"/>
      <c r="H1" s="1315"/>
      <c r="I1" s="1315"/>
      <c r="J1" s="1315"/>
      <c r="K1" s="1315"/>
      <c r="L1" s="1315"/>
    </row>
    <row r="2" spans="1:33" s="68" customFormat="1" ht="54.95" customHeight="1" x14ac:dyDescent="0.25">
      <c r="A2" s="1316" t="s">
        <v>1918</v>
      </c>
      <c r="B2" s="1316"/>
      <c r="C2" s="1316"/>
      <c r="D2" s="1316"/>
      <c r="E2" s="1316"/>
      <c r="F2" s="1316"/>
      <c r="G2" s="1316"/>
      <c r="H2" s="1316"/>
      <c r="I2" s="1316"/>
      <c r="J2" s="1316"/>
      <c r="K2" s="1316"/>
      <c r="L2" s="1316"/>
    </row>
    <row r="3" spans="1:33" s="160" customFormat="1" ht="50.1" customHeight="1" x14ac:dyDescent="0.25">
      <c r="A3" s="1197" t="s">
        <v>1919</v>
      </c>
      <c r="B3" s="1197"/>
      <c r="C3" s="1197"/>
      <c r="D3" s="1197"/>
      <c r="E3" s="1197"/>
      <c r="F3" s="1197"/>
      <c r="G3" s="1197"/>
      <c r="H3" s="1197"/>
      <c r="I3" s="1197"/>
      <c r="J3" s="1197"/>
      <c r="K3" s="1197"/>
      <c r="L3" s="1197"/>
    </row>
    <row r="4" spans="1:33" s="160" customFormat="1" ht="35.1" customHeight="1" x14ac:dyDescent="0.25">
      <c r="A4" s="166">
        <v>1</v>
      </c>
      <c r="B4" s="1197" t="s">
        <v>1694</v>
      </c>
      <c r="C4" s="1197"/>
      <c r="D4" s="1197"/>
      <c r="E4" s="1197"/>
      <c r="F4" s="1197"/>
      <c r="G4" s="1197"/>
      <c r="H4" s="1197"/>
      <c r="I4" s="1197"/>
      <c r="J4" s="1197"/>
      <c r="K4" s="1197"/>
      <c r="L4" s="1197"/>
    </row>
    <row r="5" spans="1:33" s="160" customFormat="1" ht="20.100000000000001" customHeight="1" x14ac:dyDescent="0.25">
      <c r="A5" s="166">
        <v>2</v>
      </c>
      <c r="B5" s="1197" t="s">
        <v>1695</v>
      </c>
      <c r="C5" s="1197"/>
      <c r="D5" s="1197"/>
      <c r="E5" s="1197"/>
      <c r="F5" s="1197"/>
      <c r="G5" s="1197"/>
      <c r="H5" s="1197"/>
      <c r="I5" s="1197"/>
      <c r="J5" s="1197"/>
      <c r="K5" s="1197"/>
      <c r="L5" s="1197"/>
    </row>
    <row r="6" spans="1:33" s="160" customFormat="1" ht="35.1" customHeight="1" x14ac:dyDescent="0.25">
      <c r="A6" s="166">
        <v>3</v>
      </c>
      <c r="B6" s="1197" t="s">
        <v>1790</v>
      </c>
      <c r="C6" s="1197"/>
      <c r="D6" s="1197"/>
      <c r="E6" s="1197"/>
      <c r="F6" s="1197"/>
      <c r="G6" s="1197"/>
      <c r="H6" s="1197"/>
      <c r="I6" s="1197"/>
      <c r="J6" s="1197"/>
      <c r="K6" s="1197"/>
      <c r="L6" s="1197"/>
    </row>
    <row r="7" spans="1:33" s="160" customFormat="1" ht="35.1" customHeight="1" x14ac:dyDescent="0.25">
      <c r="A7" s="166">
        <v>4</v>
      </c>
      <c r="B7" s="1197" t="s">
        <v>1691</v>
      </c>
      <c r="C7" s="1197"/>
      <c r="D7" s="1197"/>
      <c r="E7" s="1197"/>
      <c r="F7" s="1197"/>
      <c r="G7" s="1197"/>
      <c r="H7" s="1197"/>
      <c r="I7" s="1197"/>
      <c r="J7" s="1197"/>
      <c r="K7" s="1197"/>
      <c r="L7" s="1197"/>
    </row>
    <row r="8" spans="1:33" s="160" customFormat="1" ht="35.1" customHeight="1" x14ac:dyDescent="0.25">
      <c r="A8" s="166">
        <v>5</v>
      </c>
      <c r="B8" s="1197" t="s">
        <v>1692</v>
      </c>
      <c r="C8" s="1197"/>
      <c r="D8" s="1197"/>
      <c r="E8" s="1197"/>
      <c r="F8" s="1197"/>
      <c r="G8" s="1197"/>
      <c r="H8" s="1197"/>
      <c r="I8" s="1197"/>
      <c r="J8" s="1197"/>
      <c r="K8" s="1197"/>
      <c r="L8" s="1197"/>
    </row>
    <row r="9" spans="1:33" s="160" customFormat="1" ht="50.1" customHeight="1" x14ac:dyDescent="0.25">
      <c r="A9" s="166">
        <v>6</v>
      </c>
      <c r="B9" s="1197" t="s">
        <v>1696</v>
      </c>
      <c r="C9" s="1197"/>
      <c r="D9" s="1197"/>
      <c r="E9" s="1197"/>
      <c r="F9" s="1197"/>
      <c r="G9" s="1197"/>
      <c r="H9" s="1197"/>
      <c r="I9" s="1197"/>
      <c r="J9" s="1197"/>
      <c r="K9" s="1197"/>
      <c r="L9" s="1197"/>
    </row>
    <row r="10" spans="1:33" s="168" customFormat="1" ht="20.100000000000001" customHeight="1" x14ac:dyDescent="0.25">
      <c r="A10" s="167">
        <v>7</v>
      </c>
      <c r="B10" s="1291" t="s">
        <v>1693</v>
      </c>
      <c r="C10" s="1291"/>
      <c r="D10" s="1291"/>
      <c r="E10" s="1291"/>
      <c r="F10" s="1291"/>
      <c r="G10" s="1291"/>
      <c r="H10" s="1291"/>
      <c r="I10" s="1291"/>
      <c r="J10" s="1291"/>
      <c r="K10" s="1291"/>
      <c r="L10" s="1291"/>
    </row>
    <row r="11" spans="1:33" s="68" customFormat="1" ht="9" customHeight="1" thickBot="1" x14ac:dyDescent="0.3">
      <c r="A11" s="78"/>
      <c r="B11" s="78"/>
      <c r="C11" s="78"/>
      <c r="D11" s="78"/>
      <c r="E11" s="78"/>
      <c r="F11" s="78"/>
      <c r="G11" s="78"/>
      <c r="H11" s="78"/>
      <c r="I11" s="78"/>
      <c r="J11" s="78"/>
      <c r="K11" s="78"/>
      <c r="L11" s="78"/>
    </row>
    <row r="12" spans="1:33" ht="30" customHeight="1" x14ac:dyDescent="0.25">
      <c r="A12" s="1317" t="s">
        <v>1433</v>
      </c>
      <c r="B12" s="1319" t="s">
        <v>1436</v>
      </c>
      <c r="C12" s="70" t="s">
        <v>272</v>
      </c>
      <c r="D12" s="71" t="s">
        <v>273</v>
      </c>
      <c r="E12" s="72" t="s">
        <v>274</v>
      </c>
      <c r="F12" s="72" t="s">
        <v>275</v>
      </c>
      <c r="G12" s="72" t="s">
        <v>276</v>
      </c>
      <c r="H12" s="72" t="s">
        <v>288</v>
      </c>
      <c r="I12" s="72" t="s">
        <v>277</v>
      </c>
      <c r="J12" s="72" t="s">
        <v>278</v>
      </c>
      <c r="K12" s="1321" t="s">
        <v>1438</v>
      </c>
      <c r="L12" s="1323" t="s">
        <v>286</v>
      </c>
      <c r="AF12" s="68"/>
      <c r="AG12" s="68"/>
    </row>
    <row r="13" spans="1:33" ht="18" customHeight="1" thickBot="1" x14ac:dyDescent="0.3">
      <c r="A13" s="1318"/>
      <c r="B13" s="1320"/>
      <c r="C13" s="73" t="s">
        <v>287</v>
      </c>
      <c r="D13" s="73" t="s">
        <v>287</v>
      </c>
      <c r="E13" s="74" t="s">
        <v>279</v>
      </c>
      <c r="F13" s="74" t="s">
        <v>280</v>
      </c>
      <c r="G13" s="74" t="s">
        <v>280</v>
      </c>
      <c r="H13" s="74" t="s">
        <v>281</v>
      </c>
      <c r="I13" s="75" t="s">
        <v>282</v>
      </c>
      <c r="J13" s="76" t="s">
        <v>283</v>
      </c>
      <c r="K13" s="1322"/>
      <c r="L13" s="1324"/>
      <c r="AF13" s="48" t="s">
        <v>284</v>
      </c>
      <c r="AG13" s="48" t="s">
        <v>75</v>
      </c>
    </row>
    <row r="14" spans="1:33" ht="18" customHeight="1" x14ac:dyDescent="0.25">
      <c r="A14" s="1329" t="s">
        <v>1917</v>
      </c>
      <c r="B14" s="1330"/>
      <c r="C14" s="1330"/>
      <c r="D14" s="1330"/>
      <c r="E14" s="1330"/>
      <c r="F14" s="1330"/>
      <c r="G14" s="1330"/>
      <c r="H14" s="1330"/>
      <c r="I14" s="1330"/>
      <c r="J14" s="1330"/>
      <c r="K14" s="1330"/>
      <c r="L14" s="1331"/>
      <c r="AF14" s="48" t="s">
        <v>285</v>
      </c>
      <c r="AG14" s="48" t="s">
        <v>73</v>
      </c>
    </row>
    <row r="15" spans="1:33" ht="18" customHeight="1" x14ac:dyDescent="0.25">
      <c r="A15" s="258" t="str">
        <f>IF(ISBLANK('Table 3-A| Emission Units'!A16),"",'Table 3-A| Emission Units'!A16&amp;"-"&amp;'Table 3-A| Emission Units'!B16)</f>
        <v>4-1</v>
      </c>
      <c r="B15" s="727" t="str">
        <f>IF(ISBLANK('Table 3-A| Emission Units'!D16),"",'Table 3-A| Emission Units'!D16)</f>
        <v>200 horsepower Emergency Generator</v>
      </c>
      <c r="C15" s="259">
        <v>40.686886000000001</v>
      </c>
      <c r="D15" s="260">
        <v>96.571197999999995</v>
      </c>
      <c r="E15" s="261">
        <v>1500</v>
      </c>
      <c r="F15" s="261">
        <v>15</v>
      </c>
      <c r="G15" s="261">
        <v>3</v>
      </c>
      <c r="H15" s="261">
        <v>300</v>
      </c>
      <c r="I15" s="261">
        <v>20</v>
      </c>
      <c r="J15" s="262">
        <f t="shared" ref="J15:J20" si="0">IFERROR(IF(ISBLANK(G15),"",(3.14159*((0.5*G15)^2))*I15),"Invalid Data")</f>
        <v>141.37155000000001</v>
      </c>
      <c r="K15" s="262" t="s">
        <v>284</v>
      </c>
      <c r="L15" s="263" t="s">
        <v>73</v>
      </c>
      <c r="O15" s="67"/>
      <c r="P15" s="67"/>
      <c r="Q15" s="67"/>
      <c r="R15" s="67"/>
      <c r="S15" s="67"/>
      <c r="T15" s="67"/>
      <c r="U15" s="67"/>
      <c r="V15" s="67"/>
      <c r="AF15" s="48" t="s">
        <v>1437</v>
      </c>
    </row>
    <row r="16" spans="1:33" ht="18" customHeight="1" x14ac:dyDescent="0.25">
      <c r="A16" s="258" t="str">
        <f>IF(ISBLANK('Table 3-A| Emission Units'!A17),"",'Table 3-A| Emission Units'!A17&amp;"-"&amp;'Table 3-A| Emission Units'!B17)</f>
        <v>5-1</v>
      </c>
      <c r="B16" s="727" t="str">
        <f>IF(ISBLANK('Table 3-A| Emission Units'!D17),"",'Table 3-A| Emission Units'!D17)</f>
        <v>20.5 MMBtu/hr Boiler</v>
      </c>
      <c r="C16" s="259">
        <v>40.86889</v>
      </c>
      <c r="D16" s="260">
        <v>96.571200000000005</v>
      </c>
      <c r="E16" s="261">
        <v>1500</v>
      </c>
      <c r="F16" s="261">
        <v>35</v>
      </c>
      <c r="G16" s="261">
        <v>4</v>
      </c>
      <c r="H16" s="261">
        <v>250</v>
      </c>
      <c r="I16" s="261">
        <v>15</v>
      </c>
      <c r="J16" s="262">
        <f t="shared" si="0"/>
        <v>188.49539999999999</v>
      </c>
      <c r="K16" s="262" t="s">
        <v>284</v>
      </c>
      <c r="L16" s="263" t="s">
        <v>75</v>
      </c>
      <c r="O16" s="67"/>
      <c r="P16" s="67"/>
      <c r="Q16" s="67"/>
      <c r="R16" s="67"/>
      <c r="S16" s="67"/>
      <c r="T16" s="67"/>
      <c r="U16" s="67"/>
      <c r="V16" s="67"/>
    </row>
    <row r="17" spans="1:12" ht="18" customHeight="1" x14ac:dyDescent="0.25">
      <c r="A17" s="258" t="str">
        <f>IF(ISBLANK('Table 3-A| Emission Units'!A18),"",'Table 3-A| Emission Units'!A18&amp;"-"&amp;'Table 3-A| Emission Units'!B18)</f>
        <v>5-2</v>
      </c>
      <c r="B17" s="727" t="str">
        <f>IF(ISBLANK('Table 3-A| Emission Units'!D18),"",'Table 3-A| Emission Units'!D18)</f>
        <v>20.5 MMBtu/hr Boiler</v>
      </c>
      <c r="C17" s="259">
        <v>40.86889</v>
      </c>
      <c r="D17" s="260">
        <v>96.571200000000005</v>
      </c>
      <c r="E17" s="261">
        <v>1500</v>
      </c>
      <c r="F17" s="261">
        <v>35</v>
      </c>
      <c r="G17" s="261">
        <v>4</v>
      </c>
      <c r="H17" s="261">
        <v>250</v>
      </c>
      <c r="I17" s="261">
        <v>15</v>
      </c>
      <c r="J17" s="262">
        <f t="shared" si="0"/>
        <v>188.49539999999999</v>
      </c>
      <c r="K17" s="262" t="s">
        <v>284</v>
      </c>
      <c r="L17" s="263" t="s">
        <v>75</v>
      </c>
    </row>
    <row r="18" spans="1:12" ht="18" customHeight="1" x14ac:dyDescent="0.25">
      <c r="A18" s="258" t="str">
        <f>IF(ISBLANK('Table 3-A| Emission Units'!A19),"",'Table 3-A| Emission Units'!A19&amp;"-"&amp;'Table 3-A| Emission Units'!B19)</f>
        <v>6-1</v>
      </c>
      <c r="B18" s="727" t="str">
        <f>IF(ISBLANK('Table 3-A| Emission Units'!D19),"",'Table 3-A| Emission Units'!D19)</f>
        <v>Fixed-Roof Gasoline Storage Tanks</v>
      </c>
      <c r="C18" s="259"/>
      <c r="D18" s="260"/>
      <c r="E18" s="261"/>
      <c r="F18" s="261"/>
      <c r="G18" s="261"/>
      <c r="H18" s="261"/>
      <c r="I18" s="261"/>
      <c r="J18" s="262" t="str">
        <f t="shared" si="0"/>
        <v/>
      </c>
      <c r="K18" s="262" t="s">
        <v>1437</v>
      </c>
      <c r="L18" s="263"/>
    </row>
    <row r="19" spans="1:12" ht="18" customHeight="1" x14ac:dyDescent="0.25">
      <c r="A19" s="258" t="str">
        <f>IF(ISBLANK('Table 3-A| Emission Units'!A20),"",'Table 3-A| Emission Units'!A20&amp;"-"&amp;'Table 3-A| Emission Units'!B20)</f>
        <v>6-2</v>
      </c>
      <c r="B19" s="727" t="str">
        <f>IF(ISBLANK('Table 3-A| Emission Units'!D20),"",'Table 3-A| Emission Units'!D20)</f>
        <v>Fixed-Roof Gasoline Storage Tanks</v>
      </c>
      <c r="C19" s="259"/>
      <c r="D19" s="260"/>
      <c r="E19" s="261"/>
      <c r="F19" s="261"/>
      <c r="G19" s="261"/>
      <c r="H19" s="261"/>
      <c r="I19" s="261"/>
      <c r="J19" s="262" t="str">
        <f t="shared" si="0"/>
        <v/>
      </c>
      <c r="K19" s="262" t="s">
        <v>1437</v>
      </c>
      <c r="L19" s="263"/>
    </row>
    <row r="20" spans="1:12" ht="18" customHeight="1" thickBot="1" x14ac:dyDescent="0.3">
      <c r="A20" s="264" t="str">
        <f>IF(ISBLANK('Table 3-A| Emission Units'!A21),"",'Table 3-A| Emission Units'!A21&amp;"-"&amp;'Table 3-A| Emission Units'!B21)</f>
        <v/>
      </c>
      <c r="B20" s="265" t="str">
        <f>IF(ISBLANK('Table 3-A| Emission Units'!D21),"",'Table 3-A| Emission Units'!D21)</f>
        <v/>
      </c>
      <c r="C20" s="266"/>
      <c r="D20" s="267"/>
      <c r="E20" s="268"/>
      <c r="F20" s="268"/>
      <c r="G20" s="268"/>
      <c r="H20" s="268"/>
      <c r="I20" s="268"/>
      <c r="J20" s="269" t="str">
        <f t="shared" si="0"/>
        <v/>
      </c>
      <c r="K20" s="269" t="s">
        <v>1437</v>
      </c>
      <c r="L20" s="270"/>
    </row>
    <row r="21" spans="1:12" s="68" customFormat="1" ht="27.75" customHeight="1" thickBot="1" x14ac:dyDescent="0.3">
      <c r="A21" s="1334" t="s">
        <v>1470</v>
      </c>
      <c r="B21" s="1208"/>
      <c r="C21" s="1208"/>
      <c r="D21" s="1208"/>
      <c r="E21" s="1208"/>
      <c r="F21" s="1208"/>
      <c r="G21" s="1208"/>
      <c r="H21" s="1208"/>
      <c r="I21" s="1208"/>
      <c r="J21" s="1208"/>
      <c r="K21" s="1208"/>
      <c r="L21" s="1335"/>
    </row>
    <row r="22" spans="1:12" s="68" customFormat="1" ht="9" customHeight="1" thickBot="1" x14ac:dyDescent="0.3">
      <c r="A22" s="78"/>
      <c r="B22" s="78"/>
      <c r="C22" s="78"/>
      <c r="D22" s="78"/>
      <c r="E22" s="78"/>
      <c r="F22" s="78"/>
      <c r="G22" s="78"/>
      <c r="H22" s="78"/>
      <c r="I22" s="78"/>
      <c r="J22" s="78"/>
      <c r="K22" s="78"/>
      <c r="L22" s="78"/>
    </row>
    <row r="23" spans="1:12" s="68" customFormat="1" ht="18" customHeight="1" thickBot="1" x14ac:dyDescent="0.3">
      <c r="A23" s="1293" t="s">
        <v>1451</v>
      </c>
      <c r="B23" s="1294"/>
      <c r="C23" s="93"/>
      <c r="D23" s="78" t="s">
        <v>1455</v>
      </c>
      <c r="E23" s="96"/>
      <c r="F23" s="78" t="s">
        <v>1456</v>
      </c>
      <c r="G23" s="97"/>
      <c r="H23" s="78" t="s">
        <v>1457</v>
      </c>
      <c r="I23" s="1293" t="s">
        <v>1458</v>
      </c>
      <c r="J23" s="1294"/>
      <c r="K23" s="1332">
        <f>C23+(E23/60)+(G23/3600)</f>
        <v>0</v>
      </c>
      <c r="L23" s="1333"/>
    </row>
    <row r="24" spans="1:12" s="68" customFormat="1" ht="18" customHeight="1" thickBot="1" x14ac:dyDescent="0.3">
      <c r="A24" s="1293" t="s">
        <v>1452</v>
      </c>
      <c r="B24" s="1294"/>
      <c r="C24" s="93"/>
      <c r="D24" s="78" t="s">
        <v>1459</v>
      </c>
      <c r="E24" s="96"/>
      <c r="F24" s="78" t="s">
        <v>1456</v>
      </c>
      <c r="G24" s="97"/>
      <c r="H24" s="78" t="s">
        <v>1457</v>
      </c>
      <c r="I24" s="1293" t="s">
        <v>1458</v>
      </c>
      <c r="J24" s="1294"/>
      <c r="K24" s="1332">
        <f>C24+(E24/60)+(G24/3600)</f>
        <v>0</v>
      </c>
      <c r="L24" s="1333"/>
    </row>
    <row r="25" spans="1:12" s="68" customFormat="1" ht="18" customHeight="1" thickBot="1" x14ac:dyDescent="0.3">
      <c r="A25" s="1293" t="s">
        <v>1453</v>
      </c>
      <c r="B25" s="1294"/>
      <c r="C25" s="94"/>
      <c r="D25" s="78" t="s">
        <v>1460</v>
      </c>
      <c r="E25" s="78"/>
      <c r="F25" s="78"/>
      <c r="G25" s="78"/>
      <c r="H25" s="78"/>
      <c r="I25" s="1293" t="s">
        <v>1461</v>
      </c>
      <c r="J25" s="1294"/>
      <c r="K25" s="1336">
        <f>CONVERT(C25,"m","ft")</f>
        <v>0</v>
      </c>
      <c r="L25" s="1337"/>
    </row>
    <row r="26" spans="1:12" s="68" customFormat="1" ht="18" customHeight="1" thickBot="1" x14ac:dyDescent="0.3">
      <c r="A26" s="1293" t="s">
        <v>1463</v>
      </c>
      <c r="B26" s="1294"/>
      <c r="C26" s="94"/>
      <c r="D26" s="78" t="s">
        <v>1462</v>
      </c>
      <c r="E26" s="94"/>
      <c r="F26" s="78" t="s">
        <v>1791</v>
      </c>
      <c r="G26" s="78"/>
      <c r="H26" s="78"/>
      <c r="I26" s="1293" t="s">
        <v>1466</v>
      </c>
      <c r="J26" s="1294"/>
      <c r="K26" s="1336">
        <f>SQRT((4*C26*E26)/PI())</f>
        <v>0</v>
      </c>
      <c r="L26" s="1337"/>
    </row>
    <row r="27" spans="1:12" s="68" customFormat="1" ht="18" customHeight="1" thickBot="1" x14ac:dyDescent="0.3">
      <c r="A27" s="1293" t="s">
        <v>1656</v>
      </c>
      <c r="B27" s="1294"/>
      <c r="C27" s="94"/>
      <c r="D27" s="1340" t="s">
        <v>1792</v>
      </c>
      <c r="E27" s="1195"/>
      <c r="F27" s="78"/>
      <c r="G27" s="78"/>
      <c r="H27" s="78"/>
      <c r="I27" s="1293" t="s">
        <v>1464</v>
      </c>
      <c r="J27" s="1294"/>
      <c r="K27" s="1338" t="str">
        <f>IF(ISBLANK(C27),"0",CONVERT(C27,"C","F"))</f>
        <v>0</v>
      </c>
      <c r="L27" s="1339"/>
    </row>
    <row r="28" spans="1:12" s="68" customFormat="1" ht="18" customHeight="1" thickBot="1" x14ac:dyDescent="0.3">
      <c r="A28" s="1295" t="s">
        <v>1454</v>
      </c>
      <c r="B28" s="1296"/>
      <c r="C28" s="95"/>
      <c r="D28" s="1340" t="s">
        <v>1467</v>
      </c>
      <c r="E28" s="1195"/>
      <c r="F28" s="1303"/>
      <c r="G28" s="1187" t="s">
        <v>1469</v>
      </c>
      <c r="H28" s="1187"/>
      <c r="I28" s="1295" t="s">
        <v>1465</v>
      </c>
      <c r="J28" s="1296"/>
      <c r="K28" s="1299">
        <f>IFERROR(IF(AND(NOT(ISBLANK(C28)),NOT(ISBLANK(C29))),"Enter only CFS or CFM",IF(ISBLANK(C28),((C29/60)/(PI()*(0.5*F28)^2)),(C28/(PI()*(0.5*F28)^2)))),0)</f>
        <v>0</v>
      </c>
      <c r="L28" s="1300"/>
    </row>
    <row r="29" spans="1:12" s="68" customFormat="1" ht="18" customHeight="1" thickBot="1" x14ac:dyDescent="0.3">
      <c r="A29" s="1297"/>
      <c r="B29" s="1298"/>
      <c r="C29" s="94"/>
      <c r="D29" s="78" t="s">
        <v>1468</v>
      </c>
      <c r="E29" s="78"/>
      <c r="F29" s="1304"/>
      <c r="G29" s="1187"/>
      <c r="H29" s="1187"/>
      <c r="I29" s="1297"/>
      <c r="J29" s="1298"/>
      <c r="K29" s="1301"/>
      <c r="L29" s="1302"/>
    </row>
    <row r="30" spans="1:12" s="68" customFormat="1" ht="36.75" customHeight="1" thickBot="1" x14ac:dyDescent="0.3">
      <c r="A30" s="1292" t="s">
        <v>1450</v>
      </c>
      <c r="B30" s="1292"/>
      <c r="C30" s="1292"/>
      <c r="D30" s="1292"/>
      <c r="E30" s="1292"/>
      <c r="F30" s="1292"/>
      <c r="G30" s="1292"/>
      <c r="H30" s="1292"/>
      <c r="I30" s="1292"/>
      <c r="J30" s="1292"/>
      <c r="K30" s="1292"/>
      <c r="L30" s="1292"/>
    </row>
    <row r="31" spans="1:12" s="77" customFormat="1" ht="19.5" thickBot="1" x14ac:dyDescent="0.3">
      <c r="A31" s="1208" t="s">
        <v>1449</v>
      </c>
      <c r="B31" s="1208"/>
      <c r="C31" s="1208"/>
      <c r="D31" s="1208"/>
      <c r="E31" s="1208"/>
      <c r="F31" s="1208"/>
      <c r="G31" s="1208"/>
      <c r="H31" s="1208"/>
      <c r="I31" s="1208"/>
      <c r="J31" s="1208"/>
      <c r="K31" s="1208"/>
      <c r="L31" s="1208"/>
    </row>
    <row r="32" spans="1:12" ht="60" customHeight="1" x14ac:dyDescent="0.25">
      <c r="A32" s="30"/>
      <c r="B32" s="30"/>
      <c r="C32" s="32"/>
      <c r="D32" s="32"/>
      <c r="E32" s="31"/>
      <c r="F32" s="31"/>
      <c r="G32" s="31"/>
      <c r="H32" s="31"/>
      <c r="I32" s="31"/>
      <c r="J32" s="31"/>
      <c r="K32" s="31"/>
      <c r="L32" s="31"/>
    </row>
    <row r="33" spans="1:33" ht="24.95" customHeight="1" x14ac:dyDescent="0.25">
      <c r="A33" s="1210" t="s">
        <v>1812</v>
      </c>
      <c r="B33" s="1210"/>
      <c r="C33" s="1210"/>
      <c r="D33" s="1210"/>
      <c r="E33" s="1210"/>
      <c r="F33" s="1210"/>
      <c r="G33" s="1210"/>
      <c r="H33" s="1210"/>
      <c r="I33" s="1210"/>
      <c r="J33" s="1210"/>
      <c r="K33" s="1210"/>
      <c r="L33" s="1210"/>
    </row>
    <row r="34" spans="1:33" ht="24.95" customHeight="1" x14ac:dyDescent="0.25">
      <c r="A34" s="988" t="s">
        <v>1813</v>
      </c>
      <c r="B34" s="988"/>
      <c r="C34" s="988"/>
      <c r="D34" s="988"/>
      <c r="E34" s="988"/>
      <c r="F34" s="988"/>
      <c r="G34" s="988"/>
      <c r="H34" s="988"/>
      <c r="I34" s="988"/>
      <c r="J34" s="988"/>
      <c r="K34" s="988"/>
      <c r="L34" s="988"/>
    </row>
    <row r="35" spans="1:33" ht="42" customHeight="1" x14ac:dyDescent="0.25">
      <c r="A35" s="1328" t="s">
        <v>2262</v>
      </c>
      <c r="B35" s="1328"/>
      <c r="C35" s="1328"/>
      <c r="D35" s="1328"/>
      <c r="E35" s="1328"/>
      <c r="F35" s="1328"/>
      <c r="G35" s="1328"/>
      <c r="H35" s="1328"/>
      <c r="I35" s="1328"/>
      <c r="J35" s="1328"/>
      <c r="K35" s="1328"/>
      <c r="L35" s="1328"/>
    </row>
    <row r="36" spans="1:33" ht="15" thickBot="1" x14ac:dyDescent="0.3">
      <c r="A36" s="1306"/>
      <c r="B36" s="1306"/>
      <c r="C36" s="1306"/>
      <c r="D36" s="1306"/>
      <c r="E36" s="1306"/>
      <c r="F36" s="1306"/>
      <c r="G36" s="1306"/>
      <c r="H36" s="1306"/>
      <c r="I36" s="1306"/>
      <c r="J36" s="1306"/>
      <c r="K36" s="1306"/>
      <c r="L36" s="1306"/>
      <c r="AF36" s="1305" t="s">
        <v>1438</v>
      </c>
      <c r="AG36" s="1305" t="s">
        <v>286</v>
      </c>
    </row>
    <row r="37" spans="1:33" ht="30" customHeight="1" x14ac:dyDescent="0.25">
      <c r="A37" s="1309" t="s">
        <v>1433</v>
      </c>
      <c r="B37" s="1307" t="s">
        <v>1436</v>
      </c>
      <c r="C37" s="815" t="s">
        <v>272</v>
      </c>
      <c r="D37" s="816" t="s">
        <v>273</v>
      </c>
      <c r="E37" s="817" t="s">
        <v>274</v>
      </c>
      <c r="F37" s="817" t="s">
        <v>275</v>
      </c>
      <c r="G37" s="817" t="s">
        <v>276</v>
      </c>
      <c r="H37" s="817" t="s">
        <v>288</v>
      </c>
      <c r="I37" s="817" t="s">
        <v>277</v>
      </c>
      <c r="J37" s="817" t="s">
        <v>278</v>
      </c>
      <c r="K37" s="1311" t="s">
        <v>1438</v>
      </c>
      <c r="L37" s="1313" t="s">
        <v>286</v>
      </c>
      <c r="AF37" s="1305"/>
      <c r="AG37" s="1305"/>
    </row>
    <row r="38" spans="1:33" ht="18" customHeight="1" thickBot="1" x14ac:dyDescent="0.3">
      <c r="A38" s="1310"/>
      <c r="B38" s="1308"/>
      <c r="C38" s="818" t="s">
        <v>287</v>
      </c>
      <c r="D38" s="818" t="s">
        <v>287</v>
      </c>
      <c r="E38" s="819" t="s">
        <v>279</v>
      </c>
      <c r="F38" s="819" t="s">
        <v>280</v>
      </c>
      <c r="G38" s="819" t="s">
        <v>280</v>
      </c>
      <c r="H38" s="819" t="s">
        <v>281</v>
      </c>
      <c r="I38" s="820" t="s">
        <v>282</v>
      </c>
      <c r="J38" s="821" t="s">
        <v>283</v>
      </c>
      <c r="K38" s="1312"/>
      <c r="L38" s="1314"/>
      <c r="AF38" s="48" t="s">
        <v>284</v>
      </c>
      <c r="AG38" s="48" t="s">
        <v>75</v>
      </c>
    </row>
    <row r="39" spans="1:33" ht="18" customHeight="1" x14ac:dyDescent="0.25">
      <c r="A39" s="271" t="str">
        <f>IF(AND('Table 3-A| Emission Units'!L30=0,'Table 3-A| Emission Units'!M37=0),"",CONCATENATE('Table 3-A| Emission Units'!A37,"-",'Table 3-A| Emission Units'!B37))</f>
        <v/>
      </c>
      <c r="B39" s="272" t="str">
        <f>IF(A39="","",'Table 3-A| Emission Units'!D37)</f>
        <v/>
      </c>
      <c r="C39" s="273"/>
      <c r="D39" s="274"/>
      <c r="E39" s="275"/>
      <c r="F39" s="275"/>
      <c r="G39" s="275"/>
      <c r="H39" s="275"/>
      <c r="I39" s="275"/>
      <c r="J39" s="276" t="str">
        <f t="shared" ref="J39" si="1">IFERROR(IF(ISBLANK(G39),"",(3.14159*((0.5*G39)^2))*I39),"Invalid Data")</f>
        <v/>
      </c>
      <c r="K39" s="277"/>
      <c r="L39" s="278"/>
      <c r="AF39" s="48" t="s">
        <v>285</v>
      </c>
      <c r="AG39" s="48" t="s">
        <v>73</v>
      </c>
    </row>
    <row r="40" spans="1:33" ht="18" customHeight="1" x14ac:dyDescent="0.25">
      <c r="A40" s="271" t="str">
        <f>IF(AND('Table 3-A| Emission Units'!L43=0,'Table 3-A| Emission Units'!M50=0),"",CONCATENATE('Table 3-A| Emission Units'!A50,"-",'Table 3-A| Emission Units'!B50))</f>
        <v/>
      </c>
      <c r="B40" s="272" t="str">
        <f>IF(A40="","",'Table 3-A| Emission Units'!D50)</f>
        <v/>
      </c>
      <c r="C40" s="273"/>
      <c r="D40" s="274"/>
      <c r="E40" s="275"/>
      <c r="F40" s="275"/>
      <c r="G40" s="275"/>
      <c r="H40" s="275"/>
      <c r="I40" s="275"/>
      <c r="J40" s="276" t="str">
        <f t="shared" ref="J40" si="2">IFERROR(IF(ISBLANK(G40),"",(3.14159*((0.5*G40)^2))*I40),"Invalid Data")</f>
        <v/>
      </c>
      <c r="K40" s="277"/>
      <c r="L40" s="278"/>
      <c r="AF40" s="48" t="s">
        <v>285</v>
      </c>
      <c r="AG40" s="48" t="s">
        <v>73</v>
      </c>
    </row>
    <row r="41" spans="1:33" ht="18" customHeight="1" thickBot="1" x14ac:dyDescent="0.3">
      <c r="A41" s="271" t="str">
        <f>IF(AND('Table 3-A| Emission Units'!L56=0,'Table 3-A| Emission Units'!M63=0),"",CONCATENATE('Table 3-A| Emission Units'!A63,"-",'Table 3-A| Emission Units'!B63))</f>
        <v/>
      </c>
      <c r="B41" s="272" t="str">
        <f>IF(A41="","",'Table 3-A| Emission Units'!D63)</f>
        <v/>
      </c>
      <c r="C41" s="273"/>
      <c r="D41" s="274"/>
      <c r="E41" s="275"/>
      <c r="F41" s="275"/>
      <c r="G41" s="275"/>
      <c r="H41" s="275"/>
      <c r="I41" s="275"/>
      <c r="J41" s="276" t="str">
        <f t="shared" ref="J41" si="3">IFERROR(IF(ISBLANK(G41),"",(3.14159*((0.5*G41)^2))*I41),"Invalid Data")</f>
        <v/>
      </c>
      <c r="K41" s="277"/>
      <c r="L41" s="278"/>
      <c r="AF41" s="48" t="s">
        <v>285</v>
      </c>
      <c r="AG41" s="48" t="s">
        <v>73</v>
      </c>
    </row>
    <row r="42" spans="1:33" ht="18" customHeight="1" x14ac:dyDescent="0.25">
      <c r="A42" s="1325" t="s">
        <v>1917</v>
      </c>
      <c r="B42" s="1326"/>
      <c r="C42" s="1326"/>
      <c r="D42" s="1326"/>
      <c r="E42" s="1326"/>
      <c r="F42" s="1326"/>
      <c r="G42" s="1326"/>
      <c r="H42" s="1326"/>
      <c r="I42" s="1326"/>
      <c r="J42" s="1326"/>
      <c r="K42" s="1326"/>
      <c r="L42" s="1327"/>
      <c r="AF42" s="48" t="s">
        <v>1437</v>
      </c>
    </row>
    <row r="43" spans="1:33" ht="18" customHeight="1" x14ac:dyDescent="0.25">
      <c r="A43" s="271" t="str">
        <f>IF(ISBLANK('Table 3-A| Emission Units'!A120),"",'Table 3-A| Emission Units'!A120&amp;"-"&amp;'Table 3-A| Emission Units'!B120)</f>
        <v/>
      </c>
      <c r="B43" s="272" t="str">
        <f>IF(ISBLANK('Table 3-A| Emission Units'!D120),"",IF(LEN('Table 3-A| Emission Units'!D120)&gt;25,LEFT('Table 3-A| Emission Units'!D120,25)&amp;"…",'Table 3-A| Emission Units'!D120))</f>
        <v/>
      </c>
      <c r="C43" s="273"/>
      <c r="D43" s="274"/>
      <c r="E43" s="275"/>
      <c r="F43" s="275"/>
      <c r="G43" s="275"/>
      <c r="H43" s="275"/>
      <c r="I43" s="275"/>
      <c r="J43" s="276" t="str">
        <f t="shared" ref="J43:J59" si="4">IFERROR(IF(ISBLANK(G43),"",(3.14159*((0.5*G43)^2))*I43),"Invalid Data")</f>
        <v/>
      </c>
      <c r="K43" s="277"/>
      <c r="L43" s="278"/>
    </row>
    <row r="44" spans="1:33" ht="18" customHeight="1" x14ac:dyDescent="0.25">
      <c r="A44" s="271" t="str">
        <f>IF(ISBLANK('Table 3-A| Emission Units'!A121),"",'Table 3-A| Emission Units'!A121&amp;"-"&amp;'Table 3-A| Emission Units'!B121)</f>
        <v/>
      </c>
      <c r="B44" s="272" t="str">
        <f>IF(ISBLANK('Table 3-A| Emission Units'!D121),"",IF(LEN('Table 3-A| Emission Units'!D121)&gt;25,LEFT('Table 3-A| Emission Units'!D121,25)&amp;"…",'Table 3-A| Emission Units'!D121))</f>
        <v/>
      </c>
      <c r="C44" s="273"/>
      <c r="D44" s="274"/>
      <c r="E44" s="275"/>
      <c r="F44" s="275"/>
      <c r="G44" s="275"/>
      <c r="H44" s="275"/>
      <c r="I44" s="275"/>
      <c r="J44" s="276" t="str">
        <f t="shared" si="4"/>
        <v/>
      </c>
      <c r="K44" s="277"/>
      <c r="L44" s="278"/>
    </row>
    <row r="45" spans="1:33" ht="18" customHeight="1" x14ac:dyDescent="0.25">
      <c r="A45" s="271" t="str">
        <f>IF(ISBLANK('Table 3-A| Emission Units'!A122),"",'Table 3-A| Emission Units'!A122&amp;"-"&amp;'Table 3-A| Emission Units'!B122)</f>
        <v/>
      </c>
      <c r="B45" s="272" t="str">
        <f>IF(ISBLANK('Table 3-A| Emission Units'!D122),"",IF(LEN('Table 3-A| Emission Units'!D122)&gt;25,LEFT('Table 3-A| Emission Units'!D122,25)&amp;"…",'Table 3-A| Emission Units'!D122))</f>
        <v/>
      </c>
      <c r="C45" s="273"/>
      <c r="D45" s="274"/>
      <c r="E45" s="275"/>
      <c r="F45" s="275"/>
      <c r="G45" s="275"/>
      <c r="H45" s="275"/>
      <c r="I45" s="275"/>
      <c r="J45" s="276" t="str">
        <f t="shared" si="4"/>
        <v/>
      </c>
      <c r="K45" s="277"/>
      <c r="L45" s="278"/>
    </row>
    <row r="46" spans="1:33" ht="18" customHeight="1" x14ac:dyDescent="0.25">
      <c r="A46" s="271" t="str">
        <f>IF(ISBLANK('Table 3-A| Emission Units'!A123),"",'Table 3-A| Emission Units'!A123&amp;"-"&amp;'Table 3-A| Emission Units'!B123)</f>
        <v/>
      </c>
      <c r="B46" s="272" t="str">
        <f>IF(ISBLANK('Table 3-A| Emission Units'!D123),"",IF(LEN('Table 3-A| Emission Units'!D123)&gt;25,LEFT('Table 3-A| Emission Units'!D123,25)&amp;"…",'Table 3-A| Emission Units'!D123))</f>
        <v/>
      </c>
      <c r="C46" s="273"/>
      <c r="D46" s="274"/>
      <c r="E46" s="275"/>
      <c r="F46" s="275"/>
      <c r="G46" s="275"/>
      <c r="H46" s="275"/>
      <c r="I46" s="275"/>
      <c r="J46" s="276" t="str">
        <f t="shared" si="4"/>
        <v/>
      </c>
      <c r="K46" s="277"/>
      <c r="L46" s="278"/>
    </row>
    <row r="47" spans="1:33" ht="18" customHeight="1" x14ac:dyDescent="0.25">
      <c r="A47" s="271" t="str">
        <f>IF(ISBLANK('Table 3-A| Emission Units'!A124),"",'Table 3-A| Emission Units'!A124&amp;"-"&amp;'Table 3-A| Emission Units'!B124)</f>
        <v/>
      </c>
      <c r="B47" s="272" t="str">
        <f>IF(ISBLANK('Table 3-A| Emission Units'!D124),"",IF(LEN('Table 3-A| Emission Units'!D124)&gt;25,LEFT('Table 3-A| Emission Units'!D124,25)&amp;"…",'Table 3-A| Emission Units'!D124))</f>
        <v/>
      </c>
      <c r="C47" s="273"/>
      <c r="D47" s="274"/>
      <c r="E47" s="275"/>
      <c r="F47" s="275"/>
      <c r="G47" s="275"/>
      <c r="H47" s="275"/>
      <c r="I47" s="275"/>
      <c r="J47" s="276" t="str">
        <f t="shared" si="4"/>
        <v/>
      </c>
      <c r="K47" s="277"/>
      <c r="L47" s="278"/>
    </row>
    <row r="48" spans="1:33" ht="18" customHeight="1" x14ac:dyDescent="0.25">
      <c r="A48" s="271" t="str">
        <f>IF(ISBLANK('Table 3-A| Emission Units'!A125),"",'Table 3-A| Emission Units'!A125&amp;"-"&amp;'Table 3-A| Emission Units'!B125)</f>
        <v/>
      </c>
      <c r="B48" s="272" t="str">
        <f>IF(ISBLANK('Table 3-A| Emission Units'!D125),"",IF(LEN('Table 3-A| Emission Units'!D125)&gt;25,LEFT('Table 3-A| Emission Units'!D125,25)&amp;"…",'Table 3-A| Emission Units'!D125))</f>
        <v/>
      </c>
      <c r="C48" s="273"/>
      <c r="D48" s="274"/>
      <c r="E48" s="275"/>
      <c r="F48" s="275"/>
      <c r="G48" s="275"/>
      <c r="H48" s="275"/>
      <c r="I48" s="275"/>
      <c r="J48" s="276" t="str">
        <f t="shared" si="4"/>
        <v/>
      </c>
      <c r="K48" s="277"/>
      <c r="L48" s="278"/>
    </row>
    <row r="49" spans="1:12" ht="18" customHeight="1" x14ac:dyDescent="0.25">
      <c r="A49" s="271" t="str">
        <f>IF(ISBLANK('Table 3-A| Emission Units'!A126),"",'Table 3-A| Emission Units'!A126&amp;"-"&amp;'Table 3-A| Emission Units'!B126)</f>
        <v/>
      </c>
      <c r="B49" s="272" t="str">
        <f>IF(ISBLANK('Table 3-A| Emission Units'!D126),"",IF(LEN('Table 3-A| Emission Units'!D126)&gt;25,LEFT('Table 3-A| Emission Units'!D126,25)&amp;"…",'Table 3-A| Emission Units'!D126))</f>
        <v/>
      </c>
      <c r="C49" s="273"/>
      <c r="D49" s="274"/>
      <c r="E49" s="275"/>
      <c r="F49" s="275"/>
      <c r="G49" s="275"/>
      <c r="H49" s="275"/>
      <c r="I49" s="275"/>
      <c r="J49" s="276" t="str">
        <f t="shared" si="4"/>
        <v/>
      </c>
      <c r="K49" s="277"/>
      <c r="L49" s="278"/>
    </row>
    <row r="50" spans="1:12" ht="18" customHeight="1" x14ac:dyDescent="0.25">
      <c r="A50" s="271" t="str">
        <f>IF(ISBLANK('Table 3-A| Emission Units'!A127),"",'Table 3-A| Emission Units'!A127&amp;"-"&amp;'Table 3-A| Emission Units'!B127)</f>
        <v/>
      </c>
      <c r="B50" s="272" t="str">
        <f>IF(ISBLANK('Table 3-A| Emission Units'!D127),"",IF(LEN('Table 3-A| Emission Units'!D127)&gt;25,LEFT('Table 3-A| Emission Units'!D127,25)&amp;"…",'Table 3-A| Emission Units'!D127))</f>
        <v/>
      </c>
      <c r="C50" s="273"/>
      <c r="D50" s="274"/>
      <c r="E50" s="275"/>
      <c r="F50" s="275"/>
      <c r="G50" s="275"/>
      <c r="H50" s="275"/>
      <c r="I50" s="275"/>
      <c r="J50" s="276" t="str">
        <f t="shared" si="4"/>
        <v/>
      </c>
      <c r="K50" s="277"/>
      <c r="L50" s="278"/>
    </row>
    <row r="51" spans="1:12" ht="18" customHeight="1" x14ac:dyDescent="0.25">
      <c r="A51" s="271" t="str">
        <f>IF(ISBLANK('Table 3-A| Emission Units'!A128),"",'Table 3-A| Emission Units'!A128&amp;"-"&amp;'Table 3-A| Emission Units'!B128)</f>
        <v/>
      </c>
      <c r="B51" s="272" t="str">
        <f>IF(ISBLANK('Table 3-A| Emission Units'!D128),"",IF(LEN('Table 3-A| Emission Units'!D128)&gt;25,LEFT('Table 3-A| Emission Units'!D128,25)&amp;"…",'Table 3-A| Emission Units'!D128))</f>
        <v/>
      </c>
      <c r="C51" s="273"/>
      <c r="D51" s="274"/>
      <c r="E51" s="275"/>
      <c r="F51" s="275"/>
      <c r="G51" s="275"/>
      <c r="H51" s="275"/>
      <c r="I51" s="275"/>
      <c r="J51" s="276" t="str">
        <f t="shared" si="4"/>
        <v/>
      </c>
      <c r="K51" s="277"/>
      <c r="L51" s="278"/>
    </row>
    <row r="52" spans="1:12" ht="18" customHeight="1" x14ac:dyDescent="0.25">
      <c r="A52" s="271" t="str">
        <f>IF(ISBLANK('Table 3-A| Emission Units'!A129),"",'Table 3-A| Emission Units'!A129&amp;"-"&amp;'Table 3-A| Emission Units'!B129)</f>
        <v/>
      </c>
      <c r="B52" s="272" t="str">
        <f>IF(ISBLANK('Table 3-A| Emission Units'!D129),"",IF(LEN('Table 3-A| Emission Units'!D129)&gt;25,LEFT('Table 3-A| Emission Units'!D129,25)&amp;"…",'Table 3-A| Emission Units'!D129))</f>
        <v/>
      </c>
      <c r="C52" s="273"/>
      <c r="D52" s="274"/>
      <c r="E52" s="275"/>
      <c r="F52" s="275"/>
      <c r="G52" s="275"/>
      <c r="H52" s="275"/>
      <c r="I52" s="275"/>
      <c r="J52" s="276" t="str">
        <f t="shared" si="4"/>
        <v/>
      </c>
      <c r="K52" s="277"/>
      <c r="L52" s="278"/>
    </row>
    <row r="53" spans="1:12" ht="18" customHeight="1" x14ac:dyDescent="0.25">
      <c r="A53" s="271" t="str">
        <f>IF(ISBLANK('Table 3-A| Emission Units'!A130),"",'Table 3-A| Emission Units'!A130&amp;"-"&amp;'Table 3-A| Emission Units'!B130)</f>
        <v/>
      </c>
      <c r="B53" s="272" t="str">
        <f>IF(ISBLANK('Table 3-A| Emission Units'!D130),"",IF(LEN('Table 3-A| Emission Units'!D130)&gt;25,LEFT('Table 3-A| Emission Units'!D130,25)&amp;"…",'Table 3-A| Emission Units'!D130))</f>
        <v/>
      </c>
      <c r="C53" s="273"/>
      <c r="D53" s="274"/>
      <c r="E53" s="275"/>
      <c r="F53" s="275"/>
      <c r="G53" s="275"/>
      <c r="H53" s="275"/>
      <c r="I53" s="275"/>
      <c r="J53" s="276" t="str">
        <f t="shared" si="4"/>
        <v/>
      </c>
      <c r="K53" s="277"/>
      <c r="L53" s="278"/>
    </row>
    <row r="54" spans="1:12" ht="18" customHeight="1" x14ac:dyDescent="0.25">
      <c r="A54" s="271" t="str">
        <f>IF(ISBLANK('Table 3-A| Emission Units'!A131),"",'Table 3-A| Emission Units'!A131&amp;"-"&amp;'Table 3-A| Emission Units'!B131)</f>
        <v/>
      </c>
      <c r="B54" s="272" t="str">
        <f>IF(ISBLANK('Table 3-A| Emission Units'!D131),"",IF(LEN('Table 3-A| Emission Units'!D131)&gt;25,LEFT('Table 3-A| Emission Units'!D131,25)&amp;"…",'Table 3-A| Emission Units'!D131))</f>
        <v/>
      </c>
      <c r="C54" s="273"/>
      <c r="D54" s="274"/>
      <c r="E54" s="275"/>
      <c r="F54" s="275"/>
      <c r="G54" s="275"/>
      <c r="H54" s="275"/>
      <c r="I54" s="275"/>
      <c r="J54" s="276" t="str">
        <f t="shared" si="4"/>
        <v/>
      </c>
      <c r="K54" s="277"/>
      <c r="L54" s="278"/>
    </row>
    <row r="55" spans="1:12" ht="18" customHeight="1" x14ac:dyDescent="0.25">
      <c r="A55" s="271" t="str">
        <f>IF(ISBLANK('Table 3-A| Emission Units'!A132),"",'Table 3-A| Emission Units'!A132&amp;"-"&amp;'Table 3-A| Emission Units'!B132)</f>
        <v/>
      </c>
      <c r="B55" s="272" t="str">
        <f>IF(ISBLANK('Table 3-A| Emission Units'!D132),"",IF(LEN('Table 3-A| Emission Units'!D132)&gt;25,LEFT('Table 3-A| Emission Units'!D132,25)&amp;"…",'Table 3-A| Emission Units'!D132))</f>
        <v/>
      </c>
      <c r="C55" s="273"/>
      <c r="D55" s="274"/>
      <c r="E55" s="275"/>
      <c r="F55" s="275"/>
      <c r="G55" s="275"/>
      <c r="H55" s="275"/>
      <c r="I55" s="275"/>
      <c r="J55" s="276" t="str">
        <f t="shared" si="4"/>
        <v/>
      </c>
      <c r="K55" s="277"/>
      <c r="L55" s="278"/>
    </row>
    <row r="56" spans="1:12" ht="18" customHeight="1" x14ac:dyDescent="0.25">
      <c r="A56" s="271" t="str">
        <f>IF(ISBLANK('Table 3-A| Emission Units'!A133),"",'Table 3-A| Emission Units'!A133&amp;"-"&amp;'Table 3-A| Emission Units'!B133)</f>
        <v/>
      </c>
      <c r="B56" s="272" t="str">
        <f>IF(ISBLANK('Table 3-A| Emission Units'!D133),"",IF(LEN('Table 3-A| Emission Units'!D133)&gt;25,LEFT('Table 3-A| Emission Units'!D133,25)&amp;"…",'Table 3-A| Emission Units'!D133))</f>
        <v/>
      </c>
      <c r="C56" s="273"/>
      <c r="D56" s="274"/>
      <c r="E56" s="275"/>
      <c r="F56" s="275"/>
      <c r="G56" s="275"/>
      <c r="H56" s="275"/>
      <c r="I56" s="275"/>
      <c r="J56" s="276" t="str">
        <f t="shared" si="4"/>
        <v/>
      </c>
      <c r="K56" s="277"/>
      <c r="L56" s="278"/>
    </row>
    <row r="57" spans="1:12" ht="18" customHeight="1" x14ac:dyDescent="0.25">
      <c r="A57" s="271" t="str">
        <f>IF(ISBLANK('Table 3-A| Emission Units'!A134),"",'Table 3-A| Emission Units'!A134&amp;"-"&amp;'Table 3-A| Emission Units'!B134)</f>
        <v/>
      </c>
      <c r="B57" s="272" t="str">
        <f>IF(ISBLANK('Table 3-A| Emission Units'!D134),"",IF(LEN('Table 3-A| Emission Units'!D134)&gt;25,LEFT('Table 3-A| Emission Units'!D134,25)&amp;"…",'Table 3-A| Emission Units'!D134))</f>
        <v/>
      </c>
      <c r="C57" s="273"/>
      <c r="D57" s="274"/>
      <c r="E57" s="275"/>
      <c r="F57" s="275"/>
      <c r="G57" s="275"/>
      <c r="H57" s="275"/>
      <c r="I57" s="275"/>
      <c r="J57" s="276" t="str">
        <f t="shared" si="4"/>
        <v/>
      </c>
      <c r="K57" s="277"/>
      <c r="L57" s="278"/>
    </row>
    <row r="58" spans="1:12" ht="18" customHeight="1" x14ac:dyDescent="0.25">
      <c r="A58" s="271" t="str">
        <f>IF(ISBLANK('Table 3-A| Emission Units'!A135),"",'Table 3-A| Emission Units'!A135&amp;"-"&amp;'Table 3-A| Emission Units'!B135)</f>
        <v/>
      </c>
      <c r="B58" s="272" t="str">
        <f>IF(ISBLANK('Table 3-A| Emission Units'!D135),"",IF(LEN('Table 3-A| Emission Units'!D135)&gt;25,LEFT('Table 3-A| Emission Units'!D135,25)&amp;"…",'Table 3-A| Emission Units'!D135))</f>
        <v/>
      </c>
      <c r="C58" s="273"/>
      <c r="D58" s="274"/>
      <c r="E58" s="275"/>
      <c r="F58" s="275"/>
      <c r="G58" s="275"/>
      <c r="H58" s="275"/>
      <c r="I58" s="275"/>
      <c r="J58" s="276" t="str">
        <f t="shared" si="4"/>
        <v/>
      </c>
      <c r="K58" s="277"/>
      <c r="L58" s="278"/>
    </row>
    <row r="59" spans="1:12" ht="18" customHeight="1" x14ac:dyDescent="0.25">
      <c r="A59" s="271" t="str">
        <f>IF(ISBLANK('Table 3-A| Emission Units'!A136),"",'Table 3-A| Emission Units'!A136&amp;"-"&amp;'Table 3-A| Emission Units'!B136)</f>
        <v/>
      </c>
      <c r="B59" s="272" t="str">
        <f>IF(ISBLANK('Table 3-A| Emission Units'!D136),"",IF(LEN('Table 3-A| Emission Units'!D136)&gt;25,LEFT('Table 3-A| Emission Units'!D136,25)&amp;"…",'Table 3-A| Emission Units'!D136))</f>
        <v/>
      </c>
      <c r="C59" s="273"/>
      <c r="D59" s="274"/>
      <c r="E59" s="275"/>
      <c r="F59" s="275"/>
      <c r="G59" s="275"/>
      <c r="H59" s="275"/>
      <c r="I59" s="275"/>
      <c r="J59" s="276" t="str">
        <f t="shared" si="4"/>
        <v/>
      </c>
      <c r="K59" s="277"/>
      <c r="L59" s="278"/>
    </row>
    <row r="60" spans="1:12" ht="18" customHeight="1" x14ac:dyDescent="0.25">
      <c r="A60" s="271" t="str">
        <f>IF(ISBLANK('Table 3-A| Emission Units'!A137),"",'Table 3-A| Emission Units'!A137&amp;"-"&amp;'Table 3-A| Emission Units'!B137)</f>
        <v/>
      </c>
      <c r="B60" s="272" t="str">
        <f>IF(ISBLANK('Table 3-A| Emission Units'!D137),"",IF(LEN('Table 3-A| Emission Units'!D137)&gt;25,LEFT('Table 3-A| Emission Units'!D137,25)&amp;"…",'Table 3-A| Emission Units'!D137))</f>
        <v/>
      </c>
      <c r="C60" s="273"/>
      <c r="D60" s="274"/>
      <c r="E60" s="275"/>
      <c r="F60" s="275"/>
      <c r="G60" s="275"/>
      <c r="H60" s="275"/>
      <c r="I60" s="275"/>
      <c r="J60" s="276" t="str">
        <f t="shared" ref="J60:J65" si="5">IFERROR(IF(ISBLANK(G60),"",(3.14159*((0.5*G60)^2))*I60),"Invalid Data")</f>
        <v/>
      </c>
      <c r="K60" s="277"/>
      <c r="L60" s="278"/>
    </row>
    <row r="61" spans="1:12" ht="18" customHeight="1" x14ac:dyDescent="0.25">
      <c r="A61" s="271" t="str">
        <f>IF(ISBLANK('Table 3-A| Emission Units'!A138),"",'Table 3-A| Emission Units'!A138&amp;"-"&amp;'Table 3-A| Emission Units'!B138)</f>
        <v/>
      </c>
      <c r="B61" s="272" t="str">
        <f>IF(ISBLANK('Table 3-A| Emission Units'!D138),"",IF(LEN('Table 3-A| Emission Units'!D138)&gt;25,LEFT('Table 3-A| Emission Units'!D138,25)&amp;"…",'Table 3-A| Emission Units'!D138))</f>
        <v/>
      </c>
      <c r="C61" s="273"/>
      <c r="D61" s="274"/>
      <c r="E61" s="275"/>
      <c r="F61" s="275"/>
      <c r="G61" s="275"/>
      <c r="H61" s="275"/>
      <c r="I61" s="275"/>
      <c r="J61" s="276" t="str">
        <f t="shared" si="5"/>
        <v/>
      </c>
      <c r="K61" s="277"/>
      <c r="L61" s="278"/>
    </row>
    <row r="62" spans="1:12" ht="18" customHeight="1" x14ac:dyDescent="0.25">
      <c r="A62" s="271" t="str">
        <f>IF(ISBLANK('Table 3-A| Emission Units'!A139),"",'Table 3-A| Emission Units'!A139&amp;"-"&amp;'Table 3-A| Emission Units'!B139)</f>
        <v/>
      </c>
      <c r="B62" s="272" t="str">
        <f>IF(ISBLANK('Table 3-A| Emission Units'!D139),"",IF(LEN('Table 3-A| Emission Units'!D139)&gt;25,LEFT('Table 3-A| Emission Units'!D139,25)&amp;"…",'Table 3-A| Emission Units'!D139))</f>
        <v/>
      </c>
      <c r="C62" s="273"/>
      <c r="D62" s="274"/>
      <c r="E62" s="275"/>
      <c r="F62" s="275"/>
      <c r="G62" s="275"/>
      <c r="H62" s="275"/>
      <c r="I62" s="275"/>
      <c r="J62" s="276" t="str">
        <f t="shared" si="5"/>
        <v/>
      </c>
      <c r="K62" s="277"/>
      <c r="L62" s="278"/>
    </row>
    <row r="63" spans="1:12" ht="18" customHeight="1" x14ac:dyDescent="0.25">
      <c r="A63" s="271" t="str">
        <f>IF(ISBLANK('Table 3-A| Emission Units'!A140),"",'Table 3-A| Emission Units'!A140&amp;"-"&amp;'Table 3-A| Emission Units'!B140)</f>
        <v/>
      </c>
      <c r="B63" s="272" t="str">
        <f>IF(ISBLANK('Table 3-A| Emission Units'!D140),"",IF(LEN('Table 3-A| Emission Units'!D140)&gt;25,LEFT('Table 3-A| Emission Units'!D140,25)&amp;"…",'Table 3-A| Emission Units'!D140))</f>
        <v/>
      </c>
      <c r="C63" s="273"/>
      <c r="D63" s="274"/>
      <c r="E63" s="275"/>
      <c r="F63" s="275"/>
      <c r="G63" s="275"/>
      <c r="H63" s="275"/>
      <c r="I63" s="275"/>
      <c r="J63" s="276" t="str">
        <f t="shared" si="5"/>
        <v/>
      </c>
      <c r="K63" s="277"/>
      <c r="L63" s="278"/>
    </row>
    <row r="64" spans="1:12" ht="18" customHeight="1" x14ac:dyDescent="0.25">
      <c r="A64" s="271" t="str">
        <f>IF(ISBLANK('Table 3-A| Emission Units'!A141),"",'Table 3-A| Emission Units'!A141&amp;"-"&amp;'Table 3-A| Emission Units'!B141)</f>
        <v/>
      </c>
      <c r="B64" s="272" t="str">
        <f>IF(ISBLANK('Table 3-A| Emission Units'!D141),"",IF(LEN('Table 3-A| Emission Units'!D141)&gt;25,LEFT('Table 3-A| Emission Units'!D141,25)&amp;"…",'Table 3-A| Emission Units'!D141))</f>
        <v/>
      </c>
      <c r="C64" s="273"/>
      <c r="D64" s="274"/>
      <c r="E64" s="275"/>
      <c r="F64" s="275"/>
      <c r="G64" s="275"/>
      <c r="H64" s="275"/>
      <c r="I64" s="275"/>
      <c r="J64" s="276" t="str">
        <f t="shared" si="5"/>
        <v/>
      </c>
      <c r="K64" s="277"/>
      <c r="L64" s="278"/>
    </row>
    <row r="65" spans="1:12" ht="18" customHeight="1" thickBot="1" x14ac:dyDescent="0.3">
      <c r="A65" s="279" t="str">
        <f>IF(ISBLANK('Table 3-A| Emission Units'!A142),"",'Table 3-A| Emission Units'!A142&amp;"-"&amp;'Table 3-A| Emission Units'!B142)</f>
        <v/>
      </c>
      <c r="B65" s="280" t="str">
        <f>IF(ISBLANK('Table 3-A| Emission Units'!D142),"",IF(LEN('Table 3-A| Emission Units'!D142)&gt;25,LEFT('Table 3-A| Emission Units'!D142,25)&amp;"…",'Table 3-A| Emission Units'!D142))</f>
        <v/>
      </c>
      <c r="C65" s="281"/>
      <c r="D65" s="282"/>
      <c r="E65" s="283"/>
      <c r="F65" s="283"/>
      <c r="G65" s="283"/>
      <c r="H65" s="283"/>
      <c r="I65" s="283"/>
      <c r="J65" s="284" t="str">
        <f t="shared" si="5"/>
        <v/>
      </c>
      <c r="K65" s="285"/>
      <c r="L65" s="286"/>
    </row>
    <row r="66" spans="1:12" ht="18" customHeight="1" x14ac:dyDescent="0.25"/>
    <row r="67" spans="1:12" ht="18" customHeight="1" x14ac:dyDescent="0.25"/>
    <row r="68" spans="1:12" ht="18" customHeight="1" x14ac:dyDescent="0.25"/>
    <row r="69" spans="1:12" ht="18" customHeight="1" x14ac:dyDescent="0.25"/>
    <row r="70" spans="1:12" ht="18" customHeight="1" x14ac:dyDescent="0.25"/>
    <row r="71" spans="1:12" ht="18" customHeight="1" x14ac:dyDescent="0.25"/>
    <row r="72" spans="1:12" ht="18" customHeight="1" x14ac:dyDescent="0.25"/>
    <row r="73" spans="1:12" ht="18" customHeight="1" x14ac:dyDescent="0.25"/>
    <row r="74" spans="1:12" ht="18" customHeight="1" x14ac:dyDescent="0.25"/>
    <row r="75" spans="1:12" ht="18" customHeight="1" x14ac:dyDescent="0.25"/>
    <row r="76" spans="1:12" ht="18" customHeight="1" x14ac:dyDescent="0.25"/>
    <row r="77" spans="1:12" ht="18" customHeight="1" x14ac:dyDescent="0.25"/>
    <row r="78" spans="1:12" ht="18" customHeight="1" x14ac:dyDescent="0.25"/>
    <row r="79" spans="1:12" ht="18" customHeight="1" x14ac:dyDescent="0.25"/>
    <row r="80" spans="1:12" ht="18" customHeight="1" x14ac:dyDescent="0.25"/>
    <row r="81" ht="18" customHeight="1" x14ac:dyDescent="0.25"/>
    <row r="82" ht="18" customHeight="1" x14ac:dyDescent="0.25"/>
    <row r="83" ht="18" customHeight="1" x14ac:dyDescent="0.25"/>
    <row r="84" ht="18" customHeight="1" x14ac:dyDescent="0.25"/>
    <row r="85" ht="18" customHeight="1" x14ac:dyDescent="0.25"/>
    <row r="86" ht="18" customHeight="1" x14ac:dyDescent="0.25"/>
    <row r="87" ht="18" customHeight="1" x14ac:dyDescent="0.25"/>
    <row r="88" ht="18" customHeight="1" x14ac:dyDescent="0.25"/>
    <row r="89" ht="18" customHeight="1" x14ac:dyDescent="0.25"/>
    <row r="90" ht="18" customHeight="1" x14ac:dyDescent="0.25"/>
    <row r="91" ht="18" customHeight="1" x14ac:dyDescent="0.25"/>
    <row r="92" ht="18" customHeight="1" x14ac:dyDescent="0.25"/>
    <row r="93" ht="18" customHeight="1" x14ac:dyDescent="0.25"/>
    <row r="94" ht="18" customHeight="1" x14ac:dyDescent="0.25"/>
    <row r="95" ht="18" customHeight="1" x14ac:dyDescent="0.25"/>
    <row r="96" ht="18" customHeight="1" x14ac:dyDescent="0.25"/>
    <row r="97" ht="18" customHeight="1" x14ac:dyDescent="0.25"/>
    <row r="98" ht="18" customHeight="1" x14ac:dyDescent="0.25"/>
    <row r="99" ht="18" customHeight="1" x14ac:dyDescent="0.25"/>
    <row r="100" ht="18" customHeight="1" x14ac:dyDescent="0.25"/>
    <row r="101" ht="18" customHeight="1" x14ac:dyDescent="0.25"/>
  </sheetData>
  <sheetProtection algorithmName="SHA-512" hashValue="avml0uwWKSxrUsxY3W6rKOOOsv3oRoE1steRoxMUT1AXezxrZ+0zIzIwpr+gd3R8vOjKFnGzBQqKBnKB/5lbIA==" saltValue="zmtXbY3anAPvrXC18ydScA==" spinCount="100000" sheet="1" objects="1" scenarios="1"/>
  <mergeCells count="51">
    <mergeCell ref="A42:L42"/>
    <mergeCell ref="A35:L35"/>
    <mergeCell ref="A14:L14"/>
    <mergeCell ref="K23:L23"/>
    <mergeCell ref="A21:L21"/>
    <mergeCell ref="A28:B29"/>
    <mergeCell ref="I24:J24"/>
    <mergeCell ref="K24:L24"/>
    <mergeCell ref="K25:L25"/>
    <mergeCell ref="I25:J25"/>
    <mergeCell ref="K26:L26"/>
    <mergeCell ref="I26:J26"/>
    <mergeCell ref="K27:L27"/>
    <mergeCell ref="I27:J27"/>
    <mergeCell ref="D27:E27"/>
    <mergeCell ref="D28:E28"/>
    <mergeCell ref="A1:L1"/>
    <mergeCell ref="A3:L3"/>
    <mergeCell ref="A2:L2"/>
    <mergeCell ref="A12:A13"/>
    <mergeCell ref="B12:B13"/>
    <mergeCell ref="K12:K13"/>
    <mergeCell ref="L12:L13"/>
    <mergeCell ref="B5:L5"/>
    <mergeCell ref="B4:L4"/>
    <mergeCell ref="B6:L6"/>
    <mergeCell ref="AG36:AG37"/>
    <mergeCell ref="A33:L33"/>
    <mergeCell ref="A34:L34"/>
    <mergeCell ref="A36:L36"/>
    <mergeCell ref="B37:B38"/>
    <mergeCell ref="A37:A38"/>
    <mergeCell ref="K37:K38"/>
    <mergeCell ref="AF36:AF37"/>
    <mergeCell ref="L37:L38"/>
    <mergeCell ref="A31:L31"/>
    <mergeCell ref="B10:L10"/>
    <mergeCell ref="B9:L9"/>
    <mergeCell ref="B8:L8"/>
    <mergeCell ref="B7:L7"/>
    <mergeCell ref="A30:L30"/>
    <mergeCell ref="A24:B24"/>
    <mergeCell ref="A23:B23"/>
    <mergeCell ref="G28:H29"/>
    <mergeCell ref="I28:J29"/>
    <mergeCell ref="A27:B27"/>
    <mergeCell ref="A26:B26"/>
    <mergeCell ref="A25:B25"/>
    <mergeCell ref="K28:L29"/>
    <mergeCell ref="F28:F29"/>
    <mergeCell ref="I23:J23"/>
  </mergeCells>
  <conditionalFormatting sqref="B15:B20">
    <cfRule type="expression" dxfId="294" priority="33">
      <formula>AND(NOT(ISBLANK(A15)),ISBLANK(B15))</formula>
    </cfRule>
  </conditionalFormatting>
  <conditionalFormatting sqref="C15:C20">
    <cfRule type="expression" dxfId="293" priority="14">
      <formula>AND(NOT(ISBLANK(A15)),NOT(ISBLANK(B15)),ISBLANK(C15))</formula>
    </cfRule>
  </conditionalFormatting>
  <conditionalFormatting sqref="C43:C65">
    <cfRule type="expression" dxfId="292" priority="9">
      <formula>AND(NOT(ISBLANK(C43)),OR(C43&gt;41.05,C43&lt;40.52))</formula>
    </cfRule>
  </conditionalFormatting>
  <conditionalFormatting sqref="C16:E20">
    <cfRule type="expression" dxfId="291" priority="15">
      <formula>AND(NOT(ISNUMBER(C16)),NOT(ISBLANK(C16)))</formula>
    </cfRule>
  </conditionalFormatting>
  <conditionalFormatting sqref="C15:H15">
    <cfRule type="expression" dxfId="290" priority="43">
      <formula>AND(NOT(ISNUMBER(C15)),NOT(ISBLANK(C15)))</formula>
    </cfRule>
  </conditionalFormatting>
  <conditionalFormatting sqref="C43:I65">
    <cfRule type="expression" dxfId="289" priority="82">
      <formula>ISTEXT(C43)</formula>
    </cfRule>
  </conditionalFormatting>
  <conditionalFormatting sqref="C15:J20 L15:L20 C43:J65 L43:L65">
    <cfRule type="expression" dxfId="288" priority="7" stopIfTrue="1">
      <formula>$K15="Fugitive"</formula>
    </cfRule>
  </conditionalFormatting>
  <conditionalFormatting sqref="C39:L41">
    <cfRule type="expression" dxfId="287" priority="1">
      <formula>AND(NOT($A39=""),ISBLANK(C39))</formula>
    </cfRule>
  </conditionalFormatting>
  <conditionalFormatting sqref="C43:L65">
    <cfRule type="expression" dxfId="286" priority="81">
      <formula>AND(NOT($A43=""),ISBLANK(C43))</formula>
    </cfRule>
  </conditionalFormatting>
  <conditionalFormatting sqref="D15:D20">
    <cfRule type="expression" dxfId="285" priority="13">
      <formula>AND(NOT(ISBLANK(A15)),NOT(ISBLANK(B15)),NOT(ISBLANK(C15)),ISBLANK(D15))</formula>
    </cfRule>
  </conditionalFormatting>
  <conditionalFormatting sqref="D43:D65">
    <cfRule type="expression" dxfId="284" priority="11">
      <formula>AND(NOT(ISBLANK(D43)),OR(D43&gt;96.92,D43&lt;96.46))</formula>
    </cfRule>
  </conditionalFormatting>
  <conditionalFormatting sqref="E15:E20">
    <cfRule type="expression" dxfId="283" priority="12">
      <formula>AND(NOT(ISBLANK(A15)),NOT(ISBLANK(B15)),NOT(ISBLANK(C15)),NOT(ISBLANK(D15)),ISBLANK(E15))</formula>
    </cfRule>
  </conditionalFormatting>
  <conditionalFormatting sqref="F15:F20">
    <cfRule type="expression" dxfId="282" priority="23">
      <formula>AND(NOT(ISBLANK(A15)),NOT(ISBLANK(B15)),NOT(ISBLANK(C15)),NOT(ISBLANK(D15)),NOT(ISBLANK(E15)),ISBLANK(F15))</formula>
    </cfRule>
  </conditionalFormatting>
  <conditionalFormatting sqref="F16:H20">
    <cfRule type="expression" dxfId="281" priority="27">
      <formula>AND(NOT(ISNUMBER(F16)),NOT(ISBLANK(F16)))</formula>
    </cfRule>
  </conditionalFormatting>
  <conditionalFormatting sqref="G15:G20">
    <cfRule type="expression" dxfId="280" priority="20">
      <formula>AND(NOT(ISBLANK(A15)),NOT(ISBLANK(B15)),NOT(ISBLANK(C15)),NOT(ISBLANK(D15)),NOT(ISBLANK(E15)),NOT(ISBLANK(F15)),ISBLANK(G15))</formula>
    </cfRule>
  </conditionalFormatting>
  <conditionalFormatting sqref="H15:H20">
    <cfRule type="expression" dxfId="279" priority="22">
      <formula>AND(NOT(ISBLANK(A15)),NOT(ISBLANK(B15)),NOT(ISBLANK(C15)),NOT(ISBLANK(D15)),NOT(ISBLANK(E15)),NOT(ISBLANK(F15)),NOT(ISBLANK(G15)),ISBLANK(H15))</formula>
    </cfRule>
  </conditionalFormatting>
  <conditionalFormatting sqref="I15:I20">
    <cfRule type="expression" dxfId="278" priority="21">
      <formula>AND(NOT(ISBLANK(A15)),NOT(ISBLANK(B15)),NOT(ISBLANK(C15)),NOT(ISBLANK(D15)),NOT(ISBLANK(E15)),NOT(ISBLANK(F15)),NOT(ISBLANK(H15)),ISBLANK(I15))</formula>
    </cfRule>
  </conditionalFormatting>
  <conditionalFormatting sqref="K15:K20">
    <cfRule type="expression" dxfId="277" priority="19">
      <formula>AND(NOT(ISBLANK(A15)),NOT(ISBLANK(B15)),NOT(ISBLANK(C15)),NOT(ISBLANK(D15)),NOT(ISBLANK(E15)),NOT(ISBLANK(F15)),NOT(ISBLANK(H15)),NOT(ISBLANK(I15)),ISBLANK(K15))</formula>
    </cfRule>
  </conditionalFormatting>
  <conditionalFormatting sqref="L15:L20">
    <cfRule type="expression" dxfId="276" priority="18">
      <formula>AND(NOT(ISBLANK(A15)),NOT(ISBLANK(B15)),NOT(ISBLANK(C15)),NOT(ISBLANK(D15)),NOT(ISBLANK(E15)),NOT(ISBLANK(F15)),NOT(ISBLANK(H15)),NOT(ISBLANK(I15)),NOT(ISBLANK(K15)),ISBLANK(L15))</formula>
    </cfRule>
  </conditionalFormatting>
  <dataValidations disablePrompts="1" count="6">
    <dataValidation type="decimal" allowBlank="1" showInputMessage="1" showErrorMessage="1" errorTitle="Invalid Entry" error="Coordinates are outside of Lancaster County." sqref="C43:C65 C39:C41" xr:uid="{00000000-0002-0000-0400-000000000000}">
      <formula1>40.52</formula1>
      <formula2>41.05</formula2>
    </dataValidation>
    <dataValidation type="decimal" allowBlank="1" showInputMessage="1" showErrorMessage="1" errorTitle="Invalid Entry" error="Coordinates are outside of Lancaster County." sqref="D43:D65 D39:D41" xr:uid="{00000000-0002-0000-0400-000001000000}">
      <formula1>96.46</formula1>
      <formula2>96.92</formula2>
    </dataValidation>
    <dataValidation type="list" showInputMessage="1" showErrorMessage="1" errorTitle="Error" error="Must select either Vertical or Horizontal!" promptTitle="Select One" prompt="Please indicate whether the stack or release point is oriented vertically or horizontally." sqref="K15:K20" xr:uid="{00000000-0002-0000-0400-000002000000}">
      <formula1>$AF$13:$AF$15</formula1>
    </dataValidation>
    <dataValidation type="list" showInputMessage="1" showErrorMessage="1" errorTitle="Error" error="Must select either Yes or No!" promptTitle="Select One" prompt="Indicate whether or not this stack is equipped with a raincap." sqref="L15:L20" xr:uid="{00000000-0002-0000-0400-000003000000}">
      <formula1>$AG$13:$AG$14</formula1>
    </dataValidation>
    <dataValidation type="list" errorStyle="warning" showInputMessage="1" showErrorMessage="1" errorTitle="Error" error="Must select either Vertical, Horizontal, or Fugitive!" promptTitle="Select One" prompt="Please indicate whether the stack or release point is oriented vertically or horizontally, or if emissions are fugitive." sqref="K43:K65 K39:K41" xr:uid="{00000000-0002-0000-0400-000004000000}">
      <formula1>$AF$38:$AF$42</formula1>
    </dataValidation>
    <dataValidation type="list" errorStyle="warning" showInputMessage="1" showErrorMessage="1" errorTitle="Error" error="Must select either Yes or No!" promptTitle="Select One" prompt="Indicate whether or not this stack is equipped with a raincap." sqref="L43:L65 L39:L41" xr:uid="{00000000-0002-0000-0400-000005000000}">
      <formula1>$AG$38:$AG$39</formula1>
    </dataValidation>
  </dataValidations>
  <printOptions horizontalCentered="1"/>
  <pageMargins left="0.5" right="0.5" top="0.5" bottom="0.5" header="0.3" footer="0.3"/>
  <pageSetup scale="73" fitToHeight="0" orientation="landscape" r:id="rId1"/>
  <headerFooter>
    <oddFooter>&amp;L&amp;12Rev. 7/2016&amp;C&amp;A&amp;R&amp;10Page &amp;P</oddFooter>
  </headerFooter>
  <ignoredErrors>
    <ignoredError sqref="J43:J65"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rgb="FFC00000"/>
    <pageSetUpPr fitToPage="1"/>
  </sheetPr>
  <dimension ref="A1:R69"/>
  <sheetViews>
    <sheetView zoomScaleNormal="100" workbookViewId="0">
      <selection sqref="A1:R1"/>
    </sheetView>
  </sheetViews>
  <sheetFormatPr defaultRowHeight="20.100000000000001" customHeight="1" x14ac:dyDescent="0.25"/>
  <cols>
    <col min="1" max="1" width="9.140625" style="92" customWidth="1"/>
    <col min="2" max="16384" width="9.140625" style="92"/>
  </cols>
  <sheetData>
    <row r="1" spans="1:18" s="91" customFormat="1" ht="30" customHeight="1" thickBot="1" x14ac:dyDescent="0.3">
      <c r="A1" s="1342" t="s">
        <v>1729</v>
      </c>
      <c r="B1" s="1342"/>
      <c r="C1" s="1342"/>
      <c r="D1" s="1342"/>
      <c r="E1" s="1342"/>
      <c r="F1" s="1342"/>
      <c r="G1" s="1342"/>
      <c r="H1" s="1342"/>
      <c r="I1" s="1342"/>
      <c r="J1" s="1342"/>
      <c r="K1" s="1342"/>
      <c r="L1" s="1342"/>
      <c r="M1" s="1342"/>
      <c r="N1" s="1342"/>
      <c r="O1" s="1342"/>
      <c r="P1" s="1342"/>
      <c r="Q1" s="1342"/>
      <c r="R1" s="1342"/>
    </row>
    <row r="2" spans="1:18" ht="39.950000000000003" customHeight="1" x14ac:dyDescent="0.25">
      <c r="A2" s="1341" t="s">
        <v>1875</v>
      </c>
      <c r="B2" s="1341"/>
      <c r="C2" s="1341"/>
      <c r="D2" s="1341"/>
      <c r="E2" s="1341"/>
      <c r="F2" s="1341"/>
      <c r="G2" s="1341"/>
      <c r="H2" s="1341"/>
      <c r="I2" s="1341"/>
      <c r="J2" s="1341"/>
      <c r="K2" s="1341"/>
      <c r="L2" s="1341"/>
      <c r="M2" s="1341"/>
      <c r="N2" s="1341"/>
      <c r="O2" s="1341"/>
      <c r="P2" s="1341"/>
      <c r="Q2" s="1341"/>
      <c r="R2" s="1341"/>
    </row>
    <row r="3" spans="1:18" ht="60" customHeight="1" thickBot="1" x14ac:dyDescent="0.3">
      <c r="A3" s="1341" t="s">
        <v>1793</v>
      </c>
      <c r="B3" s="1341"/>
      <c r="C3" s="1341"/>
      <c r="D3" s="1341"/>
      <c r="E3" s="1341"/>
      <c r="F3" s="1341"/>
      <c r="G3" s="1341"/>
      <c r="H3" s="1341"/>
      <c r="I3" s="1341"/>
      <c r="J3" s="1341"/>
      <c r="K3" s="1341"/>
      <c r="L3" s="1341"/>
      <c r="M3" s="1341"/>
      <c r="N3" s="1341"/>
      <c r="O3" s="1341"/>
      <c r="P3" s="1341"/>
      <c r="Q3" s="1341"/>
      <c r="R3" s="1341"/>
    </row>
    <row r="4" spans="1:18" s="480" customFormat="1" ht="20.100000000000001" customHeight="1" thickBot="1" x14ac:dyDescent="0.3">
      <c r="A4" s="1347" t="s">
        <v>1521</v>
      </c>
      <c r="B4" s="1348"/>
      <c r="C4" s="1348"/>
      <c r="D4" s="1348"/>
      <c r="E4" s="1348"/>
      <c r="F4" s="1348"/>
      <c r="G4" s="1348"/>
      <c r="H4" s="1348"/>
      <c r="I4" s="1348"/>
      <c r="J4" s="1348"/>
      <c r="K4" s="1348"/>
      <c r="L4" s="1348"/>
      <c r="M4" s="1348"/>
      <c r="N4" s="1348"/>
      <c r="O4" s="1348"/>
      <c r="P4" s="1348"/>
      <c r="Q4" s="1348"/>
      <c r="R4" s="1348"/>
    </row>
    <row r="5" spans="1:18" ht="60" customHeight="1" x14ac:dyDescent="0.25">
      <c r="A5" s="1341" t="s">
        <v>1472</v>
      </c>
      <c r="B5" s="1341"/>
      <c r="C5" s="1341"/>
      <c r="D5" s="1341"/>
      <c r="E5" s="1341"/>
      <c r="F5" s="1341"/>
      <c r="G5" s="1341"/>
      <c r="H5" s="1341"/>
      <c r="I5" s="1341"/>
      <c r="J5" s="1341"/>
      <c r="K5" s="1341"/>
      <c r="L5" s="1341"/>
      <c r="M5" s="1341"/>
      <c r="N5" s="1341"/>
      <c r="O5" s="1341"/>
      <c r="P5" s="1341"/>
      <c r="Q5" s="1341"/>
      <c r="R5" s="1341"/>
    </row>
    <row r="6" spans="1:18" ht="80.099999999999994" customHeight="1" x14ac:dyDescent="0.25">
      <c r="A6" s="1341" t="s">
        <v>1794</v>
      </c>
      <c r="B6" s="1341"/>
      <c r="C6" s="1341"/>
      <c r="D6" s="1341"/>
      <c r="E6" s="1341"/>
      <c r="F6" s="1341"/>
      <c r="G6" s="1341"/>
      <c r="H6" s="1341"/>
      <c r="I6" s="1341"/>
      <c r="J6" s="1341"/>
      <c r="K6" s="1341"/>
      <c r="L6" s="1341"/>
      <c r="M6" s="1341"/>
      <c r="N6" s="1341"/>
      <c r="O6" s="1341"/>
      <c r="P6" s="1341"/>
      <c r="Q6" s="1341"/>
      <c r="R6" s="1341"/>
    </row>
    <row r="7" spans="1:18" ht="19.5" customHeight="1" thickBot="1" x14ac:dyDescent="0.3">
      <c r="A7" s="1350" t="s">
        <v>1471</v>
      </c>
      <c r="B7" s="1350"/>
      <c r="C7" s="1350"/>
      <c r="D7" s="1350"/>
      <c r="E7" s="1350"/>
      <c r="F7" s="1350"/>
      <c r="G7" s="1350"/>
      <c r="H7" s="1350"/>
      <c r="I7" s="1350"/>
      <c r="J7" s="1350"/>
      <c r="K7" s="1350"/>
      <c r="L7" s="1350"/>
      <c r="M7" s="1350"/>
      <c r="N7" s="1350"/>
      <c r="O7" s="1350"/>
      <c r="P7" s="1350"/>
      <c r="Q7" s="1350"/>
      <c r="R7" s="1350"/>
    </row>
    <row r="8" spans="1:18" s="480" customFormat="1" ht="20.100000000000001" customHeight="1" thickBot="1" x14ac:dyDescent="0.3">
      <c r="A8" s="1347" t="s">
        <v>1520</v>
      </c>
      <c r="B8" s="1348"/>
      <c r="C8" s="1348"/>
      <c r="D8" s="1348"/>
      <c r="E8" s="1348"/>
      <c r="F8" s="1348"/>
      <c r="G8" s="1348"/>
      <c r="H8" s="1348"/>
      <c r="I8" s="1348"/>
      <c r="J8" s="1348"/>
      <c r="K8" s="1348"/>
      <c r="L8" s="1348"/>
      <c r="M8" s="1348"/>
      <c r="N8" s="1348"/>
      <c r="O8" s="1348"/>
      <c r="P8" s="1348"/>
      <c r="Q8" s="1348"/>
      <c r="R8" s="1348"/>
    </row>
    <row r="9" spans="1:18" ht="39.950000000000003" customHeight="1" x14ac:dyDescent="0.25">
      <c r="A9" s="1349" t="s">
        <v>1871</v>
      </c>
      <c r="B9" s="1349"/>
      <c r="C9" s="1349"/>
      <c r="D9" s="1349"/>
      <c r="E9" s="1349"/>
      <c r="F9" s="1349"/>
      <c r="G9" s="1349"/>
      <c r="H9" s="1349"/>
      <c r="I9" s="1349"/>
      <c r="J9" s="1349"/>
      <c r="K9" s="1349"/>
      <c r="L9" s="1349"/>
      <c r="M9" s="1349"/>
      <c r="N9" s="1349"/>
      <c r="O9" s="1349"/>
      <c r="P9" s="1349"/>
      <c r="Q9" s="1349"/>
      <c r="R9" s="1349"/>
    </row>
    <row r="10" spans="1:18" ht="95.1" customHeight="1" thickBot="1" x14ac:dyDescent="0.3">
      <c r="A10" s="1341" t="s">
        <v>1872</v>
      </c>
      <c r="B10" s="1341"/>
      <c r="C10" s="1341"/>
      <c r="D10" s="1341"/>
      <c r="E10" s="1341"/>
      <c r="F10" s="1341"/>
      <c r="G10" s="1341"/>
      <c r="H10" s="1341"/>
      <c r="I10" s="1341"/>
      <c r="J10" s="1341"/>
      <c r="K10" s="1341"/>
      <c r="L10" s="1341"/>
      <c r="M10" s="1341"/>
      <c r="N10" s="1341"/>
      <c r="O10" s="1341"/>
      <c r="P10" s="1341"/>
      <c r="Q10" s="1341"/>
      <c r="R10" s="1341"/>
    </row>
    <row r="11" spans="1:18" s="481" customFormat="1" ht="20.100000000000001" customHeight="1" thickBot="1" x14ac:dyDescent="0.3">
      <c r="A11" s="1351" t="s">
        <v>1518</v>
      </c>
      <c r="B11" s="1352"/>
      <c r="C11" s="1352"/>
      <c r="D11" s="1352"/>
      <c r="E11" s="1352"/>
      <c r="F11" s="1352"/>
      <c r="G11" s="1352"/>
      <c r="H11" s="1352"/>
      <c r="I11" s="1352"/>
      <c r="J11" s="1352"/>
      <c r="K11" s="1352"/>
      <c r="L11" s="1352"/>
      <c r="M11" s="1352"/>
      <c r="N11" s="1352"/>
      <c r="O11" s="1352"/>
      <c r="P11" s="1352"/>
      <c r="Q11" s="1352"/>
      <c r="R11" s="1352"/>
    </row>
    <row r="12" spans="1:18" ht="50.1" customHeight="1" x14ac:dyDescent="0.25">
      <c r="A12" s="1341" t="s">
        <v>1869</v>
      </c>
      <c r="B12" s="1341"/>
      <c r="C12" s="1341"/>
      <c r="D12" s="1341"/>
      <c r="E12" s="1341"/>
      <c r="F12" s="1341"/>
      <c r="G12" s="1341"/>
      <c r="H12" s="1341"/>
      <c r="I12" s="1341"/>
      <c r="J12" s="1341"/>
      <c r="K12" s="1341"/>
      <c r="L12" s="1341"/>
      <c r="M12" s="1341"/>
      <c r="N12" s="1341"/>
      <c r="O12" s="1341"/>
      <c r="P12" s="1341"/>
      <c r="Q12" s="1341"/>
      <c r="R12" s="1341"/>
    </row>
    <row r="13" spans="1:18" s="477" customFormat="1" ht="39.950000000000003" customHeight="1" x14ac:dyDescent="0.25">
      <c r="A13" s="167">
        <v>1</v>
      </c>
      <c r="B13" s="1346" t="s">
        <v>1511</v>
      </c>
      <c r="C13" s="1346"/>
      <c r="D13" s="1346"/>
      <c r="E13" s="1346"/>
      <c r="F13" s="1346"/>
      <c r="G13" s="1346"/>
      <c r="H13" s="1346"/>
      <c r="I13" s="1346"/>
      <c r="J13" s="1346"/>
      <c r="K13" s="1346"/>
      <c r="L13" s="1346"/>
      <c r="M13" s="1346"/>
      <c r="N13" s="1346"/>
      <c r="O13" s="1346"/>
      <c r="P13" s="1346"/>
      <c r="Q13" s="1346"/>
      <c r="R13" s="1346"/>
    </row>
    <row r="14" spans="1:18" s="477" customFormat="1" ht="20.100000000000001" customHeight="1" x14ac:dyDescent="0.25">
      <c r="A14" s="167">
        <v>2</v>
      </c>
      <c r="B14" s="1346" t="s">
        <v>1473</v>
      </c>
      <c r="C14" s="1346"/>
      <c r="D14" s="1346"/>
      <c r="E14" s="1346"/>
      <c r="F14" s="1346"/>
      <c r="G14" s="1346"/>
      <c r="H14" s="1346"/>
      <c r="I14" s="1346"/>
      <c r="J14" s="1346"/>
      <c r="K14" s="1346"/>
      <c r="L14" s="1346"/>
      <c r="M14" s="1346"/>
      <c r="N14" s="1346"/>
      <c r="O14" s="1346"/>
      <c r="P14" s="1346"/>
      <c r="Q14" s="1346"/>
      <c r="R14" s="1346"/>
    </row>
    <row r="15" spans="1:18" s="477" customFormat="1" ht="39.950000000000003" customHeight="1" x14ac:dyDescent="0.25">
      <c r="A15" s="167">
        <v>3</v>
      </c>
      <c r="B15" s="1346" t="s">
        <v>1474</v>
      </c>
      <c r="C15" s="1346"/>
      <c r="D15" s="1346"/>
      <c r="E15" s="1346"/>
      <c r="F15" s="1346"/>
      <c r="G15" s="1346"/>
      <c r="H15" s="1346"/>
      <c r="I15" s="1346"/>
      <c r="J15" s="1346"/>
      <c r="K15" s="1346"/>
      <c r="L15" s="1346"/>
      <c r="M15" s="1346"/>
      <c r="N15" s="1346"/>
      <c r="O15" s="1346"/>
      <c r="P15" s="1346"/>
      <c r="Q15" s="1346"/>
      <c r="R15" s="1346"/>
    </row>
    <row r="16" spans="1:18" s="477" customFormat="1" ht="20.100000000000001" customHeight="1" x14ac:dyDescent="0.25">
      <c r="A16" s="167">
        <v>4</v>
      </c>
      <c r="B16" s="1346" t="s">
        <v>1475</v>
      </c>
      <c r="C16" s="1346"/>
      <c r="D16" s="1346"/>
      <c r="E16" s="1346"/>
      <c r="F16" s="1346"/>
      <c r="G16" s="1346"/>
      <c r="H16" s="1346"/>
      <c r="I16" s="1346"/>
      <c r="J16" s="1346"/>
      <c r="K16" s="1346"/>
      <c r="L16" s="1346"/>
      <c r="M16" s="1346"/>
      <c r="N16" s="1346"/>
      <c r="O16" s="1346"/>
      <c r="P16" s="1346"/>
      <c r="Q16" s="1346"/>
      <c r="R16" s="1346"/>
    </row>
    <row r="17" spans="1:18" s="477" customFormat="1" ht="20.100000000000001" customHeight="1" x14ac:dyDescent="0.25">
      <c r="A17" s="167">
        <v>5</v>
      </c>
      <c r="B17" s="1346" t="s">
        <v>1476</v>
      </c>
      <c r="C17" s="1346"/>
      <c r="D17" s="1346"/>
      <c r="E17" s="1346"/>
      <c r="F17" s="1346"/>
      <c r="G17" s="1346"/>
      <c r="H17" s="1346"/>
      <c r="I17" s="1346"/>
      <c r="J17" s="1346"/>
      <c r="K17" s="1346"/>
      <c r="L17" s="1346"/>
      <c r="M17" s="1346"/>
      <c r="N17" s="1346"/>
      <c r="O17" s="1346"/>
      <c r="P17" s="1346"/>
      <c r="Q17" s="1346"/>
      <c r="R17" s="1346"/>
    </row>
    <row r="18" spans="1:18" s="477" customFormat="1" ht="20.100000000000001" customHeight="1" x14ac:dyDescent="0.25">
      <c r="A18" s="167">
        <v>6</v>
      </c>
      <c r="B18" s="1346" t="s">
        <v>1477</v>
      </c>
      <c r="C18" s="1346"/>
      <c r="D18" s="1346"/>
      <c r="E18" s="1346"/>
      <c r="F18" s="1346"/>
      <c r="G18" s="1346"/>
      <c r="H18" s="1346"/>
      <c r="I18" s="1346"/>
      <c r="J18" s="1346"/>
      <c r="K18" s="1346"/>
      <c r="L18" s="1346"/>
      <c r="M18" s="1346"/>
      <c r="N18" s="1346"/>
      <c r="O18" s="1346"/>
      <c r="P18" s="1346"/>
      <c r="Q18" s="1346"/>
      <c r="R18" s="1346"/>
    </row>
    <row r="19" spans="1:18" s="477" customFormat="1" ht="20.100000000000001" customHeight="1" x14ac:dyDescent="0.25">
      <c r="A19" s="167">
        <v>7</v>
      </c>
      <c r="B19" s="1346" t="s">
        <v>1478</v>
      </c>
      <c r="C19" s="1346"/>
      <c r="D19" s="1346"/>
      <c r="E19" s="1346"/>
      <c r="F19" s="1346"/>
      <c r="G19" s="1346"/>
      <c r="H19" s="1346"/>
      <c r="I19" s="1346"/>
      <c r="J19" s="1346"/>
      <c r="K19" s="1346"/>
      <c r="L19" s="1346"/>
      <c r="M19" s="1346"/>
      <c r="N19" s="1346"/>
      <c r="O19" s="1346"/>
      <c r="P19" s="1346"/>
      <c r="Q19" s="1346"/>
      <c r="R19" s="1346"/>
    </row>
    <row r="20" spans="1:18" s="477" customFormat="1" ht="20.100000000000001" customHeight="1" x14ac:dyDescent="0.25">
      <c r="A20" s="167">
        <v>8</v>
      </c>
      <c r="B20" s="1346" t="s">
        <v>1479</v>
      </c>
      <c r="C20" s="1346"/>
      <c r="D20" s="1346"/>
      <c r="E20" s="1346"/>
      <c r="F20" s="1346"/>
      <c r="G20" s="1346"/>
      <c r="H20" s="1346"/>
      <c r="I20" s="1346"/>
      <c r="J20" s="1346"/>
      <c r="K20" s="1346"/>
      <c r="L20" s="1346"/>
      <c r="M20" s="1346"/>
      <c r="N20" s="1346"/>
      <c r="O20" s="1346"/>
      <c r="P20" s="1346"/>
      <c r="Q20" s="1346"/>
      <c r="R20" s="1346"/>
    </row>
    <row r="21" spans="1:18" s="477" customFormat="1" ht="20.100000000000001" customHeight="1" x14ac:dyDescent="0.25">
      <c r="A21" s="167">
        <v>9</v>
      </c>
      <c r="B21" s="1346" t="s">
        <v>1480</v>
      </c>
      <c r="C21" s="1346"/>
      <c r="D21" s="1346"/>
      <c r="E21" s="1346"/>
      <c r="F21" s="1346"/>
      <c r="G21" s="1346"/>
      <c r="H21" s="1346"/>
      <c r="I21" s="1346"/>
      <c r="J21" s="1346"/>
      <c r="K21" s="1346"/>
      <c r="L21" s="1346"/>
      <c r="M21" s="1346"/>
      <c r="N21" s="1346"/>
      <c r="O21" s="1346"/>
      <c r="P21" s="1346"/>
      <c r="Q21" s="1346"/>
      <c r="R21" s="1346"/>
    </row>
    <row r="22" spans="1:18" s="477" customFormat="1" ht="20.100000000000001" customHeight="1" x14ac:dyDescent="0.25">
      <c r="A22" s="167">
        <v>10</v>
      </c>
      <c r="B22" s="1346" t="s">
        <v>1485</v>
      </c>
      <c r="C22" s="1346"/>
      <c r="D22" s="1346"/>
      <c r="E22" s="1346"/>
      <c r="F22" s="1346"/>
      <c r="G22" s="1346"/>
      <c r="H22" s="1346"/>
      <c r="I22" s="1346"/>
      <c r="J22" s="1346"/>
      <c r="K22" s="1346"/>
      <c r="L22" s="1346"/>
      <c r="M22" s="1346"/>
      <c r="N22" s="1346"/>
      <c r="O22" s="1346"/>
      <c r="P22" s="1346"/>
      <c r="Q22" s="1346"/>
      <c r="R22" s="1346"/>
    </row>
    <row r="23" spans="1:18" s="477" customFormat="1" ht="39.950000000000003" customHeight="1" x14ac:dyDescent="0.25">
      <c r="A23" s="167">
        <v>11</v>
      </c>
      <c r="B23" s="1346" t="s">
        <v>1486</v>
      </c>
      <c r="C23" s="1346"/>
      <c r="D23" s="1346"/>
      <c r="E23" s="1346"/>
      <c r="F23" s="1346"/>
      <c r="G23" s="1346"/>
      <c r="H23" s="1346"/>
      <c r="I23" s="1346"/>
      <c r="J23" s="1346"/>
      <c r="K23" s="1346"/>
      <c r="L23" s="1346"/>
      <c r="M23" s="1346"/>
      <c r="N23" s="1346"/>
      <c r="O23" s="1346"/>
      <c r="P23" s="1346"/>
      <c r="Q23" s="1346"/>
      <c r="R23" s="1346"/>
    </row>
    <row r="24" spans="1:18" s="477" customFormat="1" ht="20.100000000000001" customHeight="1" x14ac:dyDescent="0.25">
      <c r="A24" s="167">
        <v>12</v>
      </c>
      <c r="B24" s="1346" t="s">
        <v>1487</v>
      </c>
      <c r="C24" s="1346"/>
      <c r="D24" s="1346"/>
      <c r="E24" s="1346"/>
      <c r="F24" s="1346"/>
      <c r="G24" s="1346"/>
      <c r="H24" s="1346"/>
      <c r="I24" s="1346"/>
      <c r="J24" s="1346"/>
      <c r="K24" s="1346"/>
      <c r="L24" s="1346"/>
      <c r="M24" s="1346"/>
      <c r="N24" s="1346"/>
      <c r="O24" s="1346"/>
      <c r="P24" s="1346"/>
      <c r="Q24" s="1346"/>
      <c r="R24" s="1346"/>
    </row>
    <row r="25" spans="1:18" s="477" customFormat="1" ht="20.100000000000001" customHeight="1" x14ac:dyDescent="0.25">
      <c r="A25" s="167">
        <v>13</v>
      </c>
      <c r="B25" s="1346" t="s">
        <v>1488</v>
      </c>
      <c r="C25" s="1346"/>
      <c r="D25" s="1346"/>
      <c r="E25" s="1346"/>
      <c r="F25" s="1346"/>
      <c r="G25" s="1346"/>
      <c r="H25" s="1346"/>
      <c r="I25" s="1346"/>
      <c r="J25" s="1346"/>
      <c r="K25" s="1346"/>
      <c r="L25" s="1346"/>
      <c r="M25" s="1346"/>
      <c r="N25" s="1346"/>
      <c r="O25" s="1346"/>
      <c r="P25" s="1346"/>
      <c r="Q25" s="1346"/>
      <c r="R25" s="1346"/>
    </row>
    <row r="26" spans="1:18" s="477" customFormat="1" ht="20.100000000000001" customHeight="1" x14ac:dyDescent="0.25">
      <c r="A26" s="167">
        <v>14</v>
      </c>
      <c r="B26" s="1346" t="s">
        <v>1489</v>
      </c>
      <c r="C26" s="1346"/>
      <c r="D26" s="1346"/>
      <c r="E26" s="1346"/>
      <c r="F26" s="1346"/>
      <c r="G26" s="1346"/>
      <c r="H26" s="1346"/>
      <c r="I26" s="1346"/>
      <c r="J26" s="1346"/>
      <c r="K26" s="1346"/>
      <c r="L26" s="1346"/>
      <c r="M26" s="1346"/>
      <c r="N26" s="1346"/>
      <c r="O26" s="1346"/>
      <c r="P26" s="1346"/>
      <c r="Q26" s="1346"/>
      <c r="R26" s="1346"/>
    </row>
    <row r="27" spans="1:18" s="477" customFormat="1" ht="39.950000000000003" customHeight="1" x14ac:dyDescent="0.25">
      <c r="A27" s="167">
        <v>15</v>
      </c>
      <c r="B27" s="1346" t="s">
        <v>1491</v>
      </c>
      <c r="C27" s="1346"/>
      <c r="D27" s="1346"/>
      <c r="E27" s="1346"/>
      <c r="F27" s="1346"/>
      <c r="G27" s="1346"/>
      <c r="H27" s="1346"/>
      <c r="I27" s="1346"/>
      <c r="J27" s="1346"/>
      <c r="K27" s="1346"/>
      <c r="L27" s="1346"/>
      <c r="M27" s="1346"/>
      <c r="N27" s="1346"/>
      <c r="O27" s="1346"/>
      <c r="P27" s="1346"/>
      <c r="Q27" s="1346"/>
      <c r="R27" s="1346"/>
    </row>
    <row r="28" spans="1:18" s="477" customFormat="1" ht="20.100000000000001" customHeight="1" x14ac:dyDescent="0.25">
      <c r="A28" s="167">
        <v>16</v>
      </c>
      <c r="B28" s="1346" t="s">
        <v>1492</v>
      </c>
      <c r="C28" s="1346"/>
      <c r="D28" s="1346"/>
      <c r="E28" s="1346"/>
      <c r="F28" s="1346"/>
      <c r="G28" s="1346"/>
      <c r="H28" s="1346"/>
      <c r="I28" s="1346"/>
      <c r="J28" s="1346"/>
      <c r="K28" s="1346"/>
      <c r="L28" s="1346"/>
      <c r="M28" s="1346"/>
      <c r="N28" s="1346"/>
      <c r="O28" s="1346"/>
      <c r="P28" s="1346"/>
      <c r="Q28" s="1346"/>
      <c r="R28" s="1346"/>
    </row>
    <row r="29" spans="1:18" s="477" customFormat="1" ht="20.100000000000001" customHeight="1" x14ac:dyDescent="0.25">
      <c r="A29" s="167">
        <v>17</v>
      </c>
      <c r="B29" s="1346" t="s">
        <v>1494</v>
      </c>
      <c r="C29" s="1346"/>
      <c r="D29" s="1346"/>
      <c r="E29" s="1346"/>
      <c r="F29" s="1346"/>
      <c r="G29" s="1346"/>
      <c r="H29" s="1346"/>
      <c r="I29" s="1346"/>
      <c r="J29" s="1346"/>
      <c r="K29" s="1346"/>
      <c r="L29" s="1346"/>
      <c r="M29" s="1346"/>
      <c r="N29" s="1346"/>
      <c r="O29" s="1346"/>
      <c r="P29" s="1346"/>
      <c r="Q29" s="1346"/>
      <c r="R29" s="1346"/>
    </row>
    <row r="30" spans="1:18" s="477" customFormat="1" ht="20.100000000000001" customHeight="1" x14ac:dyDescent="0.25">
      <c r="A30" s="167">
        <v>18</v>
      </c>
      <c r="B30" s="1346" t="s">
        <v>1495</v>
      </c>
      <c r="C30" s="1346"/>
      <c r="D30" s="1346"/>
      <c r="E30" s="1346"/>
      <c r="F30" s="1346"/>
      <c r="G30" s="1346"/>
      <c r="H30" s="1346"/>
      <c r="I30" s="1346"/>
      <c r="J30" s="1346"/>
      <c r="K30" s="1346"/>
      <c r="L30" s="1346"/>
      <c r="M30" s="1346"/>
      <c r="N30" s="1346"/>
      <c r="O30" s="1346"/>
      <c r="P30" s="1346"/>
      <c r="Q30" s="1346"/>
      <c r="R30" s="1346"/>
    </row>
    <row r="31" spans="1:18" s="477" customFormat="1" ht="20.100000000000001" customHeight="1" x14ac:dyDescent="0.25">
      <c r="A31" s="167">
        <v>19</v>
      </c>
      <c r="B31" s="1346" t="s">
        <v>1496</v>
      </c>
      <c r="C31" s="1346"/>
      <c r="D31" s="1346"/>
      <c r="E31" s="1346"/>
      <c r="F31" s="1346"/>
      <c r="G31" s="1346"/>
      <c r="H31" s="1346"/>
      <c r="I31" s="1346"/>
      <c r="J31" s="1346"/>
      <c r="K31" s="1346"/>
      <c r="L31" s="1346"/>
      <c r="M31" s="1346"/>
      <c r="N31" s="1346"/>
      <c r="O31" s="1346"/>
      <c r="P31" s="1346"/>
      <c r="Q31" s="1346"/>
      <c r="R31" s="1346"/>
    </row>
    <row r="32" spans="1:18" s="477" customFormat="1" ht="20.100000000000001" customHeight="1" x14ac:dyDescent="0.25">
      <c r="A32" s="167">
        <v>20</v>
      </c>
      <c r="B32" s="1346" t="s">
        <v>1497</v>
      </c>
      <c r="C32" s="1346"/>
      <c r="D32" s="1346"/>
      <c r="E32" s="1346"/>
      <c r="F32" s="1346"/>
      <c r="G32" s="1346"/>
      <c r="H32" s="1346"/>
      <c r="I32" s="1346"/>
      <c r="J32" s="1346"/>
      <c r="K32" s="1346"/>
      <c r="L32" s="1346"/>
      <c r="M32" s="1346"/>
      <c r="N32" s="1346"/>
      <c r="O32" s="1346"/>
      <c r="P32" s="1346"/>
      <c r="Q32" s="1346"/>
      <c r="R32" s="1346"/>
    </row>
    <row r="33" spans="1:18" s="477" customFormat="1" ht="20.100000000000001" customHeight="1" x14ac:dyDescent="0.25">
      <c r="A33" s="167">
        <v>21</v>
      </c>
      <c r="B33" s="1346" t="s">
        <v>1498</v>
      </c>
      <c r="C33" s="1346"/>
      <c r="D33" s="1346"/>
      <c r="E33" s="1346"/>
      <c r="F33" s="1346"/>
      <c r="G33" s="1346"/>
      <c r="H33" s="1346"/>
      <c r="I33" s="1346"/>
      <c r="J33" s="1346"/>
      <c r="K33" s="1346"/>
      <c r="L33" s="1346"/>
      <c r="M33" s="1346"/>
      <c r="N33" s="1346"/>
      <c r="O33" s="1346"/>
      <c r="P33" s="1346"/>
      <c r="Q33" s="1346"/>
      <c r="R33" s="1346"/>
    </row>
    <row r="34" spans="1:18" s="477" customFormat="1" ht="20.100000000000001" customHeight="1" x14ac:dyDescent="0.25">
      <c r="A34" s="167">
        <v>22</v>
      </c>
      <c r="B34" s="1346" t="s">
        <v>1499</v>
      </c>
      <c r="C34" s="1346"/>
      <c r="D34" s="1346"/>
      <c r="E34" s="1346"/>
      <c r="F34" s="1346"/>
      <c r="G34" s="1346"/>
      <c r="H34" s="1346"/>
      <c r="I34" s="1346"/>
      <c r="J34" s="1346"/>
      <c r="K34" s="1346"/>
      <c r="L34" s="1346"/>
      <c r="M34" s="1346"/>
      <c r="N34" s="1346"/>
      <c r="O34" s="1346"/>
      <c r="P34" s="1346"/>
      <c r="Q34" s="1346"/>
      <c r="R34" s="1346"/>
    </row>
    <row r="35" spans="1:18" s="477" customFormat="1" ht="39.950000000000003" customHeight="1" x14ac:dyDescent="0.25">
      <c r="A35" s="167">
        <v>23</v>
      </c>
      <c r="B35" s="1346" t="s">
        <v>1500</v>
      </c>
      <c r="C35" s="1346"/>
      <c r="D35" s="1346"/>
      <c r="E35" s="1346"/>
      <c r="F35" s="1346"/>
      <c r="G35" s="1346"/>
      <c r="H35" s="1346"/>
      <c r="I35" s="1346"/>
      <c r="J35" s="1346"/>
      <c r="K35" s="1346"/>
      <c r="L35" s="1346"/>
      <c r="M35" s="1346"/>
      <c r="N35" s="1346"/>
      <c r="O35" s="1346"/>
      <c r="P35" s="1346"/>
      <c r="Q35" s="1346"/>
      <c r="R35" s="1346"/>
    </row>
    <row r="36" spans="1:18" s="477" customFormat="1" ht="20.100000000000001" customHeight="1" x14ac:dyDescent="0.25">
      <c r="A36" s="167">
        <v>24</v>
      </c>
      <c r="B36" s="1346" t="s">
        <v>1501</v>
      </c>
      <c r="C36" s="1346"/>
      <c r="D36" s="1346"/>
      <c r="E36" s="1346"/>
      <c r="F36" s="1346"/>
      <c r="G36" s="1346"/>
      <c r="H36" s="1346"/>
      <c r="I36" s="1346"/>
      <c r="J36" s="1346"/>
      <c r="K36" s="1346"/>
      <c r="L36" s="1346"/>
      <c r="M36" s="1346"/>
      <c r="N36" s="1346"/>
      <c r="O36" s="1346"/>
      <c r="P36" s="1346"/>
      <c r="Q36" s="1346"/>
      <c r="R36" s="1346"/>
    </row>
    <row r="37" spans="1:18" s="477" customFormat="1" ht="20.100000000000001" customHeight="1" x14ac:dyDescent="0.25">
      <c r="A37" s="167">
        <v>25</v>
      </c>
      <c r="B37" s="1346" t="s">
        <v>1502</v>
      </c>
      <c r="C37" s="1346"/>
      <c r="D37" s="1346"/>
      <c r="E37" s="1346"/>
      <c r="F37" s="1346"/>
      <c r="G37" s="1346"/>
      <c r="H37" s="1346"/>
      <c r="I37" s="1346"/>
      <c r="J37" s="1346"/>
      <c r="K37" s="1346"/>
      <c r="L37" s="1346"/>
      <c r="M37" s="1346"/>
      <c r="N37" s="1346"/>
      <c r="O37" s="1346"/>
      <c r="P37" s="1346"/>
      <c r="Q37" s="1346"/>
      <c r="R37" s="1346"/>
    </row>
    <row r="38" spans="1:18" s="477" customFormat="1" ht="20.100000000000001" customHeight="1" x14ac:dyDescent="0.25">
      <c r="A38" s="167">
        <v>26</v>
      </c>
      <c r="B38" s="1346" t="s">
        <v>1503</v>
      </c>
      <c r="C38" s="1346"/>
      <c r="D38" s="1346"/>
      <c r="E38" s="1346"/>
      <c r="F38" s="1346"/>
      <c r="G38" s="1346"/>
      <c r="H38" s="1346"/>
      <c r="I38" s="1346"/>
      <c r="J38" s="1346"/>
      <c r="K38" s="1346"/>
      <c r="L38" s="1346"/>
      <c r="M38" s="1346"/>
      <c r="N38" s="1346"/>
      <c r="O38" s="1346"/>
      <c r="P38" s="1346"/>
      <c r="Q38" s="1346"/>
      <c r="R38" s="1346"/>
    </row>
    <row r="39" spans="1:18" s="477" customFormat="1" ht="20.100000000000001" customHeight="1" x14ac:dyDescent="0.25">
      <c r="A39" s="167">
        <v>27</v>
      </c>
      <c r="B39" s="1346" t="s">
        <v>1504</v>
      </c>
      <c r="C39" s="1346"/>
      <c r="D39" s="1346"/>
      <c r="E39" s="1346"/>
      <c r="F39" s="1346"/>
      <c r="G39" s="1346"/>
      <c r="H39" s="1346"/>
      <c r="I39" s="1346"/>
      <c r="J39" s="1346"/>
      <c r="K39" s="1346"/>
      <c r="L39" s="1346"/>
      <c r="M39" s="1346"/>
      <c r="N39" s="1346"/>
      <c r="O39" s="1346"/>
      <c r="P39" s="1346"/>
      <c r="Q39" s="1346"/>
      <c r="R39" s="1346"/>
    </row>
    <row r="40" spans="1:18" s="477" customFormat="1" ht="20.100000000000001" customHeight="1" x14ac:dyDescent="0.25">
      <c r="A40" s="167">
        <v>28</v>
      </c>
      <c r="B40" s="1346" t="s">
        <v>1861</v>
      </c>
      <c r="C40" s="1346"/>
      <c r="D40" s="1346"/>
      <c r="E40" s="1346"/>
      <c r="F40" s="1346"/>
      <c r="G40" s="1346"/>
      <c r="H40" s="1346"/>
      <c r="I40" s="1346"/>
      <c r="J40" s="1346"/>
      <c r="K40" s="1346"/>
      <c r="L40" s="1346"/>
      <c r="M40" s="1346"/>
      <c r="N40" s="1346"/>
      <c r="O40" s="1346"/>
      <c r="P40" s="1346"/>
      <c r="Q40" s="1346"/>
      <c r="R40" s="1346"/>
    </row>
    <row r="41" spans="1:18" s="477" customFormat="1" ht="20.100000000000001" customHeight="1" x14ac:dyDescent="0.25">
      <c r="A41" s="167">
        <v>29</v>
      </c>
      <c r="B41" s="1346" t="s">
        <v>1505</v>
      </c>
      <c r="C41" s="1346"/>
      <c r="D41" s="1346"/>
      <c r="E41" s="1346"/>
      <c r="F41" s="1346"/>
      <c r="G41" s="1346"/>
      <c r="H41" s="1346"/>
      <c r="I41" s="1346"/>
      <c r="J41" s="1346"/>
      <c r="K41" s="1346"/>
      <c r="L41" s="1346"/>
      <c r="M41" s="1346"/>
      <c r="N41" s="1346"/>
      <c r="O41" s="1346"/>
      <c r="P41" s="1346"/>
      <c r="Q41" s="1346"/>
      <c r="R41" s="1346"/>
    </row>
    <row r="42" spans="1:18" s="477" customFormat="1" ht="20.100000000000001" customHeight="1" x14ac:dyDescent="0.25">
      <c r="A42" s="167">
        <v>30</v>
      </c>
      <c r="B42" s="1346" t="s">
        <v>1506</v>
      </c>
      <c r="C42" s="1346"/>
      <c r="D42" s="1346"/>
      <c r="E42" s="1346"/>
      <c r="F42" s="1346"/>
      <c r="G42" s="1346"/>
      <c r="H42" s="1346"/>
      <c r="I42" s="1346"/>
      <c r="J42" s="1346"/>
      <c r="K42" s="1346"/>
      <c r="L42" s="1346"/>
      <c r="M42" s="1346"/>
      <c r="N42" s="1346"/>
      <c r="O42" s="1346"/>
      <c r="P42" s="1346"/>
      <c r="Q42" s="1346"/>
      <c r="R42" s="1346"/>
    </row>
    <row r="43" spans="1:18" s="477" customFormat="1" ht="20.100000000000001" customHeight="1" x14ac:dyDescent="0.25">
      <c r="A43" s="167">
        <v>31</v>
      </c>
      <c r="B43" s="1346" t="s">
        <v>1507</v>
      </c>
      <c r="C43" s="1346"/>
      <c r="D43" s="1346"/>
      <c r="E43" s="1346"/>
      <c r="F43" s="1346"/>
      <c r="G43" s="1346"/>
      <c r="H43" s="1346"/>
      <c r="I43" s="1346"/>
      <c r="J43" s="1346"/>
      <c r="K43" s="1346"/>
      <c r="L43" s="1346"/>
      <c r="M43" s="1346"/>
      <c r="N43" s="1346"/>
      <c r="O43" s="1346"/>
      <c r="P43" s="1346"/>
      <c r="Q43" s="1346"/>
      <c r="R43" s="1346"/>
    </row>
    <row r="44" spans="1:18" s="477" customFormat="1" ht="20.100000000000001" customHeight="1" x14ac:dyDescent="0.25">
      <c r="A44" s="167">
        <v>32</v>
      </c>
      <c r="B44" s="1346" t="s">
        <v>1508</v>
      </c>
      <c r="C44" s="1346"/>
      <c r="D44" s="1346"/>
      <c r="E44" s="1346"/>
      <c r="F44" s="1346"/>
      <c r="G44" s="1346"/>
      <c r="H44" s="1346"/>
      <c r="I44" s="1346"/>
      <c r="J44" s="1346"/>
      <c r="K44" s="1346"/>
      <c r="L44" s="1346"/>
      <c r="M44" s="1346"/>
      <c r="N44" s="1346"/>
      <c r="O44" s="1346"/>
      <c r="P44" s="1346"/>
      <c r="Q44" s="1346"/>
      <c r="R44" s="1346"/>
    </row>
    <row r="45" spans="1:18" s="477" customFormat="1" ht="20.100000000000001" customHeight="1" x14ac:dyDescent="0.25">
      <c r="A45" s="167">
        <v>33</v>
      </c>
      <c r="B45" s="1346" t="s">
        <v>1509</v>
      </c>
      <c r="C45" s="1346"/>
      <c r="D45" s="1346"/>
      <c r="E45" s="1346"/>
      <c r="F45" s="1346"/>
      <c r="G45" s="1346"/>
      <c r="H45" s="1346"/>
      <c r="I45" s="1346"/>
      <c r="J45" s="1346"/>
      <c r="K45" s="1346"/>
      <c r="L45" s="1346"/>
      <c r="M45" s="1346"/>
      <c r="N45" s="1346"/>
      <c r="O45" s="1346"/>
      <c r="P45" s="1346"/>
      <c r="Q45" s="1346"/>
      <c r="R45" s="1346"/>
    </row>
    <row r="46" spans="1:18" s="477" customFormat="1" ht="20.100000000000001" customHeight="1" x14ac:dyDescent="0.25">
      <c r="A46" s="167">
        <v>34</v>
      </c>
      <c r="B46" s="1346" t="s">
        <v>1510</v>
      </c>
      <c r="C46" s="1346"/>
      <c r="D46" s="1346"/>
      <c r="E46" s="1346"/>
      <c r="F46" s="1346"/>
      <c r="G46" s="1346"/>
      <c r="H46" s="1346"/>
      <c r="I46" s="1346"/>
      <c r="J46" s="1346"/>
      <c r="K46" s="1346"/>
      <c r="L46" s="1346"/>
      <c r="M46" s="1346"/>
      <c r="N46" s="1346"/>
      <c r="O46" s="1346"/>
      <c r="P46" s="1346"/>
      <c r="Q46" s="1346"/>
      <c r="R46" s="1346"/>
    </row>
    <row r="47" spans="1:18" s="477" customFormat="1" ht="20.100000000000001" customHeight="1" x14ac:dyDescent="0.25">
      <c r="A47" s="167">
        <v>35</v>
      </c>
      <c r="B47" s="1346" t="s">
        <v>1512</v>
      </c>
      <c r="C47" s="1346"/>
      <c r="D47" s="1346"/>
      <c r="E47" s="1346"/>
      <c r="F47" s="1346"/>
      <c r="G47" s="1346"/>
      <c r="H47" s="1346"/>
      <c r="I47" s="1346"/>
      <c r="J47" s="1346"/>
      <c r="K47" s="1346"/>
      <c r="L47" s="1346"/>
      <c r="M47" s="1346"/>
      <c r="N47" s="1346"/>
      <c r="O47" s="1346"/>
      <c r="P47" s="1346"/>
      <c r="Q47" s="1346"/>
      <c r="R47" s="1346"/>
    </row>
    <row r="48" spans="1:18" s="479" customFormat="1" ht="20.100000000000001" customHeight="1" thickBot="1" x14ac:dyDescent="0.3">
      <c r="A48" s="478">
        <v>36</v>
      </c>
      <c r="B48" s="1353" t="s">
        <v>1868</v>
      </c>
      <c r="C48" s="1353"/>
      <c r="D48" s="1353"/>
      <c r="E48" s="1353"/>
      <c r="F48" s="1353"/>
      <c r="G48" s="1353"/>
      <c r="H48" s="1353"/>
      <c r="I48" s="1353"/>
      <c r="J48" s="1353"/>
      <c r="K48" s="1353"/>
      <c r="L48" s="1353"/>
      <c r="M48" s="1353"/>
      <c r="N48" s="1353"/>
      <c r="O48" s="1353"/>
      <c r="P48" s="1353"/>
      <c r="Q48" s="1353"/>
      <c r="R48" s="1353"/>
    </row>
    <row r="49" spans="1:18" s="481" customFormat="1" ht="20.100000000000001" customHeight="1" thickBot="1" x14ac:dyDescent="0.3">
      <c r="A49" s="1351" t="s">
        <v>1860</v>
      </c>
      <c r="B49" s="1352"/>
      <c r="C49" s="1352"/>
      <c r="D49" s="1352"/>
      <c r="E49" s="1352"/>
      <c r="F49" s="1352"/>
      <c r="G49" s="1352"/>
      <c r="H49" s="1352"/>
      <c r="I49" s="1352"/>
      <c r="J49" s="1352"/>
      <c r="K49" s="1352"/>
      <c r="L49" s="1352"/>
      <c r="M49" s="1352"/>
      <c r="N49" s="1352"/>
      <c r="O49" s="1352"/>
      <c r="P49" s="1352"/>
      <c r="Q49" s="1352"/>
      <c r="R49" s="1352"/>
    </row>
    <row r="50" spans="1:18" ht="69.95" customHeight="1" x14ac:dyDescent="0.25">
      <c r="A50" s="1341" t="s">
        <v>1870</v>
      </c>
      <c r="B50" s="1341"/>
      <c r="C50" s="1341"/>
      <c r="D50" s="1341"/>
      <c r="E50" s="1341"/>
      <c r="F50" s="1341"/>
      <c r="G50" s="1341"/>
      <c r="H50" s="1341"/>
      <c r="I50" s="1341"/>
      <c r="J50" s="1341"/>
      <c r="K50" s="1341"/>
      <c r="L50" s="1341"/>
      <c r="M50" s="1341"/>
      <c r="N50" s="1341"/>
      <c r="O50" s="1341"/>
      <c r="P50" s="1341"/>
      <c r="Q50" s="1341"/>
      <c r="R50" s="1341"/>
    </row>
    <row r="51" spans="1:18" s="477" customFormat="1" ht="20.100000000000001" customHeight="1" x14ac:dyDescent="0.25">
      <c r="A51" s="167">
        <v>1</v>
      </c>
      <c r="B51" s="1346" t="s">
        <v>1481</v>
      </c>
      <c r="C51" s="1346"/>
      <c r="D51" s="1346"/>
      <c r="E51" s="1346"/>
      <c r="F51" s="1346"/>
      <c r="G51" s="1346"/>
      <c r="H51" s="1346"/>
      <c r="I51" s="1346"/>
      <c r="J51" s="1346"/>
      <c r="K51" s="1346"/>
      <c r="L51" s="1346"/>
      <c r="M51" s="1346"/>
      <c r="N51" s="1346"/>
      <c r="O51" s="1346"/>
      <c r="P51" s="1346"/>
      <c r="Q51" s="1346"/>
      <c r="R51" s="1346"/>
    </row>
    <row r="52" spans="1:18" s="477" customFormat="1" ht="20.100000000000001" customHeight="1" x14ac:dyDescent="0.25">
      <c r="A52" s="167">
        <v>2</v>
      </c>
      <c r="B52" s="1346" t="s">
        <v>1482</v>
      </c>
      <c r="C52" s="1346"/>
      <c r="D52" s="1346"/>
      <c r="E52" s="1346"/>
      <c r="F52" s="1346"/>
      <c r="G52" s="1346"/>
      <c r="H52" s="1346"/>
      <c r="I52" s="1346"/>
      <c r="J52" s="1346"/>
      <c r="K52" s="1346"/>
      <c r="L52" s="1346"/>
      <c r="M52" s="1346"/>
      <c r="N52" s="1346"/>
      <c r="O52" s="1346"/>
      <c r="P52" s="1346"/>
      <c r="Q52" s="1346"/>
      <c r="R52" s="1346"/>
    </row>
    <row r="53" spans="1:18" s="477" customFormat="1" ht="20.100000000000001" customHeight="1" x14ac:dyDescent="0.25">
      <c r="A53" s="167">
        <v>3</v>
      </c>
      <c r="B53" s="1346" t="s">
        <v>1483</v>
      </c>
      <c r="C53" s="1346"/>
      <c r="D53" s="1346"/>
      <c r="E53" s="1346"/>
      <c r="F53" s="1346"/>
      <c r="G53" s="1346"/>
      <c r="H53" s="1346"/>
      <c r="I53" s="1346"/>
      <c r="J53" s="1346"/>
      <c r="K53" s="1346"/>
      <c r="L53" s="1346"/>
      <c r="M53" s="1346"/>
      <c r="N53" s="1346"/>
      <c r="O53" s="1346"/>
      <c r="P53" s="1346"/>
      <c r="Q53" s="1346"/>
      <c r="R53" s="1346"/>
    </row>
    <row r="54" spans="1:18" s="477" customFormat="1" ht="20.100000000000001" customHeight="1" x14ac:dyDescent="0.25">
      <c r="A54" s="167">
        <v>4</v>
      </c>
      <c r="B54" s="1346" t="s">
        <v>1484</v>
      </c>
      <c r="C54" s="1346"/>
      <c r="D54" s="1346"/>
      <c r="E54" s="1346"/>
      <c r="F54" s="1346"/>
      <c r="G54" s="1346"/>
      <c r="H54" s="1346"/>
      <c r="I54" s="1346"/>
      <c r="J54" s="1346"/>
      <c r="K54" s="1346"/>
      <c r="L54" s="1346"/>
      <c r="M54" s="1346"/>
      <c r="N54" s="1346"/>
      <c r="O54" s="1346"/>
      <c r="P54" s="1346"/>
      <c r="Q54" s="1346"/>
      <c r="R54" s="1346"/>
    </row>
    <row r="55" spans="1:18" s="477" customFormat="1" ht="20.100000000000001" customHeight="1" x14ac:dyDescent="0.25">
      <c r="A55" s="167">
        <v>5</v>
      </c>
      <c r="B55" s="1346" t="s">
        <v>1490</v>
      </c>
      <c r="C55" s="1346"/>
      <c r="D55" s="1346"/>
      <c r="E55" s="1346"/>
      <c r="F55" s="1346"/>
      <c r="G55" s="1346"/>
      <c r="H55" s="1346"/>
      <c r="I55" s="1346"/>
      <c r="J55" s="1346"/>
      <c r="K55" s="1346"/>
      <c r="L55" s="1346"/>
      <c r="M55" s="1346"/>
      <c r="N55" s="1346"/>
      <c r="O55" s="1346"/>
      <c r="P55" s="1346"/>
      <c r="Q55" s="1346"/>
      <c r="R55" s="1346"/>
    </row>
    <row r="56" spans="1:18" s="477" customFormat="1" ht="20.100000000000001" customHeight="1" x14ac:dyDescent="0.25">
      <c r="A56" s="167">
        <v>6</v>
      </c>
      <c r="B56" s="1346" t="s">
        <v>1493</v>
      </c>
      <c r="C56" s="1346"/>
      <c r="D56" s="1346"/>
      <c r="E56" s="1346"/>
      <c r="F56" s="1346"/>
      <c r="G56" s="1346"/>
      <c r="H56" s="1346"/>
      <c r="I56" s="1346"/>
      <c r="J56" s="1346"/>
      <c r="K56" s="1346"/>
      <c r="L56" s="1346"/>
      <c r="M56" s="1346"/>
      <c r="N56" s="1346"/>
      <c r="O56" s="1346"/>
      <c r="P56" s="1346"/>
      <c r="Q56" s="1346"/>
      <c r="R56" s="1346"/>
    </row>
    <row r="57" spans="1:18" s="477" customFormat="1" ht="90" customHeight="1" x14ac:dyDescent="0.25">
      <c r="A57" s="167">
        <v>5</v>
      </c>
      <c r="B57" s="1346" t="s">
        <v>1873</v>
      </c>
      <c r="C57" s="1346"/>
      <c r="D57" s="1346"/>
      <c r="E57" s="1346"/>
      <c r="F57" s="1346"/>
      <c r="G57" s="1346"/>
      <c r="H57" s="1346"/>
      <c r="I57" s="1346"/>
      <c r="J57" s="1346"/>
      <c r="K57" s="1346"/>
      <c r="L57" s="1346"/>
      <c r="M57" s="1346"/>
      <c r="N57" s="1346"/>
      <c r="O57" s="1346"/>
      <c r="P57" s="1346"/>
      <c r="Q57" s="1346"/>
      <c r="R57" s="1346"/>
    </row>
    <row r="58" spans="1:18" s="479" customFormat="1" ht="110.1" customHeight="1" thickBot="1" x14ac:dyDescent="0.3">
      <c r="A58" s="478">
        <v>6</v>
      </c>
      <c r="B58" s="1354" t="s">
        <v>1874</v>
      </c>
      <c r="C58" s="1354"/>
      <c r="D58" s="1354"/>
      <c r="E58" s="1354"/>
      <c r="F58" s="1354"/>
      <c r="G58" s="1354"/>
      <c r="H58" s="1354"/>
      <c r="I58" s="1354"/>
      <c r="J58" s="1354"/>
      <c r="K58" s="1354"/>
      <c r="L58" s="1354"/>
      <c r="M58" s="1354"/>
      <c r="N58" s="1354"/>
      <c r="O58" s="1354"/>
      <c r="P58" s="1354"/>
      <c r="Q58" s="1354"/>
      <c r="R58" s="1354"/>
    </row>
    <row r="59" spans="1:18" ht="20.100000000000001" customHeight="1" thickBot="1" x14ac:dyDescent="0.3">
      <c r="C59" s="1343" t="s">
        <v>1513</v>
      </c>
      <c r="D59" s="1344"/>
      <c r="E59" s="1345"/>
      <c r="F59" s="1343" t="s">
        <v>1514</v>
      </c>
      <c r="G59" s="1344"/>
      <c r="H59" s="1344"/>
      <c r="I59" s="1344"/>
      <c r="J59" s="1344"/>
      <c r="K59" s="1345"/>
    </row>
    <row r="60" spans="1:18" ht="20.100000000000001" customHeight="1" x14ac:dyDescent="0.25">
      <c r="C60" s="1356" t="s">
        <v>1435</v>
      </c>
      <c r="D60" s="1357"/>
      <c r="E60" s="1358"/>
      <c r="F60" s="1356" t="s">
        <v>1515</v>
      </c>
      <c r="G60" s="1357"/>
      <c r="H60" s="1357"/>
      <c r="I60" s="1357"/>
      <c r="J60" s="1357"/>
      <c r="K60" s="1358"/>
    </row>
    <row r="61" spans="1:18" ht="20.100000000000001" customHeight="1" thickBot="1" x14ac:dyDescent="0.3">
      <c r="C61" s="1359" t="s">
        <v>1516</v>
      </c>
      <c r="D61" s="1360"/>
      <c r="E61" s="1361"/>
      <c r="F61" s="1359" t="s">
        <v>1517</v>
      </c>
      <c r="G61" s="1360"/>
      <c r="H61" s="1360"/>
      <c r="I61" s="1360"/>
      <c r="J61" s="1360"/>
      <c r="K61" s="1361"/>
    </row>
    <row r="62" spans="1:18" ht="20.100000000000001" customHeight="1" thickBot="1" x14ac:dyDescent="0.3">
      <c r="C62" s="1362" t="s">
        <v>1519</v>
      </c>
      <c r="D62" s="1362"/>
      <c r="E62" s="1362"/>
      <c r="F62" s="1362"/>
      <c r="G62" s="1362"/>
      <c r="H62" s="1362"/>
      <c r="I62" s="1362"/>
      <c r="J62" s="1362"/>
      <c r="K62" s="1362"/>
    </row>
    <row r="63" spans="1:18" s="481" customFormat="1" ht="20.100000000000001" customHeight="1" thickBot="1" x14ac:dyDescent="0.3">
      <c r="A63" s="1351" t="s">
        <v>1862</v>
      </c>
      <c r="B63" s="1352"/>
      <c r="C63" s="1352"/>
      <c r="D63" s="1352"/>
      <c r="E63" s="1352"/>
      <c r="F63" s="1352"/>
      <c r="G63" s="1352"/>
      <c r="H63" s="1352"/>
      <c r="I63" s="1352"/>
      <c r="J63" s="1352"/>
      <c r="K63" s="1352"/>
      <c r="L63" s="1352"/>
      <c r="M63" s="1352"/>
      <c r="N63" s="1352"/>
      <c r="O63" s="1352"/>
      <c r="P63" s="1352"/>
      <c r="Q63" s="1352"/>
      <c r="R63" s="1352"/>
    </row>
    <row r="64" spans="1:18" ht="39.950000000000003" customHeight="1" x14ac:dyDescent="0.25">
      <c r="A64" s="1341" t="s">
        <v>1863</v>
      </c>
      <c r="B64" s="1341"/>
      <c r="C64" s="1341"/>
      <c r="D64" s="1341"/>
      <c r="E64" s="1341"/>
      <c r="F64" s="1341"/>
      <c r="G64" s="1341"/>
      <c r="H64" s="1341"/>
      <c r="I64" s="1341"/>
      <c r="J64" s="1341"/>
      <c r="K64" s="1341"/>
      <c r="L64" s="1341"/>
      <c r="M64" s="1341"/>
      <c r="N64" s="1341"/>
      <c r="O64" s="1341"/>
      <c r="P64" s="1341"/>
      <c r="Q64" s="1341"/>
      <c r="R64" s="1341"/>
    </row>
    <row r="65" spans="1:18" s="477" customFormat="1" ht="20.100000000000001" customHeight="1" x14ac:dyDescent="0.25">
      <c r="A65" s="167">
        <v>1</v>
      </c>
      <c r="B65" s="1346" t="s">
        <v>1867</v>
      </c>
      <c r="C65" s="1346"/>
      <c r="D65" s="1346"/>
      <c r="E65" s="1346"/>
      <c r="F65" s="1346"/>
      <c r="G65" s="1346"/>
      <c r="H65" s="1346"/>
      <c r="I65" s="1346"/>
      <c r="J65" s="1346"/>
      <c r="K65" s="1346"/>
      <c r="L65" s="1346"/>
      <c r="M65" s="1346"/>
      <c r="N65" s="1346"/>
      <c r="O65" s="1346"/>
      <c r="P65" s="1346"/>
      <c r="Q65" s="1346"/>
      <c r="R65" s="1346"/>
    </row>
    <row r="66" spans="1:18" s="477" customFormat="1" ht="39.950000000000003" customHeight="1" x14ac:dyDescent="0.25">
      <c r="A66" s="167">
        <v>2</v>
      </c>
      <c r="B66" s="1346" t="s">
        <v>1864</v>
      </c>
      <c r="C66" s="1346"/>
      <c r="D66" s="1346"/>
      <c r="E66" s="1346"/>
      <c r="F66" s="1346"/>
      <c r="G66" s="1346"/>
      <c r="H66" s="1346"/>
      <c r="I66" s="1346"/>
      <c r="J66" s="1346"/>
      <c r="K66" s="1346"/>
      <c r="L66" s="1346"/>
      <c r="M66" s="1346"/>
      <c r="N66" s="1346"/>
      <c r="O66" s="1346"/>
      <c r="P66" s="1346"/>
      <c r="Q66" s="1346"/>
      <c r="R66" s="1346"/>
    </row>
    <row r="67" spans="1:18" s="477" customFormat="1" ht="39.950000000000003" customHeight="1" x14ac:dyDescent="0.25">
      <c r="A67" s="167">
        <v>3</v>
      </c>
      <c r="B67" s="1346" t="s">
        <v>1865</v>
      </c>
      <c r="C67" s="1346"/>
      <c r="D67" s="1346"/>
      <c r="E67" s="1346"/>
      <c r="F67" s="1346"/>
      <c r="G67" s="1346"/>
      <c r="H67" s="1346"/>
      <c r="I67" s="1346"/>
      <c r="J67" s="1346"/>
      <c r="K67" s="1346"/>
      <c r="L67" s="1346"/>
      <c r="M67" s="1346"/>
      <c r="N67" s="1346"/>
      <c r="O67" s="1346"/>
      <c r="P67" s="1346"/>
      <c r="Q67" s="1346"/>
      <c r="R67" s="1346"/>
    </row>
    <row r="68" spans="1:18" s="477" customFormat="1" ht="84.95" customHeight="1" x14ac:dyDescent="0.25">
      <c r="A68" s="167">
        <v>4</v>
      </c>
      <c r="B68" s="1346" t="s">
        <v>1866</v>
      </c>
      <c r="C68" s="1346"/>
      <c r="D68" s="1346"/>
      <c r="E68" s="1346"/>
      <c r="F68" s="1346"/>
      <c r="G68" s="1346"/>
      <c r="H68" s="1346"/>
      <c r="I68" s="1346"/>
      <c r="J68" s="1346"/>
      <c r="K68" s="1346"/>
      <c r="L68" s="1346"/>
      <c r="M68" s="1346"/>
      <c r="N68" s="1346"/>
      <c r="O68" s="1346"/>
      <c r="P68" s="1346"/>
      <c r="Q68" s="1346"/>
      <c r="R68" s="1346"/>
    </row>
    <row r="69" spans="1:18" ht="20.100000000000001" customHeight="1" x14ac:dyDescent="0.25">
      <c r="C69" s="1355"/>
      <c r="D69" s="1355"/>
      <c r="E69" s="1355"/>
      <c r="F69" s="1355"/>
      <c r="G69" s="1355"/>
      <c r="H69" s="1355"/>
    </row>
  </sheetData>
  <sheetProtection password="CCBE" sheet="1" objects="1" scenarios="1"/>
  <mergeCells count="72">
    <mergeCell ref="B58:R58"/>
    <mergeCell ref="C69:H69"/>
    <mergeCell ref="B68:R68"/>
    <mergeCell ref="C60:E60"/>
    <mergeCell ref="F60:K60"/>
    <mergeCell ref="C61:E61"/>
    <mergeCell ref="F61:K61"/>
    <mergeCell ref="C62:K62"/>
    <mergeCell ref="B66:R66"/>
    <mergeCell ref="B67:R67"/>
    <mergeCell ref="A63:R63"/>
    <mergeCell ref="A64:R64"/>
    <mergeCell ref="B65:R65"/>
    <mergeCell ref="A50:R50"/>
    <mergeCell ref="B55:R55"/>
    <mergeCell ref="B27:R27"/>
    <mergeCell ref="B28:R28"/>
    <mergeCell ref="B56:R56"/>
    <mergeCell ref="B29:R29"/>
    <mergeCell ref="B30:R30"/>
    <mergeCell ref="B31:R31"/>
    <mergeCell ref="B44:R44"/>
    <mergeCell ref="B33:R33"/>
    <mergeCell ref="B34:R34"/>
    <mergeCell ref="B35:R35"/>
    <mergeCell ref="B36:R36"/>
    <mergeCell ref="B37:R37"/>
    <mergeCell ref="B38:R38"/>
    <mergeCell ref="B39:R39"/>
    <mergeCell ref="B43:R43"/>
    <mergeCell ref="B45:R45"/>
    <mergeCell ref="B46:R46"/>
    <mergeCell ref="B47:R47"/>
    <mergeCell ref="A49:R49"/>
    <mergeCell ref="B24:R24"/>
    <mergeCell ref="B25:R25"/>
    <mergeCell ref="B26:R26"/>
    <mergeCell ref="B41:R41"/>
    <mergeCell ref="B42:R42"/>
    <mergeCell ref="B40:R40"/>
    <mergeCell ref="B57:R57"/>
    <mergeCell ref="B13:R13"/>
    <mergeCell ref="B14:R14"/>
    <mergeCell ref="B23:R23"/>
    <mergeCell ref="B16:R16"/>
    <mergeCell ref="B17:R17"/>
    <mergeCell ref="B18:R18"/>
    <mergeCell ref="B19:R19"/>
    <mergeCell ref="B20:R20"/>
    <mergeCell ref="B21:R21"/>
    <mergeCell ref="B51:R51"/>
    <mergeCell ref="B52:R52"/>
    <mergeCell ref="B53:R53"/>
    <mergeCell ref="B54:R54"/>
    <mergeCell ref="B22:R22"/>
    <mergeCell ref="B32:R32"/>
    <mergeCell ref="A2:R2"/>
    <mergeCell ref="A3:R3"/>
    <mergeCell ref="A1:R1"/>
    <mergeCell ref="C59:E59"/>
    <mergeCell ref="F59:K59"/>
    <mergeCell ref="B15:R15"/>
    <mergeCell ref="A4:R4"/>
    <mergeCell ref="A5:R5"/>
    <mergeCell ref="A6:R6"/>
    <mergeCell ref="A8:R8"/>
    <mergeCell ref="A9:R9"/>
    <mergeCell ref="A7:R7"/>
    <mergeCell ref="A10:R10"/>
    <mergeCell ref="A11:R11"/>
    <mergeCell ref="A12:R12"/>
    <mergeCell ref="B48:R48"/>
  </mergeCells>
  <hyperlinks>
    <hyperlink ref="C62:H62" location="'Section 4 Instructions'!A8" display="NOTE:   Click here for the 'Important Note Regarding Boilers'." xr:uid="{00000000-0004-0000-0500-000000000000}"/>
  </hyperlinks>
  <pageMargins left="0.5" right="0.5" top="0.5" bottom="0.5" header="0.3" footer="0.3"/>
  <pageSetup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002060"/>
    <pageSetUpPr fitToPage="1"/>
  </sheetPr>
  <dimension ref="A1:L52"/>
  <sheetViews>
    <sheetView showGridLines="0" zoomScaleNormal="100" workbookViewId="0">
      <selection sqref="A1:H1"/>
    </sheetView>
  </sheetViews>
  <sheetFormatPr defaultRowHeight="15" x14ac:dyDescent="0.25"/>
  <cols>
    <col min="1" max="1" width="34.7109375" style="66" customWidth="1"/>
    <col min="2" max="2" width="74.5703125" style="66" customWidth="1"/>
    <col min="3" max="9" width="9.7109375" style="64" customWidth="1"/>
    <col min="10" max="254" width="9.140625" style="64"/>
    <col min="255" max="255" width="20" style="64" customWidth="1"/>
    <col min="256" max="256" width="19.28515625" style="64" customWidth="1"/>
    <col min="257" max="257" width="60.140625" style="64" customWidth="1"/>
    <col min="258" max="258" width="25.140625" style="64" customWidth="1"/>
    <col min="259" max="510" width="9.140625" style="64"/>
    <col min="511" max="511" width="20" style="64" customWidth="1"/>
    <col min="512" max="512" width="19.28515625" style="64" customWidth="1"/>
    <col min="513" max="513" width="60.140625" style="64" customWidth="1"/>
    <col min="514" max="514" width="25.140625" style="64" customWidth="1"/>
    <col min="515" max="766" width="9.140625" style="64"/>
    <col min="767" max="767" width="20" style="64" customWidth="1"/>
    <col min="768" max="768" width="19.28515625" style="64" customWidth="1"/>
    <col min="769" max="769" width="60.140625" style="64" customWidth="1"/>
    <col min="770" max="770" width="25.140625" style="64" customWidth="1"/>
    <col min="771" max="1022" width="9.140625" style="64"/>
    <col min="1023" max="1023" width="20" style="64" customWidth="1"/>
    <col min="1024" max="1024" width="19.28515625" style="64" customWidth="1"/>
    <col min="1025" max="1025" width="60.140625" style="64" customWidth="1"/>
    <col min="1026" max="1026" width="25.140625" style="64" customWidth="1"/>
    <col min="1027" max="1278" width="9.140625" style="64"/>
    <col min="1279" max="1279" width="20" style="64" customWidth="1"/>
    <col min="1280" max="1280" width="19.28515625" style="64" customWidth="1"/>
    <col min="1281" max="1281" width="60.140625" style="64" customWidth="1"/>
    <col min="1282" max="1282" width="25.140625" style="64" customWidth="1"/>
    <col min="1283" max="1534" width="9.140625" style="64"/>
    <col min="1535" max="1535" width="20" style="64" customWidth="1"/>
    <col min="1536" max="1536" width="19.28515625" style="64" customWidth="1"/>
    <col min="1537" max="1537" width="60.140625" style="64" customWidth="1"/>
    <col min="1538" max="1538" width="25.140625" style="64" customWidth="1"/>
    <col min="1539" max="1790" width="9.140625" style="64"/>
    <col min="1791" max="1791" width="20" style="64" customWidth="1"/>
    <col min="1792" max="1792" width="19.28515625" style="64" customWidth="1"/>
    <col min="1793" max="1793" width="60.140625" style="64" customWidth="1"/>
    <col min="1794" max="1794" width="25.140625" style="64" customWidth="1"/>
    <col min="1795" max="2046" width="9.140625" style="64"/>
    <col min="2047" max="2047" width="20" style="64" customWidth="1"/>
    <col min="2048" max="2048" width="19.28515625" style="64" customWidth="1"/>
    <col min="2049" max="2049" width="60.140625" style="64" customWidth="1"/>
    <col min="2050" max="2050" width="25.140625" style="64" customWidth="1"/>
    <col min="2051" max="2302" width="9.140625" style="64"/>
    <col min="2303" max="2303" width="20" style="64" customWidth="1"/>
    <col min="2304" max="2304" width="19.28515625" style="64" customWidth="1"/>
    <col min="2305" max="2305" width="60.140625" style="64" customWidth="1"/>
    <col min="2306" max="2306" width="25.140625" style="64" customWidth="1"/>
    <col min="2307" max="2558" width="9.140625" style="64"/>
    <col min="2559" max="2559" width="20" style="64" customWidth="1"/>
    <col min="2560" max="2560" width="19.28515625" style="64" customWidth="1"/>
    <col min="2561" max="2561" width="60.140625" style="64" customWidth="1"/>
    <col min="2562" max="2562" width="25.140625" style="64" customWidth="1"/>
    <col min="2563" max="2814" width="9.140625" style="64"/>
    <col min="2815" max="2815" width="20" style="64" customWidth="1"/>
    <col min="2816" max="2816" width="19.28515625" style="64" customWidth="1"/>
    <col min="2817" max="2817" width="60.140625" style="64" customWidth="1"/>
    <col min="2818" max="2818" width="25.140625" style="64" customWidth="1"/>
    <col min="2819" max="3070" width="9.140625" style="64"/>
    <col min="3071" max="3071" width="20" style="64" customWidth="1"/>
    <col min="3072" max="3072" width="19.28515625" style="64" customWidth="1"/>
    <col min="3073" max="3073" width="60.140625" style="64" customWidth="1"/>
    <col min="3074" max="3074" width="25.140625" style="64" customWidth="1"/>
    <col min="3075" max="3326" width="9.140625" style="64"/>
    <col min="3327" max="3327" width="20" style="64" customWidth="1"/>
    <col min="3328" max="3328" width="19.28515625" style="64" customWidth="1"/>
    <col min="3329" max="3329" width="60.140625" style="64" customWidth="1"/>
    <col min="3330" max="3330" width="25.140625" style="64" customWidth="1"/>
    <col min="3331" max="3582" width="9.140625" style="64"/>
    <col min="3583" max="3583" width="20" style="64" customWidth="1"/>
    <col min="3584" max="3584" width="19.28515625" style="64" customWidth="1"/>
    <col min="3585" max="3585" width="60.140625" style="64" customWidth="1"/>
    <col min="3586" max="3586" width="25.140625" style="64" customWidth="1"/>
    <col min="3587" max="3838" width="9.140625" style="64"/>
    <col min="3839" max="3839" width="20" style="64" customWidth="1"/>
    <col min="3840" max="3840" width="19.28515625" style="64" customWidth="1"/>
    <col min="3841" max="3841" width="60.140625" style="64" customWidth="1"/>
    <col min="3842" max="3842" width="25.140625" style="64" customWidth="1"/>
    <col min="3843" max="4094" width="9.140625" style="64"/>
    <col min="4095" max="4095" width="20" style="64" customWidth="1"/>
    <col min="4096" max="4096" width="19.28515625" style="64" customWidth="1"/>
    <col min="4097" max="4097" width="60.140625" style="64" customWidth="1"/>
    <col min="4098" max="4098" width="25.140625" style="64" customWidth="1"/>
    <col min="4099" max="4350" width="9.140625" style="64"/>
    <col min="4351" max="4351" width="20" style="64" customWidth="1"/>
    <col min="4352" max="4352" width="19.28515625" style="64" customWidth="1"/>
    <col min="4353" max="4353" width="60.140625" style="64" customWidth="1"/>
    <col min="4354" max="4354" width="25.140625" style="64" customWidth="1"/>
    <col min="4355" max="4606" width="9.140625" style="64"/>
    <col min="4607" max="4607" width="20" style="64" customWidth="1"/>
    <col min="4608" max="4608" width="19.28515625" style="64" customWidth="1"/>
    <col min="4609" max="4609" width="60.140625" style="64" customWidth="1"/>
    <col min="4610" max="4610" width="25.140625" style="64" customWidth="1"/>
    <col min="4611" max="4862" width="9.140625" style="64"/>
    <col min="4863" max="4863" width="20" style="64" customWidth="1"/>
    <col min="4864" max="4864" width="19.28515625" style="64" customWidth="1"/>
    <col min="4865" max="4865" width="60.140625" style="64" customWidth="1"/>
    <col min="4866" max="4866" width="25.140625" style="64" customWidth="1"/>
    <col min="4867" max="5118" width="9.140625" style="64"/>
    <col min="5119" max="5119" width="20" style="64" customWidth="1"/>
    <col min="5120" max="5120" width="19.28515625" style="64" customWidth="1"/>
    <col min="5121" max="5121" width="60.140625" style="64" customWidth="1"/>
    <col min="5122" max="5122" width="25.140625" style="64" customWidth="1"/>
    <col min="5123" max="5374" width="9.140625" style="64"/>
    <col min="5375" max="5375" width="20" style="64" customWidth="1"/>
    <col min="5376" max="5376" width="19.28515625" style="64" customWidth="1"/>
    <col min="5377" max="5377" width="60.140625" style="64" customWidth="1"/>
    <col min="5378" max="5378" width="25.140625" style="64" customWidth="1"/>
    <col min="5379" max="5630" width="9.140625" style="64"/>
    <col min="5631" max="5631" width="20" style="64" customWidth="1"/>
    <col min="5632" max="5632" width="19.28515625" style="64" customWidth="1"/>
    <col min="5633" max="5633" width="60.140625" style="64" customWidth="1"/>
    <col min="5634" max="5634" width="25.140625" style="64" customWidth="1"/>
    <col min="5635" max="5886" width="9.140625" style="64"/>
    <col min="5887" max="5887" width="20" style="64" customWidth="1"/>
    <col min="5888" max="5888" width="19.28515625" style="64" customWidth="1"/>
    <col min="5889" max="5889" width="60.140625" style="64" customWidth="1"/>
    <col min="5890" max="5890" width="25.140625" style="64" customWidth="1"/>
    <col min="5891" max="6142" width="9.140625" style="64"/>
    <col min="6143" max="6143" width="20" style="64" customWidth="1"/>
    <col min="6144" max="6144" width="19.28515625" style="64" customWidth="1"/>
    <col min="6145" max="6145" width="60.140625" style="64" customWidth="1"/>
    <col min="6146" max="6146" width="25.140625" style="64" customWidth="1"/>
    <col min="6147" max="6398" width="9.140625" style="64"/>
    <col min="6399" max="6399" width="20" style="64" customWidth="1"/>
    <col min="6400" max="6400" width="19.28515625" style="64" customWidth="1"/>
    <col min="6401" max="6401" width="60.140625" style="64" customWidth="1"/>
    <col min="6402" max="6402" width="25.140625" style="64" customWidth="1"/>
    <col min="6403" max="6654" width="9.140625" style="64"/>
    <col min="6655" max="6655" width="20" style="64" customWidth="1"/>
    <col min="6656" max="6656" width="19.28515625" style="64" customWidth="1"/>
    <col min="6657" max="6657" width="60.140625" style="64" customWidth="1"/>
    <col min="6658" max="6658" width="25.140625" style="64" customWidth="1"/>
    <col min="6659" max="6910" width="9.140625" style="64"/>
    <col min="6911" max="6911" width="20" style="64" customWidth="1"/>
    <col min="6912" max="6912" width="19.28515625" style="64" customWidth="1"/>
    <col min="6913" max="6913" width="60.140625" style="64" customWidth="1"/>
    <col min="6914" max="6914" width="25.140625" style="64" customWidth="1"/>
    <col min="6915" max="7166" width="9.140625" style="64"/>
    <col min="7167" max="7167" width="20" style="64" customWidth="1"/>
    <col min="7168" max="7168" width="19.28515625" style="64" customWidth="1"/>
    <col min="7169" max="7169" width="60.140625" style="64" customWidth="1"/>
    <col min="7170" max="7170" width="25.140625" style="64" customWidth="1"/>
    <col min="7171" max="7422" width="9.140625" style="64"/>
    <col min="7423" max="7423" width="20" style="64" customWidth="1"/>
    <col min="7424" max="7424" width="19.28515625" style="64" customWidth="1"/>
    <col min="7425" max="7425" width="60.140625" style="64" customWidth="1"/>
    <col min="7426" max="7426" width="25.140625" style="64" customWidth="1"/>
    <col min="7427" max="7678" width="9.140625" style="64"/>
    <col min="7679" max="7679" width="20" style="64" customWidth="1"/>
    <col min="7680" max="7680" width="19.28515625" style="64" customWidth="1"/>
    <col min="7681" max="7681" width="60.140625" style="64" customWidth="1"/>
    <col min="7682" max="7682" width="25.140625" style="64" customWidth="1"/>
    <col min="7683" max="7934" width="9.140625" style="64"/>
    <col min="7935" max="7935" width="20" style="64" customWidth="1"/>
    <col min="7936" max="7936" width="19.28515625" style="64" customWidth="1"/>
    <col min="7937" max="7937" width="60.140625" style="64" customWidth="1"/>
    <col min="7938" max="7938" width="25.140625" style="64" customWidth="1"/>
    <col min="7939" max="8190" width="9.140625" style="64"/>
    <col min="8191" max="8191" width="20" style="64" customWidth="1"/>
    <col min="8192" max="8192" width="19.28515625" style="64" customWidth="1"/>
    <col min="8193" max="8193" width="60.140625" style="64" customWidth="1"/>
    <col min="8194" max="8194" width="25.140625" style="64" customWidth="1"/>
    <col min="8195" max="8446" width="9.140625" style="64"/>
    <col min="8447" max="8447" width="20" style="64" customWidth="1"/>
    <col min="8448" max="8448" width="19.28515625" style="64" customWidth="1"/>
    <col min="8449" max="8449" width="60.140625" style="64" customWidth="1"/>
    <col min="8450" max="8450" width="25.140625" style="64" customWidth="1"/>
    <col min="8451" max="8702" width="9.140625" style="64"/>
    <col min="8703" max="8703" width="20" style="64" customWidth="1"/>
    <col min="8704" max="8704" width="19.28515625" style="64" customWidth="1"/>
    <col min="8705" max="8705" width="60.140625" style="64" customWidth="1"/>
    <col min="8706" max="8706" width="25.140625" style="64" customWidth="1"/>
    <col min="8707" max="8958" width="9.140625" style="64"/>
    <col min="8959" max="8959" width="20" style="64" customWidth="1"/>
    <col min="8960" max="8960" width="19.28515625" style="64" customWidth="1"/>
    <col min="8961" max="8961" width="60.140625" style="64" customWidth="1"/>
    <col min="8962" max="8962" width="25.140625" style="64" customWidth="1"/>
    <col min="8963" max="9214" width="9.140625" style="64"/>
    <col min="9215" max="9215" width="20" style="64" customWidth="1"/>
    <col min="9216" max="9216" width="19.28515625" style="64" customWidth="1"/>
    <col min="9217" max="9217" width="60.140625" style="64" customWidth="1"/>
    <col min="9218" max="9218" width="25.140625" style="64" customWidth="1"/>
    <col min="9219" max="9470" width="9.140625" style="64"/>
    <col min="9471" max="9471" width="20" style="64" customWidth="1"/>
    <col min="9472" max="9472" width="19.28515625" style="64" customWidth="1"/>
    <col min="9473" max="9473" width="60.140625" style="64" customWidth="1"/>
    <col min="9474" max="9474" width="25.140625" style="64" customWidth="1"/>
    <col min="9475" max="9726" width="9.140625" style="64"/>
    <col min="9727" max="9727" width="20" style="64" customWidth="1"/>
    <col min="9728" max="9728" width="19.28515625" style="64" customWidth="1"/>
    <col min="9729" max="9729" width="60.140625" style="64" customWidth="1"/>
    <col min="9730" max="9730" width="25.140625" style="64" customWidth="1"/>
    <col min="9731" max="9982" width="9.140625" style="64"/>
    <col min="9983" max="9983" width="20" style="64" customWidth="1"/>
    <col min="9984" max="9984" width="19.28515625" style="64" customWidth="1"/>
    <col min="9985" max="9985" width="60.140625" style="64" customWidth="1"/>
    <col min="9986" max="9986" width="25.140625" style="64" customWidth="1"/>
    <col min="9987" max="10238" width="9.140625" style="64"/>
    <col min="10239" max="10239" width="20" style="64" customWidth="1"/>
    <col min="10240" max="10240" width="19.28515625" style="64" customWidth="1"/>
    <col min="10241" max="10241" width="60.140625" style="64" customWidth="1"/>
    <col min="10242" max="10242" width="25.140625" style="64" customWidth="1"/>
    <col min="10243" max="10494" width="9.140625" style="64"/>
    <col min="10495" max="10495" width="20" style="64" customWidth="1"/>
    <col min="10496" max="10496" width="19.28515625" style="64" customWidth="1"/>
    <col min="10497" max="10497" width="60.140625" style="64" customWidth="1"/>
    <col min="10498" max="10498" width="25.140625" style="64" customWidth="1"/>
    <col min="10499" max="10750" width="9.140625" style="64"/>
    <col min="10751" max="10751" width="20" style="64" customWidth="1"/>
    <col min="10752" max="10752" width="19.28515625" style="64" customWidth="1"/>
    <col min="10753" max="10753" width="60.140625" style="64" customWidth="1"/>
    <col min="10754" max="10754" width="25.140625" style="64" customWidth="1"/>
    <col min="10755" max="11006" width="9.140625" style="64"/>
    <col min="11007" max="11007" width="20" style="64" customWidth="1"/>
    <col min="11008" max="11008" width="19.28515625" style="64" customWidth="1"/>
    <col min="11009" max="11009" width="60.140625" style="64" customWidth="1"/>
    <col min="11010" max="11010" width="25.140625" style="64" customWidth="1"/>
    <col min="11011" max="11262" width="9.140625" style="64"/>
    <col min="11263" max="11263" width="20" style="64" customWidth="1"/>
    <col min="11264" max="11264" width="19.28515625" style="64" customWidth="1"/>
    <col min="11265" max="11265" width="60.140625" style="64" customWidth="1"/>
    <col min="11266" max="11266" width="25.140625" style="64" customWidth="1"/>
    <col min="11267" max="11518" width="9.140625" style="64"/>
    <col min="11519" max="11519" width="20" style="64" customWidth="1"/>
    <col min="11520" max="11520" width="19.28515625" style="64" customWidth="1"/>
    <col min="11521" max="11521" width="60.140625" style="64" customWidth="1"/>
    <col min="11522" max="11522" width="25.140625" style="64" customWidth="1"/>
    <col min="11523" max="11774" width="9.140625" style="64"/>
    <col min="11775" max="11775" width="20" style="64" customWidth="1"/>
    <col min="11776" max="11776" width="19.28515625" style="64" customWidth="1"/>
    <col min="11777" max="11777" width="60.140625" style="64" customWidth="1"/>
    <col min="11778" max="11778" width="25.140625" style="64" customWidth="1"/>
    <col min="11779" max="12030" width="9.140625" style="64"/>
    <col min="12031" max="12031" width="20" style="64" customWidth="1"/>
    <col min="12032" max="12032" width="19.28515625" style="64" customWidth="1"/>
    <col min="12033" max="12033" width="60.140625" style="64" customWidth="1"/>
    <col min="12034" max="12034" width="25.140625" style="64" customWidth="1"/>
    <col min="12035" max="12286" width="9.140625" style="64"/>
    <col min="12287" max="12287" width="20" style="64" customWidth="1"/>
    <col min="12288" max="12288" width="19.28515625" style="64" customWidth="1"/>
    <col min="12289" max="12289" width="60.140625" style="64" customWidth="1"/>
    <col min="12290" max="12290" width="25.140625" style="64" customWidth="1"/>
    <col min="12291" max="12542" width="9.140625" style="64"/>
    <col min="12543" max="12543" width="20" style="64" customWidth="1"/>
    <col min="12544" max="12544" width="19.28515625" style="64" customWidth="1"/>
    <col min="12545" max="12545" width="60.140625" style="64" customWidth="1"/>
    <col min="12546" max="12546" width="25.140625" style="64" customWidth="1"/>
    <col min="12547" max="12798" width="9.140625" style="64"/>
    <col min="12799" max="12799" width="20" style="64" customWidth="1"/>
    <col min="12800" max="12800" width="19.28515625" style="64" customWidth="1"/>
    <col min="12801" max="12801" width="60.140625" style="64" customWidth="1"/>
    <col min="12802" max="12802" width="25.140625" style="64" customWidth="1"/>
    <col min="12803" max="13054" width="9.140625" style="64"/>
    <col min="13055" max="13055" width="20" style="64" customWidth="1"/>
    <col min="13056" max="13056" width="19.28515625" style="64" customWidth="1"/>
    <col min="13057" max="13057" width="60.140625" style="64" customWidth="1"/>
    <col min="13058" max="13058" width="25.140625" style="64" customWidth="1"/>
    <col min="13059" max="13310" width="9.140625" style="64"/>
    <col min="13311" max="13311" width="20" style="64" customWidth="1"/>
    <col min="13312" max="13312" width="19.28515625" style="64" customWidth="1"/>
    <col min="13313" max="13313" width="60.140625" style="64" customWidth="1"/>
    <col min="13314" max="13314" width="25.140625" style="64" customWidth="1"/>
    <col min="13315" max="13566" width="9.140625" style="64"/>
    <col min="13567" max="13567" width="20" style="64" customWidth="1"/>
    <col min="13568" max="13568" width="19.28515625" style="64" customWidth="1"/>
    <col min="13569" max="13569" width="60.140625" style="64" customWidth="1"/>
    <col min="13570" max="13570" width="25.140625" style="64" customWidth="1"/>
    <col min="13571" max="13822" width="9.140625" style="64"/>
    <col min="13823" max="13823" width="20" style="64" customWidth="1"/>
    <col min="13824" max="13824" width="19.28515625" style="64" customWidth="1"/>
    <col min="13825" max="13825" width="60.140625" style="64" customWidth="1"/>
    <col min="13826" max="13826" width="25.140625" style="64" customWidth="1"/>
    <col min="13827" max="14078" width="9.140625" style="64"/>
    <col min="14079" max="14079" width="20" style="64" customWidth="1"/>
    <col min="14080" max="14080" width="19.28515625" style="64" customWidth="1"/>
    <col min="14081" max="14081" width="60.140625" style="64" customWidth="1"/>
    <col min="14082" max="14082" width="25.140625" style="64" customWidth="1"/>
    <col min="14083" max="14334" width="9.140625" style="64"/>
    <col min="14335" max="14335" width="20" style="64" customWidth="1"/>
    <col min="14336" max="14336" width="19.28515625" style="64" customWidth="1"/>
    <col min="14337" max="14337" width="60.140625" style="64" customWidth="1"/>
    <col min="14338" max="14338" width="25.140625" style="64" customWidth="1"/>
    <col min="14339" max="14590" width="9.140625" style="64"/>
    <col min="14591" max="14591" width="20" style="64" customWidth="1"/>
    <col min="14592" max="14592" width="19.28515625" style="64" customWidth="1"/>
    <col min="14593" max="14593" width="60.140625" style="64" customWidth="1"/>
    <col min="14594" max="14594" width="25.140625" style="64" customWidth="1"/>
    <col min="14595" max="14846" width="9.140625" style="64"/>
    <col min="14847" max="14847" width="20" style="64" customWidth="1"/>
    <col min="14848" max="14848" width="19.28515625" style="64" customWidth="1"/>
    <col min="14849" max="14849" width="60.140625" style="64" customWidth="1"/>
    <col min="14850" max="14850" width="25.140625" style="64" customWidth="1"/>
    <col min="14851" max="15102" width="9.140625" style="64"/>
    <col min="15103" max="15103" width="20" style="64" customWidth="1"/>
    <col min="15104" max="15104" width="19.28515625" style="64" customWidth="1"/>
    <col min="15105" max="15105" width="60.140625" style="64" customWidth="1"/>
    <col min="15106" max="15106" width="25.140625" style="64" customWidth="1"/>
    <col min="15107" max="15358" width="9.140625" style="64"/>
    <col min="15359" max="15359" width="20" style="64" customWidth="1"/>
    <col min="15360" max="15360" width="19.28515625" style="64" customWidth="1"/>
    <col min="15361" max="15361" width="60.140625" style="64" customWidth="1"/>
    <col min="15362" max="15362" width="25.140625" style="64" customWidth="1"/>
    <col min="15363" max="15614" width="9.140625" style="64"/>
    <col min="15615" max="15615" width="20" style="64" customWidth="1"/>
    <col min="15616" max="15616" width="19.28515625" style="64" customWidth="1"/>
    <col min="15617" max="15617" width="60.140625" style="64" customWidth="1"/>
    <col min="15618" max="15618" width="25.140625" style="64" customWidth="1"/>
    <col min="15619" max="15870" width="9.140625" style="64"/>
    <col min="15871" max="15871" width="20" style="64" customWidth="1"/>
    <col min="15872" max="15872" width="19.28515625" style="64" customWidth="1"/>
    <col min="15873" max="15873" width="60.140625" style="64" customWidth="1"/>
    <col min="15874" max="15874" width="25.140625" style="64" customWidth="1"/>
    <col min="15875" max="16126" width="9.140625" style="64"/>
    <col min="16127" max="16127" width="20" style="64" customWidth="1"/>
    <col min="16128" max="16128" width="19.28515625" style="64" customWidth="1"/>
    <col min="16129" max="16129" width="60.140625" style="64" customWidth="1"/>
    <col min="16130" max="16130" width="25.140625" style="64" customWidth="1"/>
    <col min="16131" max="16384" width="9.140625" style="64"/>
  </cols>
  <sheetData>
    <row r="1" spans="1:12" s="69" customFormat="1" ht="26.25" customHeight="1" thickBot="1" x14ac:dyDescent="0.3">
      <c r="A1" s="1315" t="s">
        <v>1730</v>
      </c>
      <c r="B1" s="1315"/>
      <c r="C1" s="1315"/>
      <c r="D1" s="1315"/>
      <c r="E1" s="1315"/>
      <c r="F1" s="1315"/>
      <c r="G1" s="1315"/>
      <c r="H1" s="1315"/>
      <c r="I1" s="79"/>
      <c r="J1" s="79"/>
      <c r="K1" s="79"/>
      <c r="L1" s="79"/>
    </row>
    <row r="2" spans="1:12" s="68" customFormat="1" ht="24.95" customHeight="1" x14ac:dyDescent="0.25">
      <c r="A2" s="1316" t="s">
        <v>1854</v>
      </c>
      <c r="B2" s="1316"/>
      <c r="C2" s="1316"/>
      <c r="D2" s="1316"/>
      <c r="E2" s="1316"/>
      <c r="F2" s="1316"/>
      <c r="G2" s="1316"/>
      <c r="H2" s="1316"/>
    </row>
    <row r="3" spans="1:12" ht="20.100000000000001" customHeight="1" x14ac:dyDescent="0.25">
      <c r="A3" s="1341" t="s">
        <v>1527</v>
      </c>
      <c r="B3" s="1341"/>
      <c r="C3" s="1341"/>
      <c r="D3" s="1341"/>
      <c r="E3" s="1341"/>
      <c r="F3" s="1341"/>
      <c r="G3" s="1341"/>
      <c r="H3" s="1341"/>
    </row>
    <row r="4" spans="1:12" ht="35.1" customHeight="1" x14ac:dyDescent="0.25">
      <c r="A4" s="1341" t="s">
        <v>1528</v>
      </c>
      <c r="B4" s="1341"/>
      <c r="C4" s="1341"/>
      <c r="D4" s="1341"/>
      <c r="E4" s="1341"/>
      <c r="F4" s="1341"/>
      <c r="G4" s="1341"/>
      <c r="H4" s="1341"/>
    </row>
    <row r="5" spans="1:12" ht="20.100000000000001" customHeight="1" x14ac:dyDescent="0.25">
      <c r="A5" s="1341" t="s">
        <v>1529</v>
      </c>
      <c r="B5" s="1341"/>
      <c r="C5" s="1341"/>
      <c r="D5" s="1341"/>
      <c r="E5" s="1341"/>
      <c r="F5" s="1341"/>
      <c r="G5" s="1341"/>
      <c r="H5" s="1341"/>
    </row>
    <row r="6" spans="1:12" ht="20.100000000000001" customHeight="1" x14ac:dyDescent="0.25">
      <c r="A6" s="1341" t="s">
        <v>1530</v>
      </c>
      <c r="B6" s="1341"/>
      <c r="C6" s="1341"/>
      <c r="D6" s="1341"/>
      <c r="E6" s="1341"/>
      <c r="F6" s="1341"/>
      <c r="G6" s="1341"/>
      <c r="H6" s="1341"/>
    </row>
    <row r="7" spans="1:12" ht="24.95" customHeight="1" thickBot="1" x14ac:dyDescent="0.3">
      <c r="A7" s="1341" t="s">
        <v>1855</v>
      </c>
      <c r="B7" s="1341"/>
      <c r="C7" s="1341"/>
      <c r="D7" s="1341"/>
      <c r="E7" s="1341"/>
      <c r="F7" s="1341"/>
      <c r="G7" s="1341"/>
      <c r="H7" s="1341"/>
    </row>
    <row r="8" spans="1:12" s="77" customFormat="1" ht="19.5" thickBot="1" x14ac:dyDescent="0.3">
      <c r="A8" s="1208" t="s">
        <v>1449</v>
      </c>
      <c r="B8" s="1208"/>
      <c r="C8" s="1208"/>
      <c r="D8" s="1208"/>
      <c r="E8" s="1208"/>
      <c r="F8" s="1208"/>
      <c r="G8" s="1208"/>
      <c r="H8" s="1208"/>
    </row>
    <row r="9" spans="1:12" ht="60" customHeight="1" x14ac:dyDescent="0.25">
      <c r="A9" s="1"/>
      <c r="B9" s="1"/>
    </row>
    <row r="10" spans="1:12" s="65" customFormat="1" ht="24.95" customHeight="1" x14ac:dyDescent="0.25">
      <c r="A10" s="1210" t="s">
        <v>1425</v>
      </c>
      <c r="B10" s="1210"/>
    </row>
    <row r="11" spans="1:12" ht="24.95" customHeight="1" thickBot="1" x14ac:dyDescent="0.3">
      <c r="A11" s="1211" t="s">
        <v>1768</v>
      </c>
      <c r="B11" s="1211"/>
    </row>
    <row r="12" spans="1:12" ht="28.7" customHeight="1" thickBot="1" x14ac:dyDescent="0.3">
      <c r="A12" s="813" t="s">
        <v>28</v>
      </c>
      <c r="B12" s="814" t="s">
        <v>29</v>
      </c>
    </row>
    <row r="13" spans="1:12" ht="18" customHeight="1" x14ac:dyDescent="0.25">
      <c r="A13" s="298"/>
      <c r="B13" s="298"/>
    </row>
    <row r="14" spans="1:12" ht="18" customHeight="1" x14ac:dyDescent="0.25">
      <c r="A14" s="289"/>
      <c r="B14" s="289"/>
    </row>
    <row r="15" spans="1:12" ht="18" customHeight="1" x14ac:dyDescent="0.25">
      <c r="A15" s="289"/>
      <c r="B15" s="289"/>
    </row>
    <row r="16" spans="1:12" ht="18" customHeight="1" x14ac:dyDescent="0.25">
      <c r="A16" s="289"/>
      <c r="B16" s="289"/>
    </row>
    <row r="17" spans="1:2" ht="18" customHeight="1" x14ac:dyDescent="0.25">
      <c r="A17" s="289"/>
      <c r="B17" s="289"/>
    </row>
    <row r="18" spans="1:2" ht="18" customHeight="1" x14ac:dyDescent="0.25">
      <c r="A18" s="289"/>
      <c r="B18" s="289"/>
    </row>
    <row r="19" spans="1:2" ht="18" customHeight="1" x14ac:dyDescent="0.25">
      <c r="A19" s="289"/>
      <c r="B19" s="289"/>
    </row>
    <row r="20" spans="1:2" ht="18" customHeight="1" x14ac:dyDescent="0.25">
      <c r="A20" s="289"/>
      <c r="B20" s="289"/>
    </row>
    <row r="21" spans="1:2" ht="18" customHeight="1" x14ac:dyDescent="0.25">
      <c r="A21" s="289"/>
      <c r="B21" s="289"/>
    </row>
    <row r="22" spans="1:2" ht="18" customHeight="1" x14ac:dyDescent="0.25">
      <c r="A22" s="289"/>
      <c r="B22" s="289"/>
    </row>
    <row r="23" spans="1:2" ht="18" customHeight="1" x14ac:dyDescent="0.25">
      <c r="A23" s="289"/>
      <c r="B23" s="289"/>
    </row>
    <row r="24" spans="1:2" ht="18" customHeight="1" x14ac:dyDescent="0.25">
      <c r="A24" s="289"/>
      <c r="B24" s="289"/>
    </row>
    <row r="25" spans="1:2" ht="18" customHeight="1" x14ac:dyDescent="0.25">
      <c r="A25" s="289"/>
      <c r="B25" s="289"/>
    </row>
    <row r="26" spans="1:2" ht="18" customHeight="1" x14ac:dyDescent="0.25">
      <c r="A26" s="289"/>
      <c r="B26" s="289"/>
    </row>
    <row r="27" spans="1:2" ht="18" customHeight="1" x14ac:dyDescent="0.25">
      <c r="A27" s="289"/>
      <c r="B27" s="289"/>
    </row>
    <row r="28" spans="1:2" ht="18" customHeight="1" x14ac:dyDescent="0.25">
      <c r="A28" s="289"/>
      <c r="B28" s="289"/>
    </row>
    <row r="29" spans="1:2" ht="18" customHeight="1" x14ac:dyDescent="0.25">
      <c r="A29" s="289"/>
      <c r="B29" s="289"/>
    </row>
    <row r="30" spans="1:2" ht="18" customHeight="1" x14ac:dyDescent="0.25">
      <c r="A30" s="289"/>
      <c r="B30" s="289"/>
    </row>
    <row r="31" spans="1:2" ht="18" customHeight="1" x14ac:dyDescent="0.25">
      <c r="A31" s="289"/>
      <c r="B31" s="289"/>
    </row>
    <row r="32" spans="1:2" ht="18" customHeight="1" x14ac:dyDescent="0.25">
      <c r="A32" s="289"/>
      <c r="B32" s="289"/>
    </row>
    <row r="33" spans="1:2" ht="18" customHeight="1" x14ac:dyDescent="0.25">
      <c r="A33" s="289"/>
      <c r="B33" s="289"/>
    </row>
    <row r="34" spans="1:2" ht="18" customHeight="1" x14ac:dyDescent="0.25">
      <c r="A34" s="289"/>
      <c r="B34" s="289"/>
    </row>
    <row r="35" spans="1:2" ht="18" customHeight="1" x14ac:dyDescent="0.25">
      <c r="A35" s="289"/>
      <c r="B35" s="289"/>
    </row>
    <row r="36" spans="1:2" ht="18" customHeight="1" x14ac:dyDescent="0.25">
      <c r="A36" s="289"/>
      <c r="B36" s="289"/>
    </row>
    <row r="37" spans="1:2" ht="18" customHeight="1" x14ac:dyDescent="0.25">
      <c r="A37" s="289"/>
      <c r="B37" s="289"/>
    </row>
    <row r="38" spans="1:2" ht="18" customHeight="1" x14ac:dyDescent="0.25">
      <c r="A38" s="289"/>
      <c r="B38" s="289"/>
    </row>
    <row r="39" spans="1:2" ht="18" customHeight="1" x14ac:dyDescent="0.25">
      <c r="A39" s="289"/>
      <c r="B39" s="289"/>
    </row>
    <row r="40" spans="1:2" ht="18" customHeight="1" x14ac:dyDescent="0.25">
      <c r="A40" s="289"/>
      <c r="B40" s="289"/>
    </row>
    <row r="41" spans="1:2" ht="18" customHeight="1" x14ac:dyDescent="0.25">
      <c r="A41" s="289"/>
      <c r="B41" s="289"/>
    </row>
    <row r="42" spans="1:2" ht="18" customHeight="1" x14ac:dyDescent="0.25">
      <c r="A42" s="289"/>
      <c r="B42" s="289"/>
    </row>
    <row r="43" spans="1:2" ht="18" customHeight="1" x14ac:dyDescent="0.25">
      <c r="A43" s="289"/>
      <c r="B43" s="289"/>
    </row>
    <row r="44" spans="1:2" ht="18" customHeight="1" x14ac:dyDescent="0.25">
      <c r="A44" s="289"/>
      <c r="B44" s="289"/>
    </row>
    <row r="45" spans="1:2" ht="18" customHeight="1" x14ac:dyDescent="0.25">
      <c r="A45" s="289"/>
      <c r="B45" s="289"/>
    </row>
    <row r="46" spans="1:2" ht="18" customHeight="1" x14ac:dyDescent="0.25">
      <c r="A46" s="289"/>
      <c r="B46" s="289"/>
    </row>
    <row r="47" spans="1:2" ht="18" customHeight="1" x14ac:dyDescent="0.25">
      <c r="A47" s="289"/>
      <c r="B47" s="289"/>
    </row>
    <row r="48" spans="1:2" ht="18" customHeight="1" x14ac:dyDescent="0.25">
      <c r="A48" s="289"/>
      <c r="B48" s="289"/>
    </row>
    <row r="49" spans="1:2" ht="18" customHeight="1" x14ac:dyDescent="0.25">
      <c r="A49" s="289"/>
      <c r="B49" s="289"/>
    </row>
    <row r="50" spans="1:2" ht="18" customHeight="1" x14ac:dyDescent="0.25">
      <c r="A50" s="289"/>
      <c r="B50" s="289"/>
    </row>
    <row r="51" spans="1:2" ht="18" customHeight="1" x14ac:dyDescent="0.25">
      <c r="A51" s="289"/>
      <c r="B51" s="289"/>
    </row>
    <row r="52" spans="1:2" ht="18" customHeight="1" thickBot="1" x14ac:dyDescent="0.3">
      <c r="A52" s="293"/>
      <c r="B52" s="293"/>
    </row>
  </sheetData>
  <sheetProtection algorithmName="SHA-512" hashValue="zNZH0hPPzwQ2mRz/+xmIRx5+sLCetcD2Ma3QX21eeFUD8R1ob+ftqfd4w4QZ2dKYXnP80sklrFa9S8ZsUBYiIQ==" saltValue="5nAhoUySQNJemNuAhHBwoA==" spinCount="100000" sheet="1" objects="1" scenarios="1"/>
  <dataConsolidate/>
  <mergeCells count="10">
    <mergeCell ref="A10:B10"/>
    <mergeCell ref="A11:B11"/>
    <mergeCell ref="A1:H1"/>
    <mergeCell ref="A2:H2"/>
    <mergeCell ref="A3:H3"/>
    <mergeCell ref="A4:H4"/>
    <mergeCell ref="A5:H5"/>
    <mergeCell ref="A6:H6"/>
    <mergeCell ref="A7:H7"/>
    <mergeCell ref="A8:H8"/>
  </mergeCells>
  <conditionalFormatting sqref="B13:B52">
    <cfRule type="expression" dxfId="275" priority="1">
      <formula>AND(NOT(ISBLANK(A13)),ISBLANK(B13))</formula>
    </cfRule>
  </conditionalFormatting>
  <printOptions horizontalCentered="1"/>
  <pageMargins left="0.5" right="0.5" top="0.5" bottom="0.5" header="0.3" footer="0.3"/>
  <pageSetup scale="87" fitToHeight="0" orientation="portrait" r:id="rId1"/>
  <headerFooter>
    <oddFooter>&amp;LRev. 7/2016&amp;C&amp;A&amp;R&amp;10Page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002060"/>
    <pageSetUpPr fitToPage="1"/>
  </sheetPr>
  <dimension ref="A1:L48"/>
  <sheetViews>
    <sheetView showGridLines="0" zoomScaleNormal="100" workbookViewId="0">
      <selection sqref="A1:K1"/>
    </sheetView>
  </sheetViews>
  <sheetFormatPr defaultRowHeight="15" x14ac:dyDescent="0.25"/>
  <cols>
    <col min="1" max="1" width="14.85546875" style="66" customWidth="1"/>
    <col min="2" max="2" width="16.140625" style="66" customWidth="1"/>
    <col min="3" max="3" width="36" style="66" customWidth="1"/>
    <col min="4" max="4" width="18.85546875" style="66" customWidth="1"/>
    <col min="5" max="5" width="23.7109375" style="66" customWidth="1"/>
    <col min="6" max="12" width="9.7109375" style="64" customWidth="1"/>
    <col min="13" max="257" width="9.140625" style="64"/>
    <col min="258" max="258" width="20" style="64" customWidth="1"/>
    <col min="259" max="259" width="19.28515625" style="64" customWidth="1"/>
    <col min="260" max="260" width="60.140625" style="64" customWidth="1"/>
    <col min="261" max="261" width="25.140625" style="64" customWidth="1"/>
    <col min="262" max="513" width="9.140625" style="64"/>
    <col min="514" max="514" width="20" style="64" customWidth="1"/>
    <col min="515" max="515" width="19.28515625" style="64" customWidth="1"/>
    <col min="516" max="516" width="60.140625" style="64" customWidth="1"/>
    <col min="517" max="517" width="25.140625" style="64" customWidth="1"/>
    <col min="518" max="769" width="9.140625" style="64"/>
    <col min="770" max="770" width="20" style="64" customWidth="1"/>
    <col min="771" max="771" width="19.28515625" style="64" customWidth="1"/>
    <col min="772" max="772" width="60.140625" style="64" customWidth="1"/>
    <col min="773" max="773" width="25.140625" style="64" customWidth="1"/>
    <col min="774" max="1025" width="9.140625" style="64"/>
    <col min="1026" max="1026" width="20" style="64" customWidth="1"/>
    <col min="1027" max="1027" width="19.28515625" style="64" customWidth="1"/>
    <col min="1028" max="1028" width="60.140625" style="64" customWidth="1"/>
    <col min="1029" max="1029" width="25.140625" style="64" customWidth="1"/>
    <col min="1030" max="1281" width="9.140625" style="64"/>
    <col min="1282" max="1282" width="20" style="64" customWidth="1"/>
    <col min="1283" max="1283" width="19.28515625" style="64" customWidth="1"/>
    <col min="1284" max="1284" width="60.140625" style="64" customWidth="1"/>
    <col min="1285" max="1285" width="25.140625" style="64" customWidth="1"/>
    <col min="1286" max="1537" width="9.140625" style="64"/>
    <col min="1538" max="1538" width="20" style="64" customWidth="1"/>
    <col min="1539" max="1539" width="19.28515625" style="64" customWidth="1"/>
    <col min="1540" max="1540" width="60.140625" style="64" customWidth="1"/>
    <col min="1541" max="1541" width="25.140625" style="64" customWidth="1"/>
    <col min="1542" max="1793" width="9.140625" style="64"/>
    <col min="1794" max="1794" width="20" style="64" customWidth="1"/>
    <col min="1795" max="1795" width="19.28515625" style="64" customWidth="1"/>
    <col min="1796" max="1796" width="60.140625" style="64" customWidth="1"/>
    <col min="1797" max="1797" width="25.140625" style="64" customWidth="1"/>
    <col min="1798" max="2049" width="9.140625" style="64"/>
    <col min="2050" max="2050" width="20" style="64" customWidth="1"/>
    <col min="2051" max="2051" width="19.28515625" style="64" customWidth="1"/>
    <col min="2052" max="2052" width="60.140625" style="64" customWidth="1"/>
    <col min="2053" max="2053" width="25.140625" style="64" customWidth="1"/>
    <col min="2054" max="2305" width="9.140625" style="64"/>
    <col min="2306" max="2306" width="20" style="64" customWidth="1"/>
    <col min="2307" max="2307" width="19.28515625" style="64" customWidth="1"/>
    <col min="2308" max="2308" width="60.140625" style="64" customWidth="1"/>
    <col min="2309" max="2309" width="25.140625" style="64" customWidth="1"/>
    <col min="2310" max="2561" width="9.140625" style="64"/>
    <col min="2562" max="2562" width="20" style="64" customWidth="1"/>
    <col min="2563" max="2563" width="19.28515625" style="64" customWidth="1"/>
    <col min="2564" max="2564" width="60.140625" style="64" customWidth="1"/>
    <col min="2565" max="2565" width="25.140625" style="64" customWidth="1"/>
    <col min="2566" max="2817" width="9.140625" style="64"/>
    <col min="2818" max="2818" width="20" style="64" customWidth="1"/>
    <col min="2819" max="2819" width="19.28515625" style="64" customWidth="1"/>
    <col min="2820" max="2820" width="60.140625" style="64" customWidth="1"/>
    <col min="2821" max="2821" width="25.140625" style="64" customWidth="1"/>
    <col min="2822" max="3073" width="9.140625" style="64"/>
    <col min="3074" max="3074" width="20" style="64" customWidth="1"/>
    <col min="3075" max="3075" width="19.28515625" style="64" customWidth="1"/>
    <col min="3076" max="3076" width="60.140625" style="64" customWidth="1"/>
    <col min="3077" max="3077" width="25.140625" style="64" customWidth="1"/>
    <col min="3078" max="3329" width="9.140625" style="64"/>
    <col min="3330" max="3330" width="20" style="64" customWidth="1"/>
    <col min="3331" max="3331" width="19.28515625" style="64" customWidth="1"/>
    <col min="3332" max="3332" width="60.140625" style="64" customWidth="1"/>
    <col min="3333" max="3333" width="25.140625" style="64" customWidth="1"/>
    <col min="3334" max="3585" width="9.140625" style="64"/>
    <col min="3586" max="3586" width="20" style="64" customWidth="1"/>
    <col min="3587" max="3587" width="19.28515625" style="64" customWidth="1"/>
    <col min="3588" max="3588" width="60.140625" style="64" customWidth="1"/>
    <col min="3589" max="3589" width="25.140625" style="64" customWidth="1"/>
    <col min="3590" max="3841" width="9.140625" style="64"/>
    <col min="3842" max="3842" width="20" style="64" customWidth="1"/>
    <col min="3843" max="3843" width="19.28515625" style="64" customWidth="1"/>
    <col min="3844" max="3844" width="60.140625" style="64" customWidth="1"/>
    <col min="3845" max="3845" width="25.140625" style="64" customWidth="1"/>
    <col min="3846" max="4097" width="9.140625" style="64"/>
    <col min="4098" max="4098" width="20" style="64" customWidth="1"/>
    <col min="4099" max="4099" width="19.28515625" style="64" customWidth="1"/>
    <col min="4100" max="4100" width="60.140625" style="64" customWidth="1"/>
    <col min="4101" max="4101" width="25.140625" style="64" customWidth="1"/>
    <col min="4102" max="4353" width="9.140625" style="64"/>
    <col min="4354" max="4354" width="20" style="64" customWidth="1"/>
    <col min="4355" max="4355" width="19.28515625" style="64" customWidth="1"/>
    <col min="4356" max="4356" width="60.140625" style="64" customWidth="1"/>
    <col min="4357" max="4357" width="25.140625" style="64" customWidth="1"/>
    <col min="4358" max="4609" width="9.140625" style="64"/>
    <col min="4610" max="4610" width="20" style="64" customWidth="1"/>
    <col min="4611" max="4611" width="19.28515625" style="64" customWidth="1"/>
    <col min="4612" max="4612" width="60.140625" style="64" customWidth="1"/>
    <col min="4613" max="4613" width="25.140625" style="64" customWidth="1"/>
    <col min="4614" max="4865" width="9.140625" style="64"/>
    <col min="4866" max="4866" width="20" style="64" customWidth="1"/>
    <col min="4867" max="4867" width="19.28515625" style="64" customWidth="1"/>
    <col min="4868" max="4868" width="60.140625" style="64" customWidth="1"/>
    <col min="4869" max="4869" width="25.140625" style="64" customWidth="1"/>
    <col min="4870" max="5121" width="9.140625" style="64"/>
    <col min="5122" max="5122" width="20" style="64" customWidth="1"/>
    <col min="5123" max="5123" width="19.28515625" style="64" customWidth="1"/>
    <col min="5124" max="5124" width="60.140625" style="64" customWidth="1"/>
    <col min="5125" max="5125" width="25.140625" style="64" customWidth="1"/>
    <col min="5126" max="5377" width="9.140625" style="64"/>
    <col min="5378" max="5378" width="20" style="64" customWidth="1"/>
    <col min="5379" max="5379" width="19.28515625" style="64" customWidth="1"/>
    <col min="5380" max="5380" width="60.140625" style="64" customWidth="1"/>
    <col min="5381" max="5381" width="25.140625" style="64" customWidth="1"/>
    <col min="5382" max="5633" width="9.140625" style="64"/>
    <col min="5634" max="5634" width="20" style="64" customWidth="1"/>
    <col min="5635" max="5635" width="19.28515625" style="64" customWidth="1"/>
    <col min="5636" max="5636" width="60.140625" style="64" customWidth="1"/>
    <col min="5637" max="5637" width="25.140625" style="64" customWidth="1"/>
    <col min="5638" max="5889" width="9.140625" style="64"/>
    <col min="5890" max="5890" width="20" style="64" customWidth="1"/>
    <col min="5891" max="5891" width="19.28515625" style="64" customWidth="1"/>
    <col min="5892" max="5892" width="60.140625" style="64" customWidth="1"/>
    <col min="5893" max="5893" width="25.140625" style="64" customWidth="1"/>
    <col min="5894" max="6145" width="9.140625" style="64"/>
    <col min="6146" max="6146" width="20" style="64" customWidth="1"/>
    <col min="6147" max="6147" width="19.28515625" style="64" customWidth="1"/>
    <col min="6148" max="6148" width="60.140625" style="64" customWidth="1"/>
    <col min="6149" max="6149" width="25.140625" style="64" customWidth="1"/>
    <col min="6150" max="6401" width="9.140625" style="64"/>
    <col min="6402" max="6402" width="20" style="64" customWidth="1"/>
    <col min="6403" max="6403" width="19.28515625" style="64" customWidth="1"/>
    <col min="6404" max="6404" width="60.140625" style="64" customWidth="1"/>
    <col min="6405" max="6405" width="25.140625" style="64" customWidth="1"/>
    <col min="6406" max="6657" width="9.140625" style="64"/>
    <col min="6658" max="6658" width="20" style="64" customWidth="1"/>
    <col min="6659" max="6659" width="19.28515625" style="64" customWidth="1"/>
    <col min="6660" max="6660" width="60.140625" style="64" customWidth="1"/>
    <col min="6661" max="6661" width="25.140625" style="64" customWidth="1"/>
    <col min="6662" max="6913" width="9.140625" style="64"/>
    <col min="6914" max="6914" width="20" style="64" customWidth="1"/>
    <col min="6915" max="6915" width="19.28515625" style="64" customWidth="1"/>
    <col min="6916" max="6916" width="60.140625" style="64" customWidth="1"/>
    <col min="6917" max="6917" width="25.140625" style="64" customWidth="1"/>
    <col min="6918" max="7169" width="9.140625" style="64"/>
    <col min="7170" max="7170" width="20" style="64" customWidth="1"/>
    <col min="7171" max="7171" width="19.28515625" style="64" customWidth="1"/>
    <col min="7172" max="7172" width="60.140625" style="64" customWidth="1"/>
    <col min="7173" max="7173" width="25.140625" style="64" customWidth="1"/>
    <col min="7174" max="7425" width="9.140625" style="64"/>
    <col min="7426" max="7426" width="20" style="64" customWidth="1"/>
    <col min="7427" max="7427" width="19.28515625" style="64" customWidth="1"/>
    <col min="7428" max="7428" width="60.140625" style="64" customWidth="1"/>
    <col min="7429" max="7429" width="25.140625" style="64" customWidth="1"/>
    <col min="7430" max="7681" width="9.140625" style="64"/>
    <col min="7682" max="7682" width="20" style="64" customWidth="1"/>
    <col min="7683" max="7683" width="19.28515625" style="64" customWidth="1"/>
    <col min="7684" max="7684" width="60.140625" style="64" customWidth="1"/>
    <col min="7685" max="7685" width="25.140625" style="64" customWidth="1"/>
    <col min="7686" max="7937" width="9.140625" style="64"/>
    <col min="7938" max="7938" width="20" style="64" customWidth="1"/>
    <col min="7939" max="7939" width="19.28515625" style="64" customWidth="1"/>
    <col min="7940" max="7940" width="60.140625" style="64" customWidth="1"/>
    <col min="7941" max="7941" width="25.140625" style="64" customWidth="1"/>
    <col min="7942" max="8193" width="9.140625" style="64"/>
    <col min="8194" max="8194" width="20" style="64" customWidth="1"/>
    <col min="8195" max="8195" width="19.28515625" style="64" customWidth="1"/>
    <col min="8196" max="8196" width="60.140625" style="64" customWidth="1"/>
    <col min="8197" max="8197" width="25.140625" style="64" customWidth="1"/>
    <col min="8198" max="8449" width="9.140625" style="64"/>
    <col min="8450" max="8450" width="20" style="64" customWidth="1"/>
    <col min="8451" max="8451" width="19.28515625" style="64" customWidth="1"/>
    <col min="8452" max="8452" width="60.140625" style="64" customWidth="1"/>
    <col min="8453" max="8453" width="25.140625" style="64" customWidth="1"/>
    <col min="8454" max="8705" width="9.140625" style="64"/>
    <col min="8706" max="8706" width="20" style="64" customWidth="1"/>
    <col min="8707" max="8707" width="19.28515625" style="64" customWidth="1"/>
    <col min="8708" max="8708" width="60.140625" style="64" customWidth="1"/>
    <col min="8709" max="8709" width="25.140625" style="64" customWidth="1"/>
    <col min="8710" max="8961" width="9.140625" style="64"/>
    <col min="8962" max="8962" width="20" style="64" customWidth="1"/>
    <col min="8963" max="8963" width="19.28515625" style="64" customWidth="1"/>
    <col min="8964" max="8964" width="60.140625" style="64" customWidth="1"/>
    <col min="8965" max="8965" width="25.140625" style="64" customWidth="1"/>
    <col min="8966" max="9217" width="9.140625" style="64"/>
    <col min="9218" max="9218" width="20" style="64" customWidth="1"/>
    <col min="9219" max="9219" width="19.28515625" style="64" customWidth="1"/>
    <col min="9220" max="9220" width="60.140625" style="64" customWidth="1"/>
    <col min="9221" max="9221" width="25.140625" style="64" customWidth="1"/>
    <col min="9222" max="9473" width="9.140625" style="64"/>
    <col min="9474" max="9474" width="20" style="64" customWidth="1"/>
    <col min="9475" max="9475" width="19.28515625" style="64" customWidth="1"/>
    <col min="9476" max="9476" width="60.140625" style="64" customWidth="1"/>
    <col min="9477" max="9477" width="25.140625" style="64" customWidth="1"/>
    <col min="9478" max="9729" width="9.140625" style="64"/>
    <col min="9730" max="9730" width="20" style="64" customWidth="1"/>
    <col min="9731" max="9731" width="19.28515625" style="64" customWidth="1"/>
    <col min="9732" max="9732" width="60.140625" style="64" customWidth="1"/>
    <col min="9733" max="9733" width="25.140625" style="64" customWidth="1"/>
    <col min="9734" max="9985" width="9.140625" style="64"/>
    <col min="9986" max="9986" width="20" style="64" customWidth="1"/>
    <col min="9987" max="9987" width="19.28515625" style="64" customWidth="1"/>
    <col min="9988" max="9988" width="60.140625" style="64" customWidth="1"/>
    <col min="9989" max="9989" width="25.140625" style="64" customWidth="1"/>
    <col min="9990" max="10241" width="9.140625" style="64"/>
    <col min="10242" max="10242" width="20" style="64" customWidth="1"/>
    <col min="10243" max="10243" width="19.28515625" style="64" customWidth="1"/>
    <col min="10244" max="10244" width="60.140625" style="64" customWidth="1"/>
    <col min="10245" max="10245" width="25.140625" style="64" customWidth="1"/>
    <col min="10246" max="10497" width="9.140625" style="64"/>
    <col min="10498" max="10498" width="20" style="64" customWidth="1"/>
    <col min="10499" max="10499" width="19.28515625" style="64" customWidth="1"/>
    <col min="10500" max="10500" width="60.140625" style="64" customWidth="1"/>
    <col min="10501" max="10501" width="25.140625" style="64" customWidth="1"/>
    <col min="10502" max="10753" width="9.140625" style="64"/>
    <col min="10754" max="10754" width="20" style="64" customWidth="1"/>
    <col min="10755" max="10755" width="19.28515625" style="64" customWidth="1"/>
    <col min="10756" max="10756" width="60.140625" style="64" customWidth="1"/>
    <col min="10757" max="10757" width="25.140625" style="64" customWidth="1"/>
    <col min="10758" max="11009" width="9.140625" style="64"/>
    <col min="11010" max="11010" width="20" style="64" customWidth="1"/>
    <col min="11011" max="11011" width="19.28515625" style="64" customWidth="1"/>
    <col min="11012" max="11012" width="60.140625" style="64" customWidth="1"/>
    <col min="11013" max="11013" width="25.140625" style="64" customWidth="1"/>
    <col min="11014" max="11265" width="9.140625" style="64"/>
    <col min="11266" max="11266" width="20" style="64" customWidth="1"/>
    <col min="11267" max="11267" width="19.28515625" style="64" customWidth="1"/>
    <col min="11268" max="11268" width="60.140625" style="64" customWidth="1"/>
    <col min="11269" max="11269" width="25.140625" style="64" customWidth="1"/>
    <col min="11270" max="11521" width="9.140625" style="64"/>
    <col min="11522" max="11522" width="20" style="64" customWidth="1"/>
    <col min="11523" max="11523" width="19.28515625" style="64" customWidth="1"/>
    <col min="11524" max="11524" width="60.140625" style="64" customWidth="1"/>
    <col min="11525" max="11525" width="25.140625" style="64" customWidth="1"/>
    <col min="11526" max="11777" width="9.140625" style="64"/>
    <col min="11778" max="11778" width="20" style="64" customWidth="1"/>
    <col min="11779" max="11779" width="19.28515625" style="64" customWidth="1"/>
    <col min="11780" max="11780" width="60.140625" style="64" customWidth="1"/>
    <col min="11781" max="11781" width="25.140625" style="64" customWidth="1"/>
    <col min="11782" max="12033" width="9.140625" style="64"/>
    <col min="12034" max="12034" width="20" style="64" customWidth="1"/>
    <col min="12035" max="12035" width="19.28515625" style="64" customWidth="1"/>
    <col min="12036" max="12036" width="60.140625" style="64" customWidth="1"/>
    <col min="12037" max="12037" width="25.140625" style="64" customWidth="1"/>
    <col min="12038" max="12289" width="9.140625" style="64"/>
    <col min="12290" max="12290" width="20" style="64" customWidth="1"/>
    <col min="12291" max="12291" width="19.28515625" style="64" customWidth="1"/>
    <col min="12292" max="12292" width="60.140625" style="64" customWidth="1"/>
    <col min="12293" max="12293" width="25.140625" style="64" customWidth="1"/>
    <col min="12294" max="12545" width="9.140625" style="64"/>
    <col min="12546" max="12546" width="20" style="64" customWidth="1"/>
    <col min="12547" max="12547" width="19.28515625" style="64" customWidth="1"/>
    <col min="12548" max="12548" width="60.140625" style="64" customWidth="1"/>
    <col min="12549" max="12549" width="25.140625" style="64" customWidth="1"/>
    <col min="12550" max="12801" width="9.140625" style="64"/>
    <col min="12802" max="12802" width="20" style="64" customWidth="1"/>
    <col min="12803" max="12803" width="19.28515625" style="64" customWidth="1"/>
    <col min="12804" max="12804" width="60.140625" style="64" customWidth="1"/>
    <col min="12805" max="12805" width="25.140625" style="64" customWidth="1"/>
    <col min="12806" max="13057" width="9.140625" style="64"/>
    <col min="13058" max="13058" width="20" style="64" customWidth="1"/>
    <col min="13059" max="13059" width="19.28515625" style="64" customWidth="1"/>
    <col min="13060" max="13060" width="60.140625" style="64" customWidth="1"/>
    <col min="13061" max="13061" width="25.140625" style="64" customWidth="1"/>
    <col min="13062" max="13313" width="9.140625" style="64"/>
    <col min="13314" max="13314" width="20" style="64" customWidth="1"/>
    <col min="13315" max="13315" width="19.28515625" style="64" customWidth="1"/>
    <col min="13316" max="13316" width="60.140625" style="64" customWidth="1"/>
    <col min="13317" max="13317" width="25.140625" style="64" customWidth="1"/>
    <col min="13318" max="13569" width="9.140625" style="64"/>
    <col min="13570" max="13570" width="20" style="64" customWidth="1"/>
    <col min="13571" max="13571" width="19.28515625" style="64" customWidth="1"/>
    <col min="13572" max="13572" width="60.140625" style="64" customWidth="1"/>
    <col min="13573" max="13573" width="25.140625" style="64" customWidth="1"/>
    <col min="13574" max="13825" width="9.140625" style="64"/>
    <col min="13826" max="13826" width="20" style="64" customWidth="1"/>
    <col min="13827" max="13827" width="19.28515625" style="64" customWidth="1"/>
    <col min="13828" max="13828" width="60.140625" style="64" customWidth="1"/>
    <col min="13829" max="13829" width="25.140625" style="64" customWidth="1"/>
    <col min="13830" max="14081" width="9.140625" style="64"/>
    <col min="14082" max="14082" width="20" style="64" customWidth="1"/>
    <col min="14083" max="14083" width="19.28515625" style="64" customWidth="1"/>
    <col min="14084" max="14084" width="60.140625" style="64" customWidth="1"/>
    <col min="14085" max="14085" width="25.140625" style="64" customWidth="1"/>
    <col min="14086" max="14337" width="9.140625" style="64"/>
    <col min="14338" max="14338" width="20" style="64" customWidth="1"/>
    <col min="14339" max="14339" width="19.28515625" style="64" customWidth="1"/>
    <col min="14340" max="14340" width="60.140625" style="64" customWidth="1"/>
    <col min="14341" max="14341" width="25.140625" style="64" customWidth="1"/>
    <col min="14342" max="14593" width="9.140625" style="64"/>
    <col min="14594" max="14594" width="20" style="64" customWidth="1"/>
    <col min="14595" max="14595" width="19.28515625" style="64" customWidth="1"/>
    <col min="14596" max="14596" width="60.140625" style="64" customWidth="1"/>
    <col min="14597" max="14597" width="25.140625" style="64" customWidth="1"/>
    <col min="14598" max="14849" width="9.140625" style="64"/>
    <col min="14850" max="14850" width="20" style="64" customWidth="1"/>
    <col min="14851" max="14851" width="19.28515625" style="64" customWidth="1"/>
    <col min="14852" max="14852" width="60.140625" style="64" customWidth="1"/>
    <col min="14853" max="14853" width="25.140625" style="64" customWidth="1"/>
    <col min="14854" max="15105" width="9.140625" style="64"/>
    <col min="15106" max="15106" width="20" style="64" customWidth="1"/>
    <col min="15107" max="15107" width="19.28515625" style="64" customWidth="1"/>
    <col min="15108" max="15108" width="60.140625" style="64" customWidth="1"/>
    <col min="15109" max="15109" width="25.140625" style="64" customWidth="1"/>
    <col min="15110" max="15361" width="9.140625" style="64"/>
    <col min="15362" max="15362" width="20" style="64" customWidth="1"/>
    <col min="15363" max="15363" width="19.28515625" style="64" customWidth="1"/>
    <col min="15364" max="15364" width="60.140625" style="64" customWidth="1"/>
    <col min="15365" max="15365" width="25.140625" style="64" customWidth="1"/>
    <col min="15366" max="15617" width="9.140625" style="64"/>
    <col min="15618" max="15618" width="20" style="64" customWidth="1"/>
    <col min="15619" max="15619" width="19.28515625" style="64" customWidth="1"/>
    <col min="15620" max="15620" width="60.140625" style="64" customWidth="1"/>
    <col min="15621" max="15621" width="25.140625" style="64" customWidth="1"/>
    <col min="15622" max="15873" width="9.140625" style="64"/>
    <col min="15874" max="15874" width="20" style="64" customWidth="1"/>
    <col min="15875" max="15875" width="19.28515625" style="64" customWidth="1"/>
    <col min="15876" max="15876" width="60.140625" style="64" customWidth="1"/>
    <col min="15877" max="15877" width="25.140625" style="64" customWidth="1"/>
    <col min="15878" max="16129" width="9.140625" style="64"/>
    <col min="16130" max="16130" width="20" style="64" customWidth="1"/>
    <col min="16131" max="16131" width="19.28515625" style="64" customWidth="1"/>
    <col min="16132" max="16132" width="60.140625" style="64" customWidth="1"/>
    <col min="16133" max="16133" width="25.140625" style="64" customWidth="1"/>
    <col min="16134" max="16384" width="9.140625" style="64"/>
  </cols>
  <sheetData>
    <row r="1" spans="1:12" s="69" customFormat="1" ht="26.25" customHeight="1" thickBot="1" x14ac:dyDescent="0.3">
      <c r="A1" s="1315" t="s">
        <v>1731</v>
      </c>
      <c r="B1" s="1315"/>
      <c r="C1" s="1315"/>
      <c r="D1" s="1315"/>
      <c r="E1" s="1315"/>
      <c r="F1" s="1315"/>
      <c r="G1" s="1315"/>
      <c r="H1" s="1315"/>
      <c r="I1" s="1315"/>
      <c r="J1" s="1315"/>
      <c r="K1" s="1315"/>
      <c r="L1" s="79"/>
    </row>
    <row r="2" spans="1:12" s="68" customFormat="1" ht="24.95" customHeight="1" x14ac:dyDescent="0.25">
      <c r="A2" s="1316" t="s">
        <v>1856</v>
      </c>
      <c r="B2" s="1316"/>
      <c r="C2" s="1316"/>
      <c r="D2" s="1316"/>
      <c r="E2" s="1316"/>
      <c r="F2" s="1316"/>
      <c r="G2" s="1316"/>
      <c r="H2" s="1316"/>
      <c r="I2" s="1316"/>
      <c r="J2" s="1316"/>
      <c r="K2" s="1316"/>
    </row>
    <row r="3" spans="1:12" ht="54.95" customHeight="1" thickBot="1" x14ac:dyDescent="0.3">
      <c r="A3" s="1341" t="s">
        <v>1858</v>
      </c>
      <c r="B3" s="1341"/>
      <c r="C3" s="1341"/>
      <c r="D3" s="1341"/>
      <c r="E3" s="1341"/>
      <c r="F3" s="1341"/>
      <c r="G3" s="1341"/>
      <c r="H3" s="1341"/>
      <c r="I3" s="1341"/>
      <c r="J3" s="1341"/>
      <c r="K3" s="1341"/>
    </row>
    <row r="4" spans="1:12" s="77" customFormat="1" ht="19.5" thickBot="1" x14ac:dyDescent="0.3">
      <c r="A4" s="1208" t="s">
        <v>1449</v>
      </c>
      <c r="B4" s="1208"/>
      <c r="C4" s="1208"/>
      <c r="D4" s="1208"/>
      <c r="E4" s="1208"/>
      <c r="F4" s="1208"/>
      <c r="G4" s="1208"/>
      <c r="H4" s="1208"/>
      <c r="I4" s="1208"/>
      <c r="J4" s="1208"/>
      <c r="K4" s="1208"/>
    </row>
    <row r="5" spans="1:12" ht="60" customHeight="1" x14ac:dyDescent="0.25">
      <c r="A5" s="1"/>
      <c r="B5" s="1"/>
      <c r="C5" s="1"/>
      <c r="D5" s="1"/>
      <c r="E5" s="1"/>
    </row>
    <row r="6" spans="1:12" s="65" customFormat="1" ht="24.95" customHeight="1" x14ac:dyDescent="0.25">
      <c r="A6" s="1210" t="s">
        <v>1425</v>
      </c>
      <c r="B6" s="1210"/>
      <c r="C6" s="1210"/>
      <c r="D6" s="1210"/>
      <c r="E6" s="1210"/>
    </row>
    <row r="7" spans="1:12" ht="24.95" customHeight="1" thickBot="1" x14ac:dyDescent="0.3">
      <c r="A7" s="1211" t="s">
        <v>1769</v>
      </c>
      <c r="B7" s="1211"/>
      <c r="C7" s="1211"/>
      <c r="D7" s="1211"/>
      <c r="E7" s="1211"/>
    </row>
    <row r="8" spans="1:12" ht="28.7" customHeight="1" thickBot="1" x14ac:dyDescent="0.3">
      <c r="A8" s="824" t="s">
        <v>1426</v>
      </c>
      <c r="B8" s="825" t="s">
        <v>1427</v>
      </c>
      <c r="C8" s="825" t="s">
        <v>1428</v>
      </c>
      <c r="D8" s="825" t="s">
        <v>1429</v>
      </c>
      <c r="E8" s="825" t="s">
        <v>1430</v>
      </c>
    </row>
    <row r="9" spans="1:12" ht="18" customHeight="1" x14ac:dyDescent="0.25">
      <c r="A9" s="298"/>
      <c r="B9" s="299"/>
      <c r="C9" s="300"/>
      <c r="D9" s="301"/>
      <c r="E9" s="287"/>
    </row>
    <row r="10" spans="1:12" ht="18" customHeight="1" x14ac:dyDescent="0.25">
      <c r="A10" s="289"/>
      <c r="B10" s="290"/>
      <c r="C10" s="291"/>
      <c r="D10" s="292"/>
      <c r="E10" s="288"/>
    </row>
    <row r="11" spans="1:12" ht="18" customHeight="1" x14ac:dyDescent="0.25">
      <c r="A11" s="289"/>
      <c r="B11" s="290"/>
      <c r="C11" s="291"/>
      <c r="D11" s="292"/>
      <c r="E11" s="288"/>
    </row>
    <row r="12" spans="1:12" ht="18" customHeight="1" x14ac:dyDescent="0.25">
      <c r="A12" s="289"/>
      <c r="B12" s="290"/>
      <c r="C12" s="291"/>
      <c r="D12" s="292"/>
      <c r="E12" s="288"/>
    </row>
    <row r="13" spans="1:12" ht="18" customHeight="1" x14ac:dyDescent="0.25">
      <c r="A13" s="289"/>
      <c r="B13" s="290"/>
      <c r="C13" s="291"/>
      <c r="D13" s="292"/>
      <c r="E13" s="288"/>
    </row>
    <row r="14" spans="1:12" ht="18" customHeight="1" x14ac:dyDescent="0.25">
      <c r="A14" s="289"/>
      <c r="B14" s="290"/>
      <c r="C14" s="291"/>
      <c r="D14" s="292"/>
      <c r="E14" s="288"/>
    </row>
    <row r="15" spans="1:12" ht="18" customHeight="1" x14ac:dyDescent="0.25">
      <c r="A15" s="289"/>
      <c r="B15" s="290"/>
      <c r="C15" s="291"/>
      <c r="D15" s="292"/>
      <c r="E15" s="288"/>
    </row>
    <row r="16" spans="1:12" ht="18" customHeight="1" x14ac:dyDescent="0.25">
      <c r="A16" s="289"/>
      <c r="B16" s="290"/>
      <c r="C16" s="291"/>
      <c r="D16" s="292"/>
      <c r="E16" s="288"/>
    </row>
    <row r="17" spans="1:5" ht="18" customHeight="1" x14ac:dyDescent="0.25">
      <c r="A17" s="289"/>
      <c r="B17" s="290"/>
      <c r="C17" s="291"/>
      <c r="D17" s="292"/>
      <c r="E17" s="288"/>
    </row>
    <row r="18" spans="1:5" ht="18" customHeight="1" x14ac:dyDescent="0.25">
      <c r="A18" s="289"/>
      <c r="B18" s="290"/>
      <c r="C18" s="291"/>
      <c r="D18" s="292"/>
      <c r="E18" s="288"/>
    </row>
    <row r="19" spans="1:5" ht="18" customHeight="1" x14ac:dyDescent="0.25">
      <c r="A19" s="289"/>
      <c r="B19" s="290"/>
      <c r="C19" s="291"/>
      <c r="D19" s="292"/>
      <c r="E19" s="288"/>
    </row>
    <row r="20" spans="1:5" ht="18" customHeight="1" x14ac:dyDescent="0.25">
      <c r="A20" s="289"/>
      <c r="B20" s="290"/>
      <c r="C20" s="291"/>
      <c r="D20" s="292"/>
      <c r="E20" s="288"/>
    </row>
    <row r="21" spans="1:5" ht="18" customHeight="1" x14ac:dyDescent="0.25">
      <c r="A21" s="289"/>
      <c r="B21" s="290"/>
      <c r="C21" s="291"/>
      <c r="D21" s="292"/>
      <c r="E21" s="288"/>
    </row>
    <row r="22" spans="1:5" ht="18" customHeight="1" x14ac:dyDescent="0.25">
      <c r="A22" s="289"/>
      <c r="B22" s="290"/>
      <c r="C22" s="291"/>
      <c r="D22" s="292"/>
      <c r="E22" s="288"/>
    </row>
    <row r="23" spans="1:5" ht="18" customHeight="1" x14ac:dyDescent="0.25">
      <c r="A23" s="289"/>
      <c r="B23" s="290"/>
      <c r="C23" s="291"/>
      <c r="D23" s="292"/>
      <c r="E23" s="288"/>
    </row>
    <row r="24" spans="1:5" ht="18" customHeight="1" x14ac:dyDescent="0.25">
      <c r="A24" s="289"/>
      <c r="B24" s="290"/>
      <c r="C24" s="291"/>
      <c r="D24" s="292"/>
      <c r="E24" s="288"/>
    </row>
    <row r="25" spans="1:5" ht="18" customHeight="1" x14ac:dyDescent="0.25">
      <c r="A25" s="289"/>
      <c r="B25" s="290"/>
      <c r="C25" s="291"/>
      <c r="D25" s="292"/>
      <c r="E25" s="288"/>
    </row>
    <row r="26" spans="1:5" ht="18" customHeight="1" x14ac:dyDescent="0.25">
      <c r="A26" s="289"/>
      <c r="B26" s="290"/>
      <c r="C26" s="291"/>
      <c r="D26" s="292"/>
      <c r="E26" s="288"/>
    </row>
    <row r="27" spans="1:5" ht="18" customHeight="1" x14ac:dyDescent="0.25">
      <c r="A27" s="289"/>
      <c r="B27" s="290"/>
      <c r="C27" s="291"/>
      <c r="D27" s="292"/>
      <c r="E27" s="288"/>
    </row>
    <row r="28" spans="1:5" ht="18" customHeight="1" x14ac:dyDescent="0.25">
      <c r="A28" s="289"/>
      <c r="B28" s="290"/>
      <c r="C28" s="291"/>
      <c r="D28" s="292"/>
      <c r="E28" s="288"/>
    </row>
    <row r="29" spans="1:5" ht="18" customHeight="1" x14ac:dyDescent="0.25">
      <c r="A29" s="289"/>
      <c r="B29" s="290"/>
      <c r="C29" s="291"/>
      <c r="D29" s="292"/>
      <c r="E29" s="288"/>
    </row>
    <row r="30" spans="1:5" ht="18" customHeight="1" x14ac:dyDescent="0.25">
      <c r="A30" s="289"/>
      <c r="B30" s="290"/>
      <c r="C30" s="291"/>
      <c r="D30" s="292"/>
      <c r="E30" s="288"/>
    </row>
    <row r="31" spans="1:5" ht="18" customHeight="1" x14ac:dyDescent="0.25">
      <c r="A31" s="289"/>
      <c r="B31" s="290"/>
      <c r="C31" s="291"/>
      <c r="D31" s="292"/>
      <c r="E31" s="288"/>
    </row>
    <row r="32" spans="1:5" ht="18" customHeight="1" x14ac:dyDescent="0.25">
      <c r="A32" s="289"/>
      <c r="B32" s="290"/>
      <c r="C32" s="291"/>
      <c r="D32" s="292"/>
      <c r="E32" s="288"/>
    </row>
    <row r="33" spans="1:5" ht="18" customHeight="1" x14ac:dyDescent="0.25">
      <c r="A33" s="289"/>
      <c r="B33" s="290"/>
      <c r="C33" s="291"/>
      <c r="D33" s="292"/>
      <c r="E33" s="288"/>
    </row>
    <row r="34" spans="1:5" ht="18" customHeight="1" x14ac:dyDescent="0.25">
      <c r="A34" s="289"/>
      <c r="B34" s="290"/>
      <c r="C34" s="291"/>
      <c r="D34" s="292"/>
      <c r="E34" s="288"/>
    </row>
    <row r="35" spans="1:5" ht="18" customHeight="1" x14ac:dyDescent="0.25">
      <c r="A35" s="289"/>
      <c r="B35" s="290"/>
      <c r="C35" s="291"/>
      <c r="D35" s="292"/>
      <c r="E35" s="288"/>
    </row>
    <row r="36" spans="1:5" ht="18" customHeight="1" x14ac:dyDescent="0.25">
      <c r="A36" s="289"/>
      <c r="B36" s="290"/>
      <c r="C36" s="291"/>
      <c r="D36" s="292"/>
      <c r="E36" s="288"/>
    </row>
    <row r="37" spans="1:5" ht="18" customHeight="1" x14ac:dyDescent="0.25">
      <c r="A37" s="289"/>
      <c r="B37" s="290"/>
      <c r="C37" s="291"/>
      <c r="D37" s="292"/>
      <c r="E37" s="288"/>
    </row>
    <row r="38" spans="1:5" ht="18" customHeight="1" x14ac:dyDescent="0.25">
      <c r="A38" s="289"/>
      <c r="B38" s="290"/>
      <c r="C38" s="291"/>
      <c r="D38" s="292"/>
      <c r="E38" s="288"/>
    </row>
    <row r="39" spans="1:5" ht="18" customHeight="1" x14ac:dyDescent="0.25">
      <c r="A39" s="289"/>
      <c r="B39" s="290"/>
      <c r="C39" s="291"/>
      <c r="D39" s="292"/>
      <c r="E39" s="288"/>
    </row>
    <row r="40" spans="1:5" ht="18" customHeight="1" x14ac:dyDescent="0.25">
      <c r="A40" s="289"/>
      <c r="B40" s="290"/>
      <c r="C40" s="291"/>
      <c r="D40" s="292"/>
      <c r="E40" s="288"/>
    </row>
    <row r="41" spans="1:5" ht="18" customHeight="1" x14ac:dyDescent="0.25">
      <c r="A41" s="289"/>
      <c r="B41" s="290"/>
      <c r="C41" s="291"/>
      <c r="D41" s="292"/>
      <c r="E41" s="288"/>
    </row>
    <row r="42" spans="1:5" ht="18" customHeight="1" x14ac:dyDescent="0.25">
      <c r="A42" s="289"/>
      <c r="B42" s="290"/>
      <c r="C42" s="291"/>
      <c r="D42" s="292"/>
      <c r="E42" s="288"/>
    </row>
    <row r="43" spans="1:5" ht="18" customHeight="1" x14ac:dyDescent="0.25">
      <c r="A43" s="289"/>
      <c r="B43" s="290"/>
      <c r="C43" s="291"/>
      <c r="D43" s="292"/>
      <c r="E43" s="288"/>
    </row>
    <row r="44" spans="1:5" ht="18" customHeight="1" x14ac:dyDescent="0.25">
      <c r="A44" s="289"/>
      <c r="B44" s="290"/>
      <c r="C44" s="291"/>
      <c r="D44" s="292"/>
      <c r="E44" s="288"/>
    </row>
    <row r="45" spans="1:5" ht="18" customHeight="1" x14ac:dyDescent="0.25">
      <c r="A45" s="289"/>
      <c r="B45" s="290"/>
      <c r="C45" s="291"/>
      <c r="D45" s="292"/>
      <c r="E45" s="288"/>
    </row>
    <row r="46" spans="1:5" ht="18" customHeight="1" x14ac:dyDescent="0.25">
      <c r="A46" s="289"/>
      <c r="B46" s="290"/>
      <c r="C46" s="291"/>
      <c r="D46" s="292"/>
      <c r="E46" s="288"/>
    </row>
    <row r="47" spans="1:5" ht="18" customHeight="1" x14ac:dyDescent="0.25">
      <c r="A47" s="289"/>
      <c r="B47" s="290"/>
      <c r="C47" s="291"/>
      <c r="D47" s="292"/>
      <c r="E47" s="288"/>
    </row>
    <row r="48" spans="1:5" ht="18" customHeight="1" thickBot="1" x14ac:dyDescent="0.3">
      <c r="A48" s="293"/>
      <c r="B48" s="294"/>
      <c r="C48" s="295"/>
      <c r="D48" s="296"/>
      <c r="E48" s="297"/>
    </row>
  </sheetData>
  <sheetProtection algorithmName="SHA-512" hashValue="UdeXB8X6r7pHyjPRUTeBJSd6L1XLESIY75AnBuUfrT3k3oWpjPEsKlYODuZHBYu8RJjNB43H6ZKs76ZKeQl2bw==" saltValue="UYlIuLC3egNctC+r8uQ79w==" spinCount="100000" sheet="1" objects="1" scenarios="1"/>
  <dataConsolidate/>
  <mergeCells count="6">
    <mergeCell ref="A1:K1"/>
    <mergeCell ref="A3:K3"/>
    <mergeCell ref="A2:K2"/>
    <mergeCell ref="A7:E7"/>
    <mergeCell ref="A6:E6"/>
    <mergeCell ref="A4:K4"/>
  </mergeCells>
  <conditionalFormatting sqref="B9:E48">
    <cfRule type="expression" dxfId="274" priority="1">
      <formula>AND(NOT(ISBLANK($A9)),ISBLANK(B9))</formula>
    </cfRule>
  </conditionalFormatting>
  <conditionalFormatting sqref="D9:E48">
    <cfRule type="expression" dxfId="273" priority="2">
      <formula>ISTEXT(D9)</formula>
    </cfRule>
  </conditionalFormatting>
  <printOptions horizontalCentered="1"/>
  <pageMargins left="0.5" right="0.5" top="0.5" bottom="0.5" header="0.3" footer="0.3"/>
  <pageSetup scale="87" fitToHeight="0" orientation="portrait" r:id="rId1"/>
  <headerFooter>
    <oddFooter>&amp;LRev. 7/2016&amp;C&amp;A&amp;RPage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rgb="FF002060"/>
    <pageSetUpPr fitToPage="1"/>
  </sheetPr>
  <dimension ref="A1:L51"/>
  <sheetViews>
    <sheetView showGridLines="0" zoomScaleNormal="100" workbookViewId="0">
      <selection sqref="A1:L1"/>
    </sheetView>
  </sheetViews>
  <sheetFormatPr defaultRowHeight="15" x14ac:dyDescent="0.25"/>
  <cols>
    <col min="1" max="1" width="14.85546875" style="66" customWidth="1"/>
    <col min="2" max="7" width="16.7109375" style="66" customWidth="1"/>
    <col min="8" max="13" width="9.7109375" style="64" customWidth="1"/>
    <col min="14" max="259" width="9.140625" style="64"/>
    <col min="260" max="260" width="20" style="64" customWidth="1"/>
    <col min="261" max="261" width="19.28515625" style="64" customWidth="1"/>
    <col min="262" max="262" width="60.140625" style="64" customWidth="1"/>
    <col min="263" max="263" width="25.140625" style="64" customWidth="1"/>
    <col min="264" max="515" width="9.140625" style="64"/>
    <col min="516" max="516" width="20" style="64" customWidth="1"/>
    <col min="517" max="517" width="19.28515625" style="64" customWidth="1"/>
    <col min="518" max="518" width="60.140625" style="64" customWidth="1"/>
    <col min="519" max="519" width="25.140625" style="64" customWidth="1"/>
    <col min="520" max="771" width="9.140625" style="64"/>
    <col min="772" max="772" width="20" style="64" customWidth="1"/>
    <col min="773" max="773" width="19.28515625" style="64" customWidth="1"/>
    <col min="774" max="774" width="60.140625" style="64" customWidth="1"/>
    <col min="775" max="775" width="25.140625" style="64" customWidth="1"/>
    <col min="776" max="1027" width="9.140625" style="64"/>
    <col min="1028" max="1028" width="20" style="64" customWidth="1"/>
    <col min="1029" max="1029" width="19.28515625" style="64" customWidth="1"/>
    <col min="1030" max="1030" width="60.140625" style="64" customWidth="1"/>
    <col min="1031" max="1031" width="25.140625" style="64" customWidth="1"/>
    <col min="1032" max="1283" width="9.140625" style="64"/>
    <col min="1284" max="1284" width="20" style="64" customWidth="1"/>
    <col min="1285" max="1285" width="19.28515625" style="64" customWidth="1"/>
    <col min="1286" max="1286" width="60.140625" style="64" customWidth="1"/>
    <col min="1287" max="1287" width="25.140625" style="64" customWidth="1"/>
    <col min="1288" max="1539" width="9.140625" style="64"/>
    <col min="1540" max="1540" width="20" style="64" customWidth="1"/>
    <col min="1541" max="1541" width="19.28515625" style="64" customWidth="1"/>
    <col min="1542" max="1542" width="60.140625" style="64" customWidth="1"/>
    <col min="1543" max="1543" width="25.140625" style="64" customWidth="1"/>
    <col min="1544" max="1795" width="9.140625" style="64"/>
    <col min="1796" max="1796" width="20" style="64" customWidth="1"/>
    <col min="1797" max="1797" width="19.28515625" style="64" customWidth="1"/>
    <col min="1798" max="1798" width="60.140625" style="64" customWidth="1"/>
    <col min="1799" max="1799" width="25.140625" style="64" customWidth="1"/>
    <col min="1800" max="2051" width="9.140625" style="64"/>
    <col min="2052" max="2052" width="20" style="64" customWidth="1"/>
    <col min="2053" max="2053" width="19.28515625" style="64" customWidth="1"/>
    <col min="2054" max="2054" width="60.140625" style="64" customWidth="1"/>
    <col min="2055" max="2055" width="25.140625" style="64" customWidth="1"/>
    <col min="2056" max="2307" width="9.140625" style="64"/>
    <col min="2308" max="2308" width="20" style="64" customWidth="1"/>
    <col min="2309" max="2309" width="19.28515625" style="64" customWidth="1"/>
    <col min="2310" max="2310" width="60.140625" style="64" customWidth="1"/>
    <col min="2311" max="2311" width="25.140625" style="64" customWidth="1"/>
    <col min="2312" max="2563" width="9.140625" style="64"/>
    <col min="2564" max="2564" width="20" style="64" customWidth="1"/>
    <col min="2565" max="2565" width="19.28515625" style="64" customWidth="1"/>
    <col min="2566" max="2566" width="60.140625" style="64" customWidth="1"/>
    <col min="2567" max="2567" width="25.140625" style="64" customWidth="1"/>
    <col min="2568" max="2819" width="9.140625" style="64"/>
    <col min="2820" max="2820" width="20" style="64" customWidth="1"/>
    <col min="2821" max="2821" width="19.28515625" style="64" customWidth="1"/>
    <col min="2822" max="2822" width="60.140625" style="64" customWidth="1"/>
    <col min="2823" max="2823" width="25.140625" style="64" customWidth="1"/>
    <col min="2824" max="3075" width="9.140625" style="64"/>
    <col min="3076" max="3076" width="20" style="64" customWidth="1"/>
    <col min="3077" max="3077" width="19.28515625" style="64" customWidth="1"/>
    <col min="3078" max="3078" width="60.140625" style="64" customWidth="1"/>
    <col min="3079" max="3079" width="25.140625" style="64" customWidth="1"/>
    <col min="3080" max="3331" width="9.140625" style="64"/>
    <col min="3332" max="3332" width="20" style="64" customWidth="1"/>
    <col min="3333" max="3333" width="19.28515625" style="64" customWidth="1"/>
    <col min="3334" max="3334" width="60.140625" style="64" customWidth="1"/>
    <col min="3335" max="3335" width="25.140625" style="64" customWidth="1"/>
    <col min="3336" max="3587" width="9.140625" style="64"/>
    <col min="3588" max="3588" width="20" style="64" customWidth="1"/>
    <col min="3589" max="3589" width="19.28515625" style="64" customWidth="1"/>
    <col min="3590" max="3590" width="60.140625" style="64" customWidth="1"/>
    <col min="3591" max="3591" width="25.140625" style="64" customWidth="1"/>
    <col min="3592" max="3843" width="9.140625" style="64"/>
    <col min="3844" max="3844" width="20" style="64" customWidth="1"/>
    <col min="3845" max="3845" width="19.28515625" style="64" customWidth="1"/>
    <col min="3846" max="3846" width="60.140625" style="64" customWidth="1"/>
    <col min="3847" max="3847" width="25.140625" style="64" customWidth="1"/>
    <col min="3848" max="4099" width="9.140625" style="64"/>
    <col min="4100" max="4100" width="20" style="64" customWidth="1"/>
    <col min="4101" max="4101" width="19.28515625" style="64" customWidth="1"/>
    <col min="4102" max="4102" width="60.140625" style="64" customWidth="1"/>
    <col min="4103" max="4103" width="25.140625" style="64" customWidth="1"/>
    <col min="4104" max="4355" width="9.140625" style="64"/>
    <col min="4356" max="4356" width="20" style="64" customWidth="1"/>
    <col min="4357" max="4357" width="19.28515625" style="64" customWidth="1"/>
    <col min="4358" max="4358" width="60.140625" style="64" customWidth="1"/>
    <col min="4359" max="4359" width="25.140625" style="64" customWidth="1"/>
    <col min="4360" max="4611" width="9.140625" style="64"/>
    <col min="4612" max="4612" width="20" style="64" customWidth="1"/>
    <col min="4613" max="4613" width="19.28515625" style="64" customWidth="1"/>
    <col min="4614" max="4614" width="60.140625" style="64" customWidth="1"/>
    <col min="4615" max="4615" width="25.140625" style="64" customWidth="1"/>
    <col min="4616" max="4867" width="9.140625" style="64"/>
    <col min="4868" max="4868" width="20" style="64" customWidth="1"/>
    <col min="4869" max="4869" width="19.28515625" style="64" customWidth="1"/>
    <col min="4870" max="4870" width="60.140625" style="64" customWidth="1"/>
    <col min="4871" max="4871" width="25.140625" style="64" customWidth="1"/>
    <col min="4872" max="5123" width="9.140625" style="64"/>
    <col min="5124" max="5124" width="20" style="64" customWidth="1"/>
    <col min="5125" max="5125" width="19.28515625" style="64" customWidth="1"/>
    <col min="5126" max="5126" width="60.140625" style="64" customWidth="1"/>
    <col min="5127" max="5127" width="25.140625" style="64" customWidth="1"/>
    <col min="5128" max="5379" width="9.140625" style="64"/>
    <col min="5380" max="5380" width="20" style="64" customWidth="1"/>
    <col min="5381" max="5381" width="19.28515625" style="64" customWidth="1"/>
    <col min="5382" max="5382" width="60.140625" style="64" customWidth="1"/>
    <col min="5383" max="5383" width="25.140625" style="64" customWidth="1"/>
    <col min="5384" max="5635" width="9.140625" style="64"/>
    <col min="5636" max="5636" width="20" style="64" customWidth="1"/>
    <col min="5637" max="5637" width="19.28515625" style="64" customWidth="1"/>
    <col min="5638" max="5638" width="60.140625" style="64" customWidth="1"/>
    <col min="5639" max="5639" width="25.140625" style="64" customWidth="1"/>
    <col min="5640" max="5891" width="9.140625" style="64"/>
    <col min="5892" max="5892" width="20" style="64" customWidth="1"/>
    <col min="5893" max="5893" width="19.28515625" style="64" customWidth="1"/>
    <col min="5894" max="5894" width="60.140625" style="64" customWidth="1"/>
    <col min="5895" max="5895" width="25.140625" style="64" customWidth="1"/>
    <col min="5896" max="6147" width="9.140625" style="64"/>
    <col min="6148" max="6148" width="20" style="64" customWidth="1"/>
    <col min="6149" max="6149" width="19.28515625" style="64" customWidth="1"/>
    <col min="6150" max="6150" width="60.140625" style="64" customWidth="1"/>
    <col min="6151" max="6151" width="25.140625" style="64" customWidth="1"/>
    <col min="6152" max="6403" width="9.140625" style="64"/>
    <col min="6404" max="6404" width="20" style="64" customWidth="1"/>
    <col min="6405" max="6405" width="19.28515625" style="64" customWidth="1"/>
    <col min="6406" max="6406" width="60.140625" style="64" customWidth="1"/>
    <col min="6407" max="6407" width="25.140625" style="64" customWidth="1"/>
    <col min="6408" max="6659" width="9.140625" style="64"/>
    <col min="6660" max="6660" width="20" style="64" customWidth="1"/>
    <col min="6661" max="6661" width="19.28515625" style="64" customWidth="1"/>
    <col min="6662" max="6662" width="60.140625" style="64" customWidth="1"/>
    <col min="6663" max="6663" width="25.140625" style="64" customWidth="1"/>
    <col min="6664" max="6915" width="9.140625" style="64"/>
    <col min="6916" max="6916" width="20" style="64" customWidth="1"/>
    <col min="6917" max="6917" width="19.28515625" style="64" customWidth="1"/>
    <col min="6918" max="6918" width="60.140625" style="64" customWidth="1"/>
    <col min="6919" max="6919" width="25.140625" style="64" customWidth="1"/>
    <col min="6920" max="7171" width="9.140625" style="64"/>
    <col min="7172" max="7172" width="20" style="64" customWidth="1"/>
    <col min="7173" max="7173" width="19.28515625" style="64" customWidth="1"/>
    <col min="7174" max="7174" width="60.140625" style="64" customWidth="1"/>
    <col min="7175" max="7175" width="25.140625" style="64" customWidth="1"/>
    <col min="7176" max="7427" width="9.140625" style="64"/>
    <col min="7428" max="7428" width="20" style="64" customWidth="1"/>
    <col min="7429" max="7429" width="19.28515625" style="64" customWidth="1"/>
    <col min="7430" max="7430" width="60.140625" style="64" customWidth="1"/>
    <col min="7431" max="7431" width="25.140625" style="64" customWidth="1"/>
    <col min="7432" max="7683" width="9.140625" style="64"/>
    <col min="7684" max="7684" width="20" style="64" customWidth="1"/>
    <col min="7685" max="7685" width="19.28515625" style="64" customWidth="1"/>
    <col min="7686" max="7686" width="60.140625" style="64" customWidth="1"/>
    <col min="7687" max="7687" width="25.140625" style="64" customWidth="1"/>
    <col min="7688" max="7939" width="9.140625" style="64"/>
    <col min="7940" max="7940" width="20" style="64" customWidth="1"/>
    <col min="7941" max="7941" width="19.28515625" style="64" customWidth="1"/>
    <col min="7942" max="7942" width="60.140625" style="64" customWidth="1"/>
    <col min="7943" max="7943" width="25.140625" style="64" customWidth="1"/>
    <col min="7944" max="8195" width="9.140625" style="64"/>
    <col min="8196" max="8196" width="20" style="64" customWidth="1"/>
    <col min="8197" max="8197" width="19.28515625" style="64" customWidth="1"/>
    <col min="8198" max="8198" width="60.140625" style="64" customWidth="1"/>
    <col min="8199" max="8199" width="25.140625" style="64" customWidth="1"/>
    <col min="8200" max="8451" width="9.140625" style="64"/>
    <col min="8452" max="8452" width="20" style="64" customWidth="1"/>
    <col min="8453" max="8453" width="19.28515625" style="64" customWidth="1"/>
    <col min="8454" max="8454" width="60.140625" style="64" customWidth="1"/>
    <col min="8455" max="8455" width="25.140625" style="64" customWidth="1"/>
    <col min="8456" max="8707" width="9.140625" style="64"/>
    <col min="8708" max="8708" width="20" style="64" customWidth="1"/>
    <col min="8709" max="8709" width="19.28515625" style="64" customWidth="1"/>
    <col min="8710" max="8710" width="60.140625" style="64" customWidth="1"/>
    <col min="8711" max="8711" width="25.140625" style="64" customWidth="1"/>
    <col min="8712" max="8963" width="9.140625" style="64"/>
    <col min="8964" max="8964" width="20" style="64" customWidth="1"/>
    <col min="8965" max="8965" width="19.28515625" style="64" customWidth="1"/>
    <col min="8966" max="8966" width="60.140625" style="64" customWidth="1"/>
    <col min="8967" max="8967" width="25.140625" style="64" customWidth="1"/>
    <col min="8968" max="9219" width="9.140625" style="64"/>
    <col min="9220" max="9220" width="20" style="64" customWidth="1"/>
    <col min="9221" max="9221" width="19.28515625" style="64" customWidth="1"/>
    <col min="9222" max="9222" width="60.140625" style="64" customWidth="1"/>
    <col min="9223" max="9223" width="25.140625" style="64" customWidth="1"/>
    <col min="9224" max="9475" width="9.140625" style="64"/>
    <col min="9476" max="9476" width="20" style="64" customWidth="1"/>
    <col min="9477" max="9477" width="19.28515625" style="64" customWidth="1"/>
    <col min="9478" max="9478" width="60.140625" style="64" customWidth="1"/>
    <col min="9479" max="9479" width="25.140625" style="64" customWidth="1"/>
    <col min="9480" max="9731" width="9.140625" style="64"/>
    <col min="9732" max="9732" width="20" style="64" customWidth="1"/>
    <col min="9733" max="9733" width="19.28515625" style="64" customWidth="1"/>
    <col min="9734" max="9734" width="60.140625" style="64" customWidth="1"/>
    <col min="9735" max="9735" width="25.140625" style="64" customWidth="1"/>
    <col min="9736" max="9987" width="9.140625" style="64"/>
    <col min="9988" max="9988" width="20" style="64" customWidth="1"/>
    <col min="9989" max="9989" width="19.28515625" style="64" customWidth="1"/>
    <col min="9990" max="9990" width="60.140625" style="64" customWidth="1"/>
    <col min="9991" max="9991" width="25.140625" style="64" customWidth="1"/>
    <col min="9992" max="10243" width="9.140625" style="64"/>
    <col min="10244" max="10244" width="20" style="64" customWidth="1"/>
    <col min="10245" max="10245" width="19.28515625" style="64" customWidth="1"/>
    <col min="10246" max="10246" width="60.140625" style="64" customWidth="1"/>
    <col min="10247" max="10247" width="25.140625" style="64" customWidth="1"/>
    <col min="10248" max="10499" width="9.140625" style="64"/>
    <col min="10500" max="10500" width="20" style="64" customWidth="1"/>
    <col min="10501" max="10501" width="19.28515625" style="64" customWidth="1"/>
    <col min="10502" max="10502" width="60.140625" style="64" customWidth="1"/>
    <col min="10503" max="10503" width="25.140625" style="64" customWidth="1"/>
    <col min="10504" max="10755" width="9.140625" style="64"/>
    <col min="10756" max="10756" width="20" style="64" customWidth="1"/>
    <col min="10757" max="10757" width="19.28515625" style="64" customWidth="1"/>
    <col min="10758" max="10758" width="60.140625" style="64" customWidth="1"/>
    <col min="10759" max="10759" width="25.140625" style="64" customWidth="1"/>
    <col min="10760" max="11011" width="9.140625" style="64"/>
    <col min="11012" max="11012" width="20" style="64" customWidth="1"/>
    <col min="11013" max="11013" width="19.28515625" style="64" customWidth="1"/>
    <col min="11014" max="11014" width="60.140625" style="64" customWidth="1"/>
    <col min="11015" max="11015" width="25.140625" style="64" customWidth="1"/>
    <col min="11016" max="11267" width="9.140625" style="64"/>
    <col min="11268" max="11268" width="20" style="64" customWidth="1"/>
    <col min="11269" max="11269" width="19.28515625" style="64" customWidth="1"/>
    <col min="11270" max="11270" width="60.140625" style="64" customWidth="1"/>
    <col min="11271" max="11271" width="25.140625" style="64" customWidth="1"/>
    <col min="11272" max="11523" width="9.140625" style="64"/>
    <col min="11524" max="11524" width="20" style="64" customWidth="1"/>
    <col min="11525" max="11525" width="19.28515625" style="64" customWidth="1"/>
    <col min="11526" max="11526" width="60.140625" style="64" customWidth="1"/>
    <col min="11527" max="11527" width="25.140625" style="64" customWidth="1"/>
    <col min="11528" max="11779" width="9.140625" style="64"/>
    <col min="11780" max="11780" width="20" style="64" customWidth="1"/>
    <col min="11781" max="11781" width="19.28515625" style="64" customWidth="1"/>
    <col min="11782" max="11782" width="60.140625" style="64" customWidth="1"/>
    <col min="11783" max="11783" width="25.140625" style="64" customWidth="1"/>
    <col min="11784" max="12035" width="9.140625" style="64"/>
    <col min="12036" max="12036" width="20" style="64" customWidth="1"/>
    <col min="12037" max="12037" width="19.28515625" style="64" customWidth="1"/>
    <col min="12038" max="12038" width="60.140625" style="64" customWidth="1"/>
    <col min="12039" max="12039" width="25.140625" style="64" customWidth="1"/>
    <col min="12040" max="12291" width="9.140625" style="64"/>
    <col min="12292" max="12292" width="20" style="64" customWidth="1"/>
    <col min="12293" max="12293" width="19.28515625" style="64" customWidth="1"/>
    <col min="12294" max="12294" width="60.140625" style="64" customWidth="1"/>
    <col min="12295" max="12295" width="25.140625" style="64" customWidth="1"/>
    <col min="12296" max="12547" width="9.140625" style="64"/>
    <col min="12548" max="12548" width="20" style="64" customWidth="1"/>
    <col min="12549" max="12549" width="19.28515625" style="64" customWidth="1"/>
    <col min="12550" max="12550" width="60.140625" style="64" customWidth="1"/>
    <col min="12551" max="12551" width="25.140625" style="64" customWidth="1"/>
    <col min="12552" max="12803" width="9.140625" style="64"/>
    <col min="12804" max="12804" width="20" style="64" customWidth="1"/>
    <col min="12805" max="12805" width="19.28515625" style="64" customWidth="1"/>
    <col min="12806" max="12806" width="60.140625" style="64" customWidth="1"/>
    <col min="12807" max="12807" width="25.140625" style="64" customWidth="1"/>
    <col min="12808" max="13059" width="9.140625" style="64"/>
    <col min="13060" max="13060" width="20" style="64" customWidth="1"/>
    <col min="13061" max="13061" width="19.28515625" style="64" customWidth="1"/>
    <col min="13062" max="13062" width="60.140625" style="64" customWidth="1"/>
    <col min="13063" max="13063" width="25.140625" style="64" customWidth="1"/>
    <col min="13064" max="13315" width="9.140625" style="64"/>
    <col min="13316" max="13316" width="20" style="64" customWidth="1"/>
    <col min="13317" max="13317" width="19.28515625" style="64" customWidth="1"/>
    <col min="13318" max="13318" width="60.140625" style="64" customWidth="1"/>
    <col min="13319" max="13319" width="25.140625" style="64" customWidth="1"/>
    <col min="13320" max="13571" width="9.140625" style="64"/>
    <col min="13572" max="13572" width="20" style="64" customWidth="1"/>
    <col min="13573" max="13573" width="19.28515625" style="64" customWidth="1"/>
    <col min="13574" max="13574" width="60.140625" style="64" customWidth="1"/>
    <col min="13575" max="13575" width="25.140625" style="64" customWidth="1"/>
    <col min="13576" max="13827" width="9.140625" style="64"/>
    <col min="13828" max="13828" width="20" style="64" customWidth="1"/>
    <col min="13829" max="13829" width="19.28515625" style="64" customWidth="1"/>
    <col min="13830" max="13830" width="60.140625" style="64" customWidth="1"/>
    <col min="13831" max="13831" width="25.140625" style="64" customWidth="1"/>
    <col min="13832" max="14083" width="9.140625" style="64"/>
    <col min="14084" max="14084" width="20" style="64" customWidth="1"/>
    <col min="14085" max="14085" width="19.28515625" style="64" customWidth="1"/>
    <col min="14086" max="14086" width="60.140625" style="64" customWidth="1"/>
    <col min="14087" max="14087" width="25.140625" style="64" customWidth="1"/>
    <col min="14088" max="14339" width="9.140625" style="64"/>
    <col min="14340" max="14340" width="20" style="64" customWidth="1"/>
    <col min="14341" max="14341" width="19.28515625" style="64" customWidth="1"/>
    <col min="14342" max="14342" width="60.140625" style="64" customWidth="1"/>
    <col min="14343" max="14343" width="25.140625" style="64" customWidth="1"/>
    <col min="14344" max="14595" width="9.140625" style="64"/>
    <col min="14596" max="14596" width="20" style="64" customWidth="1"/>
    <col min="14597" max="14597" width="19.28515625" style="64" customWidth="1"/>
    <col min="14598" max="14598" width="60.140625" style="64" customWidth="1"/>
    <col min="14599" max="14599" width="25.140625" style="64" customWidth="1"/>
    <col min="14600" max="14851" width="9.140625" style="64"/>
    <col min="14852" max="14852" width="20" style="64" customWidth="1"/>
    <col min="14853" max="14853" width="19.28515625" style="64" customWidth="1"/>
    <col min="14854" max="14854" width="60.140625" style="64" customWidth="1"/>
    <col min="14855" max="14855" width="25.140625" style="64" customWidth="1"/>
    <col min="14856" max="15107" width="9.140625" style="64"/>
    <col min="15108" max="15108" width="20" style="64" customWidth="1"/>
    <col min="15109" max="15109" width="19.28515625" style="64" customWidth="1"/>
    <col min="15110" max="15110" width="60.140625" style="64" customWidth="1"/>
    <col min="15111" max="15111" width="25.140625" style="64" customWidth="1"/>
    <col min="15112" max="15363" width="9.140625" style="64"/>
    <col min="15364" max="15364" width="20" style="64" customWidth="1"/>
    <col min="15365" max="15365" width="19.28515625" style="64" customWidth="1"/>
    <col min="15366" max="15366" width="60.140625" style="64" customWidth="1"/>
    <col min="15367" max="15367" width="25.140625" style="64" customWidth="1"/>
    <col min="15368" max="15619" width="9.140625" style="64"/>
    <col min="15620" max="15620" width="20" style="64" customWidth="1"/>
    <col min="15621" max="15621" width="19.28515625" style="64" customWidth="1"/>
    <col min="15622" max="15622" width="60.140625" style="64" customWidth="1"/>
    <col min="15623" max="15623" width="25.140625" style="64" customWidth="1"/>
    <col min="15624" max="15875" width="9.140625" style="64"/>
    <col min="15876" max="15876" width="20" style="64" customWidth="1"/>
    <col min="15877" max="15877" width="19.28515625" style="64" customWidth="1"/>
    <col min="15878" max="15878" width="60.140625" style="64" customWidth="1"/>
    <col min="15879" max="15879" width="25.140625" style="64" customWidth="1"/>
    <col min="15880" max="16131" width="9.140625" style="64"/>
    <col min="16132" max="16132" width="20" style="64" customWidth="1"/>
    <col min="16133" max="16133" width="19.28515625" style="64" customWidth="1"/>
    <col min="16134" max="16134" width="60.140625" style="64" customWidth="1"/>
    <col min="16135" max="16135" width="25.140625" style="64" customWidth="1"/>
    <col min="16136" max="16384" width="9.140625" style="64"/>
  </cols>
  <sheetData>
    <row r="1" spans="1:12" s="69" customFormat="1" ht="26.25" customHeight="1" thickBot="1" x14ac:dyDescent="0.3">
      <c r="A1" s="1315" t="s">
        <v>1732</v>
      </c>
      <c r="B1" s="1315"/>
      <c r="C1" s="1315"/>
      <c r="D1" s="1315"/>
      <c r="E1" s="1315"/>
      <c r="F1" s="1315"/>
      <c r="G1" s="1315"/>
      <c r="H1" s="1315"/>
      <c r="I1" s="1315"/>
      <c r="J1" s="1315"/>
      <c r="K1" s="1315"/>
      <c r="L1" s="1315"/>
    </row>
    <row r="2" spans="1:12" s="68" customFormat="1" ht="24.95" customHeight="1" x14ac:dyDescent="0.25">
      <c r="A2" s="1316" t="s">
        <v>1857</v>
      </c>
      <c r="B2" s="1316"/>
      <c r="C2" s="1316"/>
      <c r="D2" s="1316"/>
      <c r="E2" s="1316"/>
      <c r="F2" s="1316"/>
      <c r="G2" s="1316"/>
      <c r="H2" s="1316"/>
      <c r="I2" s="1316"/>
      <c r="J2" s="1316"/>
      <c r="K2" s="1316"/>
      <c r="L2" s="1316"/>
    </row>
    <row r="3" spans="1:12" ht="54.95" customHeight="1" x14ac:dyDescent="0.25">
      <c r="A3" s="1341" t="s">
        <v>1859</v>
      </c>
      <c r="B3" s="1341"/>
      <c r="C3" s="1341"/>
      <c r="D3" s="1341"/>
      <c r="E3" s="1341"/>
      <c r="F3" s="1341"/>
      <c r="G3" s="1341"/>
      <c r="H3" s="1341"/>
      <c r="I3" s="1341"/>
      <c r="J3" s="1341"/>
      <c r="K3" s="1341"/>
      <c r="L3" s="1341"/>
    </row>
    <row r="4" spans="1:12" ht="35.1" customHeight="1" thickBot="1" x14ac:dyDescent="0.3">
      <c r="A4" s="1341" t="s">
        <v>1531</v>
      </c>
      <c r="B4" s="1341"/>
      <c r="C4" s="1341"/>
      <c r="D4" s="1341"/>
      <c r="E4" s="1341"/>
      <c r="F4" s="1341"/>
      <c r="G4" s="1341"/>
      <c r="H4" s="1341"/>
      <c r="I4" s="1341"/>
      <c r="J4" s="1341"/>
      <c r="K4" s="1341"/>
      <c r="L4" s="1341"/>
    </row>
    <row r="5" spans="1:12" s="77" customFormat="1" ht="19.5" thickBot="1" x14ac:dyDescent="0.3">
      <c r="A5" s="1208" t="s">
        <v>1449</v>
      </c>
      <c r="B5" s="1208"/>
      <c r="C5" s="1208"/>
      <c r="D5" s="1208"/>
      <c r="E5" s="1208"/>
      <c r="F5" s="1208"/>
      <c r="G5" s="1208"/>
      <c r="H5" s="1208"/>
      <c r="I5" s="1208"/>
      <c r="J5" s="1208"/>
      <c r="K5" s="1208"/>
      <c r="L5" s="1208"/>
    </row>
    <row r="6" spans="1:12" ht="60" customHeight="1" x14ac:dyDescent="0.25">
      <c r="A6" s="1"/>
      <c r="B6" s="1"/>
      <c r="C6" s="1"/>
      <c r="D6" s="1"/>
      <c r="E6" s="1"/>
      <c r="F6" s="1"/>
      <c r="G6" s="1"/>
    </row>
    <row r="7" spans="1:12" s="65" customFormat="1" ht="24.95" customHeight="1" x14ac:dyDescent="0.25">
      <c r="A7" s="1210" t="s">
        <v>1425</v>
      </c>
      <c r="B7" s="1210"/>
      <c r="C7" s="1210"/>
      <c r="D7" s="1210"/>
      <c r="E7" s="1210"/>
      <c r="F7" s="1210"/>
      <c r="G7" s="1210"/>
    </row>
    <row r="8" spans="1:12" ht="24.95" customHeight="1" thickBot="1" x14ac:dyDescent="0.3">
      <c r="A8" s="1211" t="s">
        <v>1770</v>
      </c>
      <c r="B8" s="1211"/>
      <c r="C8" s="1211"/>
      <c r="D8" s="1211"/>
      <c r="E8" s="1211"/>
      <c r="F8" s="1211"/>
      <c r="G8" s="1211"/>
    </row>
    <row r="9" spans="1:12" ht="48.75" customHeight="1" thickBot="1" x14ac:dyDescent="0.3">
      <c r="A9" s="824" t="s">
        <v>1522</v>
      </c>
      <c r="B9" s="825" t="s">
        <v>1427</v>
      </c>
      <c r="C9" s="825" t="s">
        <v>1526</v>
      </c>
      <c r="D9" s="825" t="s">
        <v>1786</v>
      </c>
      <c r="E9" s="825" t="s">
        <v>1523</v>
      </c>
      <c r="F9" s="825" t="s">
        <v>1525</v>
      </c>
      <c r="G9" s="825" t="s">
        <v>1524</v>
      </c>
    </row>
    <row r="10" spans="1:12" ht="18" customHeight="1" x14ac:dyDescent="0.25">
      <c r="A10" s="300"/>
      <c r="B10" s="300"/>
      <c r="C10" s="300"/>
      <c r="D10" s="440"/>
      <c r="E10" s="440"/>
      <c r="F10" s="437"/>
      <c r="G10" s="301"/>
    </row>
    <row r="11" spans="1:12" ht="18" customHeight="1" x14ac:dyDescent="0.25">
      <c r="A11" s="291"/>
      <c r="B11" s="291"/>
      <c r="C11" s="291"/>
      <c r="D11" s="441"/>
      <c r="E11" s="441"/>
      <c r="F11" s="438"/>
      <c r="G11" s="292"/>
    </row>
    <row r="12" spans="1:12" ht="18" customHeight="1" x14ac:dyDescent="0.25">
      <c r="A12" s="291"/>
      <c r="B12" s="291"/>
      <c r="C12" s="291"/>
      <c r="D12" s="441"/>
      <c r="E12" s="441"/>
      <c r="F12" s="438"/>
      <c r="G12" s="292"/>
    </row>
    <row r="13" spans="1:12" ht="18" customHeight="1" x14ac:dyDescent="0.25">
      <c r="A13" s="291"/>
      <c r="B13" s="291"/>
      <c r="C13" s="291"/>
      <c r="D13" s="441"/>
      <c r="E13" s="441"/>
      <c r="F13" s="438"/>
      <c r="G13" s="292"/>
    </row>
    <row r="14" spans="1:12" ht="18" customHeight="1" x14ac:dyDescent="0.25">
      <c r="A14" s="291"/>
      <c r="B14" s="291"/>
      <c r="C14" s="291"/>
      <c r="D14" s="441"/>
      <c r="E14" s="441"/>
      <c r="F14" s="438"/>
      <c r="G14" s="292"/>
    </row>
    <row r="15" spans="1:12" ht="18" customHeight="1" x14ac:dyDescent="0.25">
      <c r="A15" s="291"/>
      <c r="B15" s="291"/>
      <c r="C15" s="291"/>
      <c r="D15" s="441"/>
      <c r="E15" s="441"/>
      <c r="F15" s="438"/>
      <c r="G15" s="292"/>
    </row>
    <row r="16" spans="1:12" ht="18" customHeight="1" x14ac:dyDescent="0.25">
      <c r="A16" s="291"/>
      <c r="B16" s="291"/>
      <c r="C16" s="291"/>
      <c r="D16" s="441"/>
      <c r="E16" s="441"/>
      <c r="F16" s="438"/>
      <c r="G16" s="292"/>
    </row>
    <row r="17" spans="1:7" ht="18" customHeight="1" x14ac:dyDescent="0.25">
      <c r="A17" s="291"/>
      <c r="B17" s="291"/>
      <c r="C17" s="291"/>
      <c r="D17" s="441"/>
      <c r="E17" s="441"/>
      <c r="F17" s="438"/>
      <c r="G17" s="292"/>
    </row>
    <row r="18" spans="1:7" ht="18" customHeight="1" x14ac:dyDescent="0.25">
      <c r="A18" s="291"/>
      <c r="B18" s="291"/>
      <c r="C18" s="291"/>
      <c r="D18" s="441"/>
      <c r="E18" s="441"/>
      <c r="F18" s="438"/>
      <c r="G18" s="292"/>
    </row>
    <row r="19" spans="1:7" ht="18" customHeight="1" x14ac:dyDescent="0.25">
      <c r="A19" s="291"/>
      <c r="B19" s="291"/>
      <c r="C19" s="291"/>
      <c r="D19" s="441"/>
      <c r="E19" s="441"/>
      <c r="F19" s="438"/>
      <c r="G19" s="292"/>
    </row>
    <row r="20" spans="1:7" ht="18" customHeight="1" x14ac:dyDescent="0.25">
      <c r="A20" s="291"/>
      <c r="B20" s="291"/>
      <c r="C20" s="291"/>
      <c r="D20" s="441"/>
      <c r="E20" s="441"/>
      <c r="F20" s="438"/>
      <c r="G20" s="292"/>
    </row>
    <row r="21" spans="1:7" ht="18" customHeight="1" x14ac:dyDescent="0.25">
      <c r="A21" s="291"/>
      <c r="B21" s="291"/>
      <c r="C21" s="291"/>
      <c r="D21" s="441"/>
      <c r="E21" s="441"/>
      <c r="F21" s="438"/>
      <c r="G21" s="292"/>
    </row>
    <row r="22" spans="1:7" ht="18" customHeight="1" x14ac:dyDescent="0.25">
      <c r="A22" s="291"/>
      <c r="B22" s="291"/>
      <c r="C22" s="291"/>
      <c r="D22" s="441"/>
      <c r="E22" s="441"/>
      <c r="F22" s="438"/>
      <c r="G22" s="292"/>
    </row>
    <row r="23" spans="1:7" ht="18" customHeight="1" x14ac:dyDescent="0.25">
      <c r="A23" s="291"/>
      <c r="B23" s="291"/>
      <c r="C23" s="291"/>
      <c r="D23" s="441"/>
      <c r="E23" s="441"/>
      <c r="F23" s="438"/>
      <c r="G23" s="292"/>
    </row>
    <row r="24" spans="1:7" ht="18" customHeight="1" x14ac:dyDescent="0.25">
      <c r="A24" s="291"/>
      <c r="B24" s="291"/>
      <c r="C24" s="291"/>
      <c r="D24" s="441"/>
      <c r="E24" s="441"/>
      <c r="F24" s="438"/>
      <c r="G24" s="292"/>
    </row>
    <row r="25" spans="1:7" ht="18" customHeight="1" x14ac:dyDescent="0.25">
      <c r="A25" s="291"/>
      <c r="B25" s="291"/>
      <c r="C25" s="291"/>
      <c r="D25" s="441"/>
      <c r="E25" s="441"/>
      <c r="F25" s="438"/>
      <c r="G25" s="292"/>
    </row>
    <row r="26" spans="1:7" ht="18" customHeight="1" x14ac:dyDescent="0.25">
      <c r="A26" s="291"/>
      <c r="B26" s="291"/>
      <c r="C26" s="291"/>
      <c r="D26" s="441"/>
      <c r="E26" s="441"/>
      <c r="F26" s="438"/>
      <c r="G26" s="292"/>
    </row>
    <row r="27" spans="1:7" ht="18" customHeight="1" x14ac:dyDescent="0.25">
      <c r="A27" s="291"/>
      <c r="B27" s="291"/>
      <c r="C27" s="291"/>
      <c r="D27" s="441"/>
      <c r="E27" s="441"/>
      <c r="F27" s="438"/>
      <c r="G27" s="292"/>
    </row>
    <row r="28" spans="1:7" ht="18" customHeight="1" x14ac:dyDescent="0.25">
      <c r="A28" s="291"/>
      <c r="B28" s="291"/>
      <c r="C28" s="291"/>
      <c r="D28" s="441"/>
      <c r="E28" s="441"/>
      <c r="F28" s="438"/>
      <c r="G28" s="292"/>
    </row>
    <row r="29" spans="1:7" ht="18" customHeight="1" x14ac:dyDescent="0.25">
      <c r="A29" s="291"/>
      <c r="B29" s="291"/>
      <c r="C29" s="291"/>
      <c r="D29" s="441"/>
      <c r="E29" s="441"/>
      <c r="F29" s="438"/>
      <c r="G29" s="292"/>
    </row>
    <row r="30" spans="1:7" ht="18" customHeight="1" x14ac:dyDescent="0.25">
      <c r="A30" s="291"/>
      <c r="B30" s="291"/>
      <c r="C30" s="291"/>
      <c r="D30" s="441"/>
      <c r="E30" s="441"/>
      <c r="F30" s="438"/>
      <c r="G30" s="292"/>
    </row>
    <row r="31" spans="1:7" ht="18" customHeight="1" x14ac:dyDescent="0.25">
      <c r="A31" s="291"/>
      <c r="B31" s="291"/>
      <c r="C31" s="291"/>
      <c r="D31" s="441"/>
      <c r="E31" s="441"/>
      <c r="F31" s="438"/>
      <c r="G31" s="292"/>
    </row>
    <row r="32" spans="1:7" ht="18" customHeight="1" x14ac:dyDescent="0.25">
      <c r="A32" s="291"/>
      <c r="B32" s="291"/>
      <c r="C32" s="291"/>
      <c r="D32" s="441"/>
      <c r="E32" s="441"/>
      <c r="F32" s="438"/>
      <c r="G32" s="292"/>
    </row>
    <row r="33" spans="1:7" ht="18" customHeight="1" x14ac:dyDescent="0.25">
      <c r="A33" s="291"/>
      <c r="B33" s="291"/>
      <c r="C33" s="291"/>
      <c r="D33" s="441"/>
      <c r="E33" s="441"/>
      <c r="F33" s="438"/>
      <c r="G33" s="292"/>
    </row>
    <row r="34" spans="1:7" ht="18" customHeight="1" x14ac:dyDescent="0.25">
      <c r="A34" s="291"/>
      <c r="B34" s="291"/>
      <c r="C34" s="291"/>
      <c r="D34" s="441"/>
      <c r="E34" s="441"/>
      <c r="F34" s="438"/>
      <c r="G34" s="292"/>
    </row>
    <row r="35" spans="1:7" ht="18" customHeight="1" x14ac:dyDescent="0.25">
      <c r="A35" s="291"/>
      <c r="B35" s="291"/>
      <c r="C35" s="291"/>
      <c r="D35" s="441"/>
      <c r="E35" s="441"/>
      <c r="F35" s="438"/>
      <c r="G35" s="292"/>
    </row>
    <row r="36" spans="1:7" ht="18" customHeight="1" x14ac:dyDescent="0.25">
      <c r="A36" s="291"/>
      <c r="B36" s="291"/>
      <c r="C36" s="291"/>
      <c r="D36" s="441"/>
      <c r="E36" s="441"/>
      <c r="F36" s="438"/>
      <c r="G36" s="292"/>
    </row>
    <row r="37" spans="1:7" ht="18" customHeight="1" x14ac:dyDescent="0.25">
      <c r="A37" s="291"/>
      <c r="B37" s="291"/>
      <c r="C37" s="291"/>
      <c r="D37" s="441"/>
      <c r="E37" s="441"/>
      <c r="F37" s="438"/>
      <c r="G37" s="292"/>
    </row>
    <row r="38" spans="1:7" ht="18" customHeight="1" x14ac:dyDescent="0.25">
      <c r="A38" s="291"/>
      <c r="B38" s="291"/>
      <c r="C38" s="291"/>
      <c r="D38" s="441"/>
      <c r="E38" s="441"/>
      <c r="F38" s="438"/>
      <c r="G38" s="292"/>
    </row>
    <row r="39" spans="1:7" ht="18" customHeight="1" x14ac:dyDescent="0.25">
      <c r="A39" s="291"/>
      <c r="B39" s="291"/>
      <c r="C39" s="291"/>
      <c r="D39" s="441"/>
      <c r="E39" s="441"/>
      <c r="F39" s="438"/>
      <c r="G39" s="292"/>
    </row>
    <row r="40" spans="1:7" ht="18" customHeight="1" x14ac:dyDescent="0.25">
      <c r="A40" s="291"/>
      <c r="B40" s="291"/>
      <c r="C40" s="291"/>
      <c r="D40" s="441"/>
      <c r="E40" s="441"/>
      <c r="F40" s="438"/>
      <c r="G40" s="292"/>
    </row>
    <row r="41" spans="1:7" ht="18" customHeight="1" x14ac:dyDescent="0.25">
      <c r="A41" s="291"/>
      <c r="B41" s="291"/>
      <c r="C41" s="291"/>
      <c r="D41" s="441"/>
      <c r="E41" s="441"/>
      <c r="F41" s="438"/>
      <c r="G41" s="292"/>
    </row>
    <row r="42" spans="1:7" ht="18" customHeight="1" x14ac:dyDescent="0.25">
      <c r="A42" s="291"/>
      <c r="B42" s="291"/>
      <c r="C42" s="291"/>
      <c r="D42" s="441"/>
      <c r="E42" s="441"/>
      <c r="F42" s="438"/>
      <c r="G42" s="292"/>
    </row>
    <row r="43" spans="1:7" ht="18" customHeight="1" x14ac:dyDescent="0.25">
      <c r="A43" s="291"/>
      <c r="B43" s="291"/>
      <c r="C43" s="291"/>
      <c r="D43" s="441"/>
      <c r="E43" s="441"/>
      <c r="F43" s="438"/>
      <c r="G43" s="292"/>
    </row>
    <row r="44" spans="1:7" ht="18" customHeight="1" x14ac:dyDescent="0.25">
      <c r="A44" s="291"/>
      <c r="B44" s="291"/>
      <c r="C44" s="291"/>
      <c r="D44" s="441"/>
      <c r="E44" s="441"/>
      <c r="F44" s="438"/>
      <c r="G44" s="292"/>
    </row>
    <row r="45" spans="1:7" ht="18" customHeight="1" x14ac:dyDescent="0.25">
      <c r="A45" s="291"/>
      <c r="B45" s="291"/>
      <c r="C45" s="291"/>
      <c r="D45" s="441"/>
      <c r="E45" s="441"/>
      <c r="F45" s="438"/>
      <c r="G45" s="292"/>
    </row>
    <row r="46" spans="1:7" ht="18" customHeight="1" x14ac:dyDescent="0.25">
      <c r="A46" s="291"/>
      <c r="B46" s="291"/>
      <c r="C46" s="291"/>
      <c r="D46" s="441"/>
      <c r="E46" s="441"/>
      <c r="F46" s="438"/>
      <c r="G46" s="292"/>
    </row>
    <row r="47" spans="1:7" ht="18" customHeight="1" x14ac:dyDescent="0.25">
      <c r="A47" s="291"/>
      <c r="B47" s="291"/>
      <c r="C47" s="291"/>
      <c r="D47" s="441"/>
      <c r="E47" s="441"/>
      <c r="F47" s="438"/>
      <c r="G47" s="292"/>
    </row>
    <row r="48" spans="1:7" ht="18" customHeight="1" x14ac:dyDescent="0.25">
      <c r="A48" s="291"/>
      <c r="B48" s="291"/>
      <c r="C48" s="291"/>
      <c r="D48" s="441"/>
      <c r="E48" s="441"/>
      <c r="F48" s="438"/>
      <c r="G48" s="292"/>
    </row>
    <row r="49" spans="1:7" ht="18" customHeight="1" x14ac:dyDescent="0.25">
      <c r="A49" s="291"/>
      <c r="B49" s="291"/>
      <c r="C49" s="291"/>
      <c r="D49" s="441"/>
      <c r="E49" s="441"/>
      <c r="F49" s="438"/>
      <c r="G49" s="292"/>
    </row>
    <row r="50" spans="1:7" ht="18" customHeight="1" x14ac:dyDescent="0.25">
      <c r="A50" s="291"/>
      <c r="B50" s="291"/>
      <c r="C50" s="291"/>
      <c r="D50" s="441"/>
      <c r="E50" s="441"/>
      <c r="F50" s="438"/>
      <c r="G50" s="292"/>
    </row>
    <row r="51" spans="1:7" ht="18" customHeight="1" thickBot="1" x14ac:dyDescent="0.3">
      <c r="A51" s="295"/>
      <c r="B51" s="295"/>
      <c r="C51" s="295"/>
      <c r="D51" s="442"/>
      <c r="E51" s="442"/>
      <c r="F51" s="439"/>
      <c r="G51" s="296"/>
    </row>
  </sheetData>
  <sheetProtection algorithmName="SHA-512" hashValue="DaLsCwEQ6v0+AEiwMq6hm+OKxbQhS5BCgZamBV67pK5gFM1CIzP+oq6pUScNJBWaw5wwboKKFfEkxWY5CCaDiQ==" saltValue="73ogKvMGOMBp1+/Q9zo3fA==" spinCount="100000" sheet="1" objects="1" scenarios="1"/>
  <dataConsolidate/>
  <mergeCells count="7">
    <mergeCell ref="A2:L2"/>
    <mergeCell ref="A1:L1"/>
    <mergeCell ref="A4:L4"/>
    <mergeCell ref="A7:G7"/>
    <mergeCell ref="A8:G8"/>
    <mergeCell ref="A5:L5"/>
    <mergeCell ref="A3:L3"/>
  </mergeCells>
  <conditionalFormatting sqref="B10:G51">
    <cfRule type="expression" dxfId="272" priority="1">
      <formula>AND(NOT(ISBLANK($A10)),ISBLANK(B10))</formula>
    </cfRule>
  </conditionalFormatting>
  <conditionalFormatting sqref="D10:G51">
    <cfRule type="expression" dxfId="271" priority="7">
      <formula>ISTEXT(D10)</formula>
    </cfRule>
  </conditionalFormatting>
  <printOptions horizontalCentered="1"/>
  <pageMargins left="0.5" right="0.5" top="0.5" bottom="0.5" header="0.3" footer="0.3"/>
  <pageSetup scale="83" fitToHeight="0" orientation="portrait" r:id="rId1"/>
  <headerFooter>
    <oddFooter>&amp;LRev. 7/2016&amp;C&amp;A&amp;RPage &amp;P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EF681682EC704BB878543D12109C81" ma:contentTypeVersion="17" ma:contentTypeDescription="Create a new document." ma:contentTypeScope="" ma:versionID="203c420e379586e11b20c53015a1eeed">
  <xsd:schema xmlns:xsd="http://www.w3.org/2001/XMLSchema" xmlns:xs="http://www.w3.org/2001/XMLSchema" xmlns:p="http://schemas.microsoft.com/office/2006/metadata/properties" xmlns:ns2="a083c677-6098-4787-8b0e-371f794aa9c9" xmlns:ns3="450bd885-cecc-4b21-9a0b-1ff36c4d60e5" targetNamespace="http://schemas.microsoft.com/office/2006/metadata/properties" ma:root="true" ma:fieldsID="d7b1895afe5589d731225449980cf5b4" ns2:_="" ns3:_="">
    <xsd:import namespace="a083c677-6098-4787-8b0e-371f794aa9c9"/>
    <xsd:import namespace="450bd885-cecc-4b21-9a0b-1ff36c4d60e5"/>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Numerical" minOccurs="0"/>
                <xsd:element ref="ns2:Dat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83c677-6098-4787-8b0e-371f794aa9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fafd8c6-40d2-456d-aa62-e18fefc5cdf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Numerical" ma:index="21" nillable="true" ma:displayName="Numerical" ma:format="Dropdown" ma:internalName="Numerical" ma:percentage="FALSE">
      <xsd:simpleType>
        <xsd:restriction base="dms:Number"/>
      </xsd:simpleType>
    </xsd:element>
    <xsd:element name="Date" ma:index="22" nillable="true" ma:displayName="Date" ma:format="DateOnly" ma:internalName="Date">
      <xsd:simpleType>
        <xsd:restriction base="dms:DateTim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0bd885-cecc-4b21-9a0b-1ff36c4d60e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36d801-0412-4f9b-a102-7f13e69035b4}" ma:internalName="TaxCatchAll" ma:showField="CatchAllData" ma:web="450bd885-cecc-4b21-9a0b-1ff36c4d60e5">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083c677-6098-4787-8b0e-371f794aa9c9">
      <Terms xmlns="http://schemas.microsoft.com/office/infopath/2007/PartnerControls"/>
    </lcf76f155ced4ddcb4097134ff3c332f>
    <TaxCatchAll xmlns="450bd885-cecc-4b21-9a0b-1ff36c4d60e5" xsi:nil="true"/>
    <Numerical xmlns="a083c677-6098-4787-8b0e-371f794aa9c9" xsi:nil="true"/>
    <Date xmlns="a083c677-6098-4787-8b0e-371f794aa9c9" xsi:nil="true"/>
  </documentManagement>
</p:properties>
</file>

<file path=customXml/itemProps1.xml><?xml version="1.0" encoding="utf-8"?>
<ds:datastoreItem xmlns:ds="http://schemas.openxmlformats.org/officeDocument/2006/customXml" ds:itemID="{D6E58B00-D932-4663-A996-65E94CC29C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83c677-6098-4787-8b0e-371f794aa9c9"/>
    <ds:schemaRef ds:uri="450bd885-cecc-4b21-9a0b-1ff36c4d60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817A05-08AA-4A63-A3A2-FE6AE7C336B3}">
  <ds:schemaRefs>
    <ds:schemaRef ds:uri="http://schemas.microsoft.com/sharepoint/v3/contenttype/forms"/>
  </ds:schemaRefs>
</ds:datastoreItem>
</file>

<file path=customXml/itemProps3.xml><?xml version="1.0" encoding="utf-8"?>
<ds:datastoreItem xmlns:ds="http://schemas.openxmlformats.org/officeDocument/2006/customXml" ds:itemID="{0E5618E2-2737-4CB4-ACAD-ED918C8EC59B}">
  <ds:schemaRefs>
    <ds:schemaRef ds:uri="http://schemas.microsoft.com/office/2006/metadata/properties"/>
    <ds:schemaRef ds:uri="http://schemas.microsoft.com/office/infopath/2007/PartnerControls"/>
    <ds:schemaRef ds:uri="a083c677-6098-4787-8b0e-371f794aa9c9"/>
    <ds:schemaRef ds:uri="450bd885-cecc-4b21-9a0b-1ff36c4d60e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56</vt:i4>
      </vt:variant>
    </vt:vector>
  </HeadingPairs>
  <TitlesOfParts>
    <vt:vector size="86" baseType="lpstr">
      <vt:lpstr>Introduction</vt:lpstr>
      <vt:lpstr>Section 1| General Information</vt:lpstr>
      <vt:lpstr>Section 2| Source Information</vt:lpstr>
      <vt:lpstr>Table 3-A| Emission Units</vt:lpstr>
      <vt:lpstr>Table 3-B| Stack Info</vt:lpstr>
      <vt:lpstr>Section 4 Instructions</vt:lpstr>
      <vt:lpstr>Table 4-A| Insignificant List</vt:lpstr>
      <vt:lpstr>Table 4-B| Oil Storage</vt:lpstr>
      <vt:lpstr>Table 4-C| Cooling Towers</vt:lpstr>
      <vt:lpstr>Table 5-A| Primary MPTE</vt:lpstr>
      <vt:lpstr>Table 5-B| Reclaim MPTE</vt:lpstr>
      <vt:lpstr>Table 5-C| MPTE VOC</vt:lpstr>
      <vt:lpstr>Table 5-D| MPTE HAP</vt:lpstr>
      <vt:lpstr>Table 5-E| MPTE Thresholds</vt:lpstr>
      <vt:lpstr>Section 6| Source Class</vt:lpstr>
      <vt:lpstr>Table 6-A| Controls &amp; Limits</vt:lpstr>
      <vt:lpstr>Table 6-B| Emission Limits</vt:lpstr>
      <vt:lpstr>Table 7-A| Primary APTE</vt:lpstr>
      <vt:lpstr>Table 7-B| Reclaim APTE</vt:lpstr>
      <vt:lpstr>Table 7-C| APTE VOC</vt:lpstr>
      <vt:lpstr>Table 7-D| APTE HAP</vt:lpstr>
      <vt:lpstr>Table 7-E| APTE Thresholds</vt:lpstr>
      <vt:lpstr>Section 8| Applicable Rules</vt:lpstr>
      <vt:lpstr>Section 9| Compliance Plan</vt:lpstr>
      <vt:lpstr>Table 9-A| Compliance Schedule</vt:lpstr>
      <vt:lpstr>Application Checklist</vt:lpstr>
      <vt:lpstr>GWPs</vt:lpstr>
      <vt:lpstr>HAP CAS &amp; Names</vt:lpstr>
      <vt:lpstr>2012NAICS</vt:lpstr>
      <vt:lpstr>Emission Controls</vt:lpstr>
      <vt:lpstr>'2012NAICS'!Print_Area</vt:lpstr>
      <vt:lpstr>'Application Checklist'!Print_Area</vt:lpstr>
      <vt:lpstr>'Emission Controls'!Print_Area</vt:lpstr>
      <vt:lpstr>GWPs!Print_Area</vt:lpstr>
      <vt:lpstr>'HAP CAS &amp; Names'!Print_Area</vt:lpstr>
      <vt:lpstr>Introduction!Print_Area</vt:lpstr>
      <vt:lpstr>'Section 1| General Information'!Print_Area</vt:lpstr>
      <vt:lpstr>'Section 2| Source Information'!Print_Area</vt:lpstr>
      <vt:lpstr>'Section 4 Instructions'!Print_Area</vt:lpstr>
      <vt:lpstr>'Section 6| Source Class'!Print_Area</vt:lpstr>
      <vt:lpstr>'Section 8| Applicable Rules'!Print_Area</vt:lpstr>
      <vt:lpstr>'Section 9| Compliance Plan'!Print_Area</vt:lpstr>
      <vt:lpstr>'Table 3-A| Emission Units'!Print_Area</vt:lpstr>
      <vt:lpstr>'Table 3-B| Stack Info'!Print_Area</vt:lpstr>
      <vt:lpstr>'Table 4-A| Insignificant List'!Print_Area</vt:lpstr>
      <vt:lpstr>'Table 4-B| Oil Storage'!Print_Area</vt:lpstr>
      <vt:lpstr>'Table 4-C| Cooling Towers'!Print_Area</vt:lpstr>
      <vt:lpstr>'Table 5-A| Primary MPTE'!Print_Area</vt:lpstr>
      <vt:lpstr>'Table 5-B| Reclaim MPTE'!Print_Area</vt:lpstr>
      <vt:lpstr>'Table 5-C| MPTE VOC'!Print_Area</vt:lpstr>
      <vt:lpstr>'Table 5-D| MPTE HAP'!Print_Area</vt:lpstr>
      <vt:lpstr>'Table 5-E| MPTE Thresholds'!Print_Area</vt:lpstr>
      <vt:lpstr>'Table 6-A| Controls &amp; Limits'!Print_Area</vt:lpstr>
      <vt:lpstr>'Table 6-B| Emission Limits'!Print_Area</vt:lpstr>
      <vt:lpstr>'Table 7-A| Primary APTE'!Print_Area</vt:lpstr>
      <vt:lpstr>'Table 7-B| Reclaim APTE'!Print_Area</vt:lpstr>
      <vt:lpstr>'Table 7-C| APTE VOC'!Print_Area</vt:lpstr>
      <vt:lpstr>'Table 7-D| APTE HAP'!Print_Area</vt:lpstr>
      <vt:lpstr>'Table 7-E| APTE Thresholds'!Print_Area</vt:lpstr>
      <vt:lpstr>'Table 9-A| Compliance Schedule'!Print_Area</vt:lpstr>
      <vt:lpstr>'2012NAICS'!Print_Titles</vt:lpstr>
      <vt:lpstr>'Application Checklist'!Print_Titles</vt:lpstr>
      <vt:lpstr>'Section 1| General Information'!Print_Titles</vt:lpstr>
      <vt:lpstr>'Section 2| Source Information'!Print_Titles</vt:lpstr>
      <vt:lpstr>'Section 8| Applicable Rules'!Print_Titles</vt:lpstr>
      <vt:lpstr>'Section 9| Compliance Plan'!Print_Titles</vt:lpstr>
      <vt:lpstr>'Table 3-A| Emission Units'!Print_Titles</vt:lpstr>
      <vt:lpstr>'Table 3-B| Stack Info'!Print_Titles</vt:lpstr>
      <vt:lpstr>'Table 4-A| Insignificant List'!Print_Titles</vt:lpstr>
      <vt:lpstr>'Table 4-B| Oil Storage'!Print_Titles</vt:lpstr>
      <vt:lpstr>'Table 4-C| Cooling Towers'!Print_Titles</vt:lpstr>
      <vt:lpstr>'Table 5-A| Primary MPTE'!Print_Titles</vt:lpstr>
      <vt:lpstr>'Table 5-B| Reclaim MPTE'!Print_Titles</vt:lpstr>
      <vt:lpstr>'Table 5-C| MPTE VOC'!Print_Titles</vt:lpstr>
      <vt:lpstr>'Table 5-D| MPTE HAP'!Print_Titles</vt:lpstr>
      <vt:lpstr>'Table 5-E| MPTE Thresholds'!Print_Titles</vt:lpstr>
      <vt:lpstr>'Table 6-A| Controls &amp; Limits'!Print_Titles</vt:lpstr>
      <vt:lpstr>'Table 6-B| Emission Limits'!Print_Titles</vt:lpstr>
      <vt:lpstr>'Table 7-A| Primary APTE'!Print_Titles</vt:lpstr>
      <vt:lpstr>'Table 7-B| Reclaim APTE'!Print_Titles</vt:lpstr>
      <vt:lpstr>'Table 7-C| APTE VOC'!Print_Titles</vt:lpstr>
      <vt:lpstr>'Table 7-D| APTE HAP'!Print_Titles</vt:lpstr>
      <vt:lpstr>'Table 9-A| Compliance Schedule'!Print_Titles</vt:lpstr>
      <vt:lpstr>'Table 5-B| Reclaim MPTE'!Text224</vt:lpstr>
      <vt:lpstr>'Table 6-A| Controls &amp; Limits'!Text224</vt:lpstr>
      <vt:lpstr>'Table 7-B| Reclaim APTE'!Text224</vt:lpstr>
    </vt:vector>
  </TitlesOfParts>
  <Company>City of Lincoln, 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R. Bergstrom Jr.</dc:creator>
  <cp:lastModifiedBy>Gary R. Bergstrom</cp:lastModifiedBy>
  <cp:lastPrinted>2016-05-19T20:34:54Z</cp:lastPrinted>
  <dcterms:created xsi:type="dcterms:W3CDTF">2012-01-24T19:39:47Z</dcterms:created>
  <dcterms:modified xsi:type="dcterms:W3CDTF">2025-01-07T15:56:07Z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0x0101002BEF681682EC704BB878543D12109C81</vt:lpwstr>
  </property>
  <property fmtid="{D5CDD505-2E9C-101B-9397-08002B2CF9AE}" pid="3" name="Order">
    <vt:r8>823800</vt:r8>
  </property>
  <property fmtid="{D5CDD505-2E9C-101B-9397-08002B2CF9AE}" pid="4" name="MediaServiceImageTags">
    <vt:lpwstr/>
  </property>
</Properties>
</file>