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3.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drawings/drawing4.xml" ContentType="application/vnd.openxmlformats-officedocument.drawing+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drawings/drawing21.xml" ContentType="application/vnd.openxmlformats-officedocument.drawing+xml"/>
  <Override PartName="/xl/ctrlProps/ctrlProp165.xml" ContentType="application/vnd.ms-excel.controlproperties+xml"/>
  <Override PartName="/xl/ctrlProps/ctrlProp166.xml" ContentType="application/vnd.ms-excel.controlproperties+xml"/>
  <Override PartName="/xl/drawings/drawing22.xml" ContentType="application/vnd.openxmlformats-officedocument.drawing+xml"/>
  <Override PartName="/xl/drawings/drawing23.xml" ContentType="application/vnd.openxmlformats-officedocument.drawing+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defaultThemeVersion="124226"/>
  <mc:AlternateContent xmlns:mc="http://schemas.openxmlformats.org/markup-compatibility/2006">
    <mc:Choice Requires="x15">
      <x15ac:absPath xmlns:x15ac="http://schemas.microsoft.com/office/spreadsheetml/2010/11/ac" url="https://linclanc.sharepoint.com/sites/HealthENV/Shared Documents/Air/Webpages/airforms/Up-to-Date Forms/"/>
    </mc:Choice>
  </mc:AlternateContent>
  <xr:revisionPtr revIDLastSave="122" documentId="11_B398EC07E6C522B0FCFBB9352E0C2A91C6E070E1" xr6:coauthVersionLast="47" xr6:coauthVersionMax="47" xr10:uidLastSave="{30CE65CF-F2F5-408E-A9D5-3A4EF94C99B5}"/>
  <bookViews>
    <workbookView xWindow="-120" yWindow="-120" windowWidth="29040" windowHeight="15720" tabRatio="797" xr2:uid="{00000000-000D-0000-FFFF-FFFF00000000}"/>
  </bookViews>
  <sheets>
    <sheet name="Introduction" sheetId="23" r:id="rId1"/>
    <sheet name="Section 1| General Information" sheetId="18" r:id="rId2"/>
    <sheet name="Section 2| Source Information" sheetId="21" r:id="rId3"/>
    <sheet name="Table 3-A| Emission Units" sheetId="8" r:id="rId4"/>
    <sheet name="Table 3-B| Stack Info" sheetId="10" r:id="rId5"/>
    <sheet name="Section 4 Instructions" sheetId="24" r:id="rId6"/>
    <sheet name="Table 4-A| Insignificant List" sheetId="9" r:id="rId7"/>
    <sheet name="Table 4-B| Oil Storage" sheetId="22" r:id="rId8"/>
    <sheet name="Table 4-C| Cooling Towers" sheetId="25" r:id="rId9"/>
    <sheet name="Table 5-A| Criteria MPTE" sheetId="3" r:id="rId10"/>
    <sheet name="Table 5-B| MPTE VOC" sheetId="2" r:id="rId11"/>
    <sheet name="Table 5-C| MPTE HAP" sheetId="4" r:id="rId12"/>
    <sheet name="Table 5-D| MPTE Thresholds" sheetId="12" r:id="rId13"/>
    <sheet name="Section 6| Source Class" sheetId="26" r:id="rId14"/>
    <sheet name="Table 6-A| Controls &amp; Limits" sheetId="31" r:id="rId15"/>
    <sheet name="Table 6-B| Emission Limits" sheetId="41" r:id="rId16"/>
    <sheet name="Table 7-A| Facility-Wide APTE" sheetId="27" r:id="rId17"/>
    <sheet name="Table 7-B| APTE VOC" sheetId="28" r:id="rId18"/>
    <sheet name="Table 7-C| APTE HAP" sheetId="33" r:id="rId19"/>
    <sheet name="Table 7-D| APTE Thresholds" sheetId="30" r:id="rId20"/>
    <sheet name="Section 8| Applicable Rules" sheetId="35" r:id="rId21"/>
    <sheet name="Section 9| Compliance Plan" sheetId="38" r:id="rId22"/>
    <sheet name="Table 9-A| Compliance Schedule" sheetId="37" r:id="rId23"/>
    <sheet name="Application Checklist" sheetId="39" r:id="rId24"/>
    <sheet name="GWPs" sheetId="11" r:id="rId25"/>
    <sheet name="HAP CAS &amp; Names" sheetId="13" r:id="rId26"/>
    <sheet name="2012NAICS" sheetId="20" r:id="rId27"/>
    <sheet name="Emission Controls" sheetId="32" r:id="rId28"/>
  </sheets>
  <definedNames>
    <definedName name="_ftnref1" localSheetId="27">'Emission Controls'!#REF!</definedName>
    <definedName name="_ftnref2" localSheetId="27">'Emission Controls'!#REF!</definedName>
    <definedName name="_ftnref3" localSheetId="27">'Emission Controls'!#REF!</definedName>
    <definedName name="_ftnref4" localSheetId="27">'Emission Controls'!#REF!</definedName>
    <definedName name="_ftnref5" localSheetId="27">'Emission Controls'!#REF!</definedName>
    <definedName name="_ftnref6" localSheetId="27">'Emission Controls'!#REF!</definedName>
    <definedName name="_xlnm.Print_Area" localSheetId="26">'2012NAICS'!$A$1:$B$1067</definedName>
    <definedName name="_xlnm.Print_Area" localSheetId="23">'Application Checklist'!$A$7:$F$31</definedName>
    <definedName name="_xlnm.Print_Area" localSheetId="27">'Emission Controls'!$A$1:$L$33</definedName>
    <definedName name="_xlnm.Print_Area" localSheetId="24">GWPs!$A$1:$E$44</definedName>
    <definedName name="_xlnm.Print_Area" localSheetId="25">'HAP CAS &amp; Names'!$B$3:$D$186</definedName>
    <definedName name="_xlnm.Print_Area" localSheetId="0">Introduction!$B$2:$K$20</definedName>
    <definedName name="_xlnm.Print_Area" localSheetId="1">'Section 1| General Information'!$A$1:$F$71</definedName>
    <definedName name="_xlnm.Print_Area" localSheetId="2">'Section 2| Source Information'!$A$1:$G$43</definedName>
    <definedName name="_xlnm.Print_Area" localSheetId="5">'Section 4 Instructions'!$A$1:$R$68</definedName>
    <definedName name="_xlnm.Print_Area" localSheetId="13">'Section 6| Source Class'!$A$1:$F$29</definedName>
    <definedName name="_xlnm.Print_Area" localSheetId="20">'Section 8| Applicable Rules'!$A$20:$F$128</definedName>
    <definedName name="_xlnm.Print_Area" localSheetId="21">'Section 9| Compliance Plan'!$A$8:$F$30</definedName>
    <definedName name="_xlnm.Print_Area" localSheetId="3">'Table 3-A| Emission Units'!$A$37:$E$130</definedName>
    <definedName name="_xlnm.Print_Area" localSheetId="4">'Table 3-B| Stack Info'!$A$33:$L$63</definedName>
    <definedName name="_xlnm.Print_Area" localSheetId="6">'Table 4-A| Insignificant List'!$A$9:$B$52</definedName>
    <definedName name="_xlnm.Print_Area" localSheetId="7">'Table 4-B| Oil Storage'!$A$5:$E$48</definedName>
    <definedName name="_xlnm.Print_Area" localSheetId="8">'Table 4-C| Cooling Towers'!$A$6:$G$51</definedName>
    <definedName name="_xlnm.Print_Area" localSheetId="9">'Table 5-A| Criteria MPTE'!$A$95:$O$188</definedName>
    <definedName name="_xlnm.Print_Area" localSheetId="10">'Table 5-B| MPTE VOC'!$A$24:$K$62</definedName>
    <definedName name="_xlnm.Print_Area" localSheetId="11">'Table 5-C| MPTE HAP'!$A$32:$L$69</definedName>
    <definedName name="_xlnm.Print_Area" localSheetId="12">'Table 5-D| MPTE Thresholds'!$A$7:$F$26</definedName>
    <definedName name="_xlnm.Print_Area" localSheetId="14">'Table 6-A| Controls &amp; Limits'!$A$14:$J$107</definedName>
    <definedName name="_xlnm.Print_Area" localSheetId="15">'Table 6-B| Emission Limits'!$A$18:$N$57</definedName>
    <definedName name="_xlnm.Print_Area" localSheetId="16">'Table 7-A| Facility-Wide APTE'!$A$7:$M$100</definedName>
    <definedName name="_xlnm.Print_Area" localSheetId="17">'Table 7-B| APTE VOC'!$A$17:$L$55</definedName>
    <definedName name="_xlnm.Print_Area" localSheetId="18">'Table 7-C| APTE HAP'!$A$23:$L$60</definedName>
    <definedName name="_xlnm.Print_Area" localSheetId="19">'Table 7-D| APTE Thresholds'!$A$8:$F$27</definedName>
    <definedName name="_xlnm.Print_Area" localSheetId="22">'Table 9-A| Compliance Schedule'!$A$7:$F$188</definedName>
    <definedName name="_xlnm.Print_Titles" localSheetId="26">'2012NAICS'!$1:$1</definedName>
    <definedName name="_xlnm.Print_Titles" localSheetId="23">'Application Checklist'!$7:$8</definedName>
    <definedName name="_xlnm.Print_Titles" localSheetId="1">'Section 1| General Information'!$9:$9</definedName>
    <definedName name="_xlnm.Print_Titles" localSheetId="2">'Section 2| Source Information'!$1:$2</definedName>
    <definedName name="_xlnm.Print_Titles" localSheetId="20">'Section 8| Applicable Rules'!$20:$21</definedName>
    <definedName name="_xlnm.Print_Titles" localSheetId="21">'Section 9| Compliance Plan'!$8:$9</definedName>
    <definedName name="_xlnm.Print_Titles" localSheetId="3">'Table 3-A| Emission Units'!$37:$41</definedName>
    <definedName name="_xlnm.Print_Titles" localSheetId="4">'Table 3-B| Stack Info'!$33:$39</definedName>
    <definedName name="_xlnm.Print_Titles" localSheetId="6">'Table 4-A| Insignificant List'!$9:$12</definedName>
    <definedName name="_xlnm.Print_Titles" localSheetId="7">'Table 4-B| Oil Storage'!$5:$8</definedName>
    <definedName name="_xlnm.Print_Titles" localSheetId="8">'Table 4-C| Cooling Towers'!$6:$9</definedName>
    <definedName name="_xlnm.Print_Titles" localSheetId="9">'Table 5-A| Criteria MPTE'!$95:$99</definedName>
    <definedName name="_xlnm.Print_Titles" localSheetId="10">'Table 5-B| MPTE VOC'!$24:$29</definedName>
    <definedName name="_xlnm.Print_Titles" localSheetId="11">'Table 5-C| MPTE HAP'!$32:$37</definedName>
    <definedName name="_xlnm.Print_Titles" localSheetId="12">'Table 5-D| MPTE Thresholds'!$7:$9</definedName>
    <definedName name="_xlnm.Print_Titles" localSheetId="14">'Table 6-A| Controls &amp; Limits'!$14:$18</definedName>
    <definedName name="_xlnm.Print_Titles" localSheetId="15">'Table 6-B| Emission Limits'!$29:$33</definedName>
    <definedName name="_xlnm.Print_Titles" localSheetId="16">'Table 7-A| Facility-Wide APTE'!$7:$11</definedName>
    <definedName name="_xlnm.Print_Titles" localSheetId="17">'Table 7-B| APTE VOC'!$17:$22</definedName>
    <definedName name="_xlnm.Print_Titles" localSheetId="18">'Table 7-C| APTE HAP'!$23:$28</definedName>
    <definedName name="_xlnm.Print_Titles" localSheetId="22">'Table 9-A| Compliance Schedule'!$7:$8</definedName>
    <definedName name="Text224" localSheetId="4">'Table 3-B| Stack Info'!#REF!</definedName>
    <definedName name="Text224" localSheetId="9">'Table 5-A| Criteria MPTE'!$A$100</definedName>
    <definedName name="Text224" localSheetId="14">'Table 6-A| Controls &amp; Limits'!$A$19</definedName>
    <definedName name="Text224" localSheetId="15">'Table 6-B| Emission Limits'!#REF!</definedName>
    <definedName name="Text224" localSheetId="16">'Table 7-A| Facility-Wide APTE'!$A$12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1" i="18" l="1"/>
  <c r="N43" i="8"/>
  <c r="C100" i="27"/>
  <c r="D100" i="27"/>
  <c r="C99" i="27"/>
  <c r="D99" i="27"/>
  <c r="C98" i="27"/>
  <c r="D98" i="27"/>
  <c r="C97" i="27"/>
  <c r="D97" i="27"/>
  <c r="C96" i="27"/>
  <c r="D96" i="27"/>
  <c r="C95" i="27"/>
  <c r="D95" i="27"/>
  <c r="C94" i="27"/>
  <c r="D94" i="27"/>
  <c r="C93" i="27"/>
  <c r="D93" i="27"/>
  <c r="C92" i="27"/>
  <c r="D92" i="27"/>
  <c r="C91" i="27"/>
  <c r="D91" i="27"/>
  <c r="C90" i="27"/>
  <c r="D90" i="27"/>
  <c r="C89" i="27"/>
  <c r="D89" i="27"/>
  <c r="C88" i="27"/>
  <c r="D88" i="27"/>
  <c r="C87" i="27"/>
  <c r="D87" i="27"/>
  <c r="C86" i="27"/>
  <c r="D86" i="27"/>
  <c r="C85" i="27"/>
  <c r="D85" i="27"/>
  <c r="C84" i="27"/>
  <c r="D84" i="27"/>
  <c r="C83" i="27"/>
  <c r="D83" i="27"/>
  <c r="C82" i="27"/>
  <c r="D82" i="27"/>
  <c r="C81" i="27"/>
  <c r="D81" i="27"/>
  <c r="C80" i="27"/>
  <c r="D80" i="27"/>
  <c r="C79" i="27"/>
  <c r="D79" i="27"/>
  <c r="A107" i="31"/>
  <c r="L107" i="31"/>
  <c r="A106" i="31"/>
  <c r="L106" i="31"/>
  <c r="A105" i="31"/>
  <c r="L105" i="31"/>
  <c r="A104" i="31"/>
  <c r="L104" i="31"/>
  <c r="A103" i="31"/>
  <c r="L103" i="31"/>
  <c r="A102" i="31"/>
  <c r="L102" i="31"/>
  <c r="A101" i="31"/>
  <c r="L101" i="31"/>
  <c r="A100" i="31"/>
  <c r="L100" i="31"/>
  <c r="A99" i="31"/>
  <c r="L99" i="31"/>
  <c r="A98" i="31"/>
  <c r="L98" i="31"/>
  <c r="A97" i="31"/>
  <c r="L97" i="31"/>
  <c r="A96" i="31"/>
  <c r="L96" i="31"/>
  <c r="A95" i="31"/>
  <c r="L95" i="31"/>
  <c r="A94" i="31"/>
  <c r="L94" i="31"/>
  <c r="A93" i="31"/>
  <c r="L93" i="31"/>
  <c r="A92" i="31"/>
  <c r="L92" i="31"/>
  <c r="A91" i="31"/>
  <c r="L91" i="31"/>
  <c r="A90" i="31"/>
  <c r="L90" i="31"/>
  <c r="A89" i="31"/>
  <c r="L89" i="31"/>
  <c r="A88" i="31"/>
  <c r="L88" i="31"/>
  <c r="A87" i="31"/>
  <c r="L87" i="31"/>
  <c r="L42" i="31"/>
  <c r="L41" i="31"/>
  <c r="A165" i="3"/>
  <c r="A84" i="31"/>
  <c r="L84" i="31"/>
  <c r="A160" i="3"/>
  <c r="A79" i="31"/>
  <c r="L79" i="31"/>
  <c r="A155" i="3"/>
  <c r="A74" i="31"/>
  <c r="L74" i="31"/>
  <c r="A150" i="3"/>
  <c r="A69" i="31"/>
  <c r="L69" i="31"/>
  <c r="A145" i="3"/>
  <c r="A64" i="31"/>
  <c r="L64" i="31"/>
  <c r="A140" i="3"/>
  <c r="A59" i="31"/>
  <c r="L59" i="31"/>
  <c r="A131" i="3"/>
  <c r="A50" i="31"/>
  <c r="L50" i="31"/>
  <c r="A126" i="3"/>
  <c r="A45" i="31"/>
  <c r="L45" i="31"/>
  <c r="A124" i="3"/>
  <c r="A43" i="31"/>
  <c r="L43" i="31"/>
  <c r="A121" i="3"/>
  <c r="A40" i="31"/>
  <c r="L40" i="31"/>
  <c r="A114" i="3"/>
  <c r="A33" i="31"/>
  <c r="L33" i="31"/>
  <c r="A107" i="3"/>
  <c r="A26" i="31"/>
  <c r="L26" i="31"/>
  <c r="A100" i="3"/>
  <c r="A19" i="31"/>
  <c r="L19" i="31"/>
  <c r="C9" i="3"/>
  <c r="K11" i="3"/>
  <c r="L11" i="3"/>
  <c r="E81" i="8"/>
  <c r="E79" i="8"/>
  <c r="E77" i="8"/>
  <c r="E75" i="8"/>
  <c r="J11" i="3" a="1"/>
  <c r="J11" i="3"/>
  <c r="N9" i="3"/>
  <c r="M9" i="3" s="1"/>
  <c r="L9" i="3" s="1"/>
  <c r="K9" i="3" s="1"/>
  <c r="J9" i="3" s="1"/>
  <c r="J6" i="3" a="1"/>
  <c r="J6" i="3"/>
  <c r="N4" i="3"/>
  <c r="M4" i="3" s="1"/>
  <c r="L4" i="3" s="1"/>
  <c r="K4" i="3" s="1"/>
  <c r="J4" i="3" s="1"/>
  <c r="C78" i="27"/>
  <c r="D78" i="27"/>
  <c r="C76" i="27"/>
  <c r="D76" i="27"/>
  <c r="C75" i="27"/>
  <c r="D75" i="27"/>
  <c r="C74" i="27"/>
  <c r="D74" i="27"/>
  <c r="C73" i="27"/>
  <c r="D73" i="27"/>
  <c r="C71" i="27"/>
  <c r="D71" i="27"/>
  <c r="C70" i="27"/>
  <c r="D70" i="27"/>
  <c r="C69" i="27"/>
  <c r="D69" i="27"/>
  <c r="C68" i="27"/>
  <c r="D68" i="27"/>
  <c r="C66" i="27"/>
  <c r="D66" i="27"/>
  <c r="C65" i="27"/>
  <c r="D65" i="27"/>
  <c r="C64" i="27"/>
  <c r="D64" i="27"/>
  <c r="C63" i="27"/>
  <c r="D63" i="27"/>
  <c r="C61" i="27"/>
  <c r="D61" i="27"/>
  <c r="C60" i="27"/>
  <c r="D60" i="27"/>
  <c r="C59" i="27"/>
  <c r="D59" i="27"/>
  <c r="C58" i="27"/>
  <c r="D58" i="27"/>
  <c r="C56" i="27"/>
  <c r="D56" i="27"/>
  <c r="C55" i="27"/>
  <c r="D55" i="27"/>
  <c r="C54" i="27"/>
  <c r="D54" i="27"/>
  <c r="C53" i="27"/>
  <c r="D53" i="27"/>
  <c r="C50" i="27"/>
  <c r="D50" i="27"/>
  <c r="C48" i="27"/>
  <c r="D48" i="27"/>
  <c r="C46" i="27"/>
  <c r="D46" i="27"/>
  <c r="C44" i="27"/>
  <c r="D44" i="27"/>
  <c r="C42" i="27"/>
  <c r="D42" i="27"/>
  <c r="C41" i="27"/>
  <c r="D41" i="27"/>
  <c r="C40" i="27"/>
  <c r="D40" i="27"/>
  <c r="C39" i="27"/>
  <c r="D39" i="27"/>
  <c r="C32" i="27"/>
  <c r="D32" i="27"/>
  <c r="C31" i="27"/>
  <c r="D31" i="27"/>
  <c r="C30" i="27"/>
  <c r="D30" i="27"/>
  <c r="C29" i="27"/>
  <c r="D29" i="27"/>
  <c r="C28" i="27"/>
  <c r="D28" i="27"/>
  <c r="C27" i="27"/>
  <c r="D27" i="27"/>
  <c r="C25" i="27"/>
  <c r="D25" i="27"/>
  <c r="C24" i="27"/>
  <c r="D24" i="27"/>
  <c r="C23" i="27"/>
  <c r="D23" i="27"/>
  <c r="C22" i="27"/>
  <c r="D22" i="27"/>
  <c r="C21" i="27"/>
  <c r="D21" i="27"/>
  <c r="C20" i="27"/>
  <c r="D20" i="27"/>
  <c r="C18" i="27"/>
  <c r="D18" i="27"/>
  <c r="C17" i="27"/>
  <c r="D17" i="27"/>
  <c r="C16" i="27"/>
  <c r="D16" i="27"/>
  <c r="C15" i="27"/>
  <c r="D15" i="27"/>
  <c r="C14" i="27"/>
  <c r="D14" i="27"/>
  <c r="C13" i="27"/>
  <c r="D13" i="27"/>
  <c r="A100" i="27"/>
  <c r="B100" i="27"/>
  <c r="A99" i="27"/>
  <c r="B99" i="27"/>
  <c r="A98" i="27"/>
  <c r="B98" i="27"/>
  <c r="A97" i="27"/>
  <c r="B97" i="27"/>
  <c r="A96" i="27"/>
  <c r="B96" i="27"/>
  <c r="A95" i="27"/>
  <c r="B95" i="27"/>
  <c r="A94" i="27"/>
  <c r="B94" i="27"/>
  <c r="A93" i="27"/>
  <c r="B93" i="27"/>
  <c r="A92" i="27"/>
  <c r="B92" i="27"/>
  <c r="A91" i="27"/>
  <c r="B91" i="27"/>
  <c r="A90" i="27"/>
  <c r="B90" i="27"/>
  <c r="A89" i="27"/>
  <c r="B89" i="27"/>
  <c r="A88" i="27"/>
  <c r="B88" i="27"/>
  <c r="A87" i="27"/>
  <c r="B87" i="27"/>
  <c r="A86" i="27"/>
  <c r="B86" i="27"/>
  <c r="A85" i="27"/>
  <c r="B85" i="27"/>
  <c r="A84" i="27"/>
  <c r="B84" i="27"/>
  <c r="A83" i="27"/>
  <c r="B83" i="27"/>
  <c r="A82" i="27"/>
  <c r="B82" i="27"/>
  <c r="A81" i="27"/>
  <c r="B81" i="27"/>
  <c r="A80" i="27"/>
  <c r="B80" i="27"/>
  <c r="A79" i="27"/>
  <c r="B79" i="27"/>
  <c r="A86" i="31"/>
  <c r="E188" i="3"/>
  <c r="E187" i="3"/>
  <c r="E186" i="3"/>
  <c r="E185" i="3"/>
  <c r="E184" i="3"/>
  <c r="E183" i="3"/>
  <c r="E182" i="3"/>
  <c r="E181" i="3"/>
  <c r="E180" i="3"/>
  <c r="E179" i="3"/>
  <c r="E178" i="3"/>
  <c r="E177" i="3"/>
  <c r="E176" i="3"/>
  <c r="E175" i="3"/>
  <c r="E174" i="3"/>
  <c r="E173" i="3"/>
  <c r="E172" i="3"/>
  <c r="E171" i="3"/>
  <c r="E170" i="3"/>
  <c r="E169" i="3"/>
  <c r="E168" i="3"/>
  <c r="E167" i="3"/>
  <c r="E166" i="3"/>
  <c r="B188" i="3"/>
  <c r="B187" i="3"/>
  <c r="B186" i="3"/>
  <c r="B185" i="3"/>
  <c r="B184" i="3"/>
  <c r="B183" i="3"/>
  <c r="B182" i="3"/>
  <c r="B181" i="3"/>
  <c r="B180" i="3"/>
  <c r="B179" i="3"/>
  <c r="B178" i="3"/>
  <c r="B177" i="3"/>
  <c r="B176" i="3"/>
  <c r="B175" i="3"/>
  <c r="B174" i="3"/>
  <c r="B173" i="3"/>
  <c r="B172" i="3"/>
  <c r="B171" i="3"/>
  <c r="B170" i="3"/>
  <c r="B169" i="3"/>
  <c r="B168" i="3"/>
  <c r="B167" i="3"/>
  <c r="B166" i="3"/>
  <c r="A188" i="3"/>
  <c r="A187" i="3"/>
  <c r="A186" i="3"/>
  <c r="A185" i="3"/>
  <c r="A184" i="3"/>
  <c r="A183" i="3"/>
  <c r="A182" i="3"/>
  <c r="A181" i="3"/>
  <c r="A180" i="3"/>
  <c r="A179" i="3"/>
  <c r="A178" i="3"/>
  <c r="A177" i="3"/>
  <c r="A176" i="3"/>
  <c r="A175" i="3"/>
  <c r="A174" i="3"/>
  <c r="A173" i="3"/>
  <c r="A172" i="3"/>
  <c r="A171" i="3"/>
  <c r="A170" i="3"/>
  <c r="A169" i="3"/>
  <c r="A168" i="3"/>
  <c r="A167" i="3"/>
  <c r="A166" i="3"/>
  <c r="A39" i="8"/>
  <c r="B67" i="8"/>
  <c r="C48" i="8"/>
  <c r="C47" i="8"/>
  <c r="C46" i="8"/>
  <c r="C45" i="8"/>
  <c r="C44" i="8"/>
  <c r="C43" i="8"/>
  <c r="E67" i="8"/>
  <c r="L44" i="31"/>
  <c r="N65" i="8"/>
  <c r="N64" i="8"/>
  <c r="B64" i="8"/>
  <c r="N62" i="8"/>
  <c r="A62" i="8"/>
  <c r="B120" i="3"/>
  <c r="Z120" i="3"/>
  <c r="N61" i="8"/>
  <c r="N60" i="8"/>
  <c r="N59" i="8"/>
  <c r="N58" i="8"/>
  <c r="B58" i="8"/>
  <c r="F58" i="8"/>
  <c r="N57" i="8"/>
  <c r="B57" i="8"/>
  <c r="F57" i="8"/>
  <c r="N55" i="8"/>
  <c r="B55" i="8"/>
  <c r="F55" i="8"/>
  <c r="N54" i="8"/>
  <c r="B54" i="8"/>
  <c r="F54" i="8"/>
  <c r="N53" i="8"/>
  <c r="B53" i="8"/>
  <c r="F53" i="8"/>
  <c r="N52" i="8"/>
  <c r="B52" i="8"/>
  <c r="F52" i="8"/>
  <c r="N51" i="8"/>
  <c r="B51" i="8"/>
  <c r="F51" i="8"/>
  <c r="N48" i="8"/>
  <c r="A48" i="8"/>
  <c r="N47" i="8"/>
  <c r="N46" i="8"/>
  <c r="N45" i="8"/>
  <c r="N44" i="8"/>
  <c r="B44" i="8"/>
  <c r="F44" i="8"/>
  <c r="M64" i="8"/>
  <c r="M57" i="8"/>
  <c r="N50" i="8"/>
  <c r="B50" i="8"/>
  <c r="F50" i="8"/>
  <c r="M50" i="8"/>
  <c r="B43" i="8"/>
  <c r="F43" i="8"/>
  <c r="M43" i="8"/>
  <c r="A57" i="8"/>
  <c r="A115" i="3"/>
  <c r="B65" i="8"/>
  <c r="A54" i="8"/>
  <c r="A112" i="3"/>
  <c r="N22" i="3"/>
  <c r="A55" i="8"/>
  <c r="B113" i="3"/>
  <c r="S113" i="3"/>
  <c r="B59" i="8"/>
  <c r="F59" i="8"/>
  <c r="B60" i="8"/>
  <c r="F60" i="8"/>
  <c r="B61" i="8"/>
  <c r="F61" i="8"/>
  <c r="B62" i="8"/>
  <c r="F62" i="8"/>
  <c r="A50" i="8"/>
  <c r="A58" i="8"/>
  <c r="A116" i="3"/>
  <c r="A59" i="8"/>
  <c r="A117" i="3"/>
  <c r="B45" i="8"/>
  <c r="F45" i="8"/>
  <c r="B46" i="8"/>
  <c r="F46" i="8"/>
  <c r="A43" i="8"/>
  <c r="B47" i="8"/>
  <c r="F47" i="8"/>
  <c r="A52" i="8"/>
  <c r="B48" i="8"/>
  <c r="F48" i="8"/>
  <c r="A53" i="8"/>
  <c r="B106" i="3"/>
  <c r="Y106" i="3"/>
  <c r="A106" i="3"/>
  <c r="A44" i="8"/>
  <c r="A51" i="8"/>
  <c r="A67" i="8"/>
  <c r="B44" i="31"/>
  <c r="A32" i="27"/>
  <c r="B32" i="27"/>
  <c r="A39" i="31"/>
  <c r="L39" i="31"/>
  <c r="A47" i="8"/>
  <c r="A120" i="3"/>
  <c r="U120" i="3"/>
  <c r="S120" i="3"/>
  <c r="T120" i="3"/>
  <c r="Y113" i="3"/>
  <c r="AA113" i="3"/>
  <c r="Y120" i="3"/>
  <c r="X120" i="3"/>
  <c r="W120" i="3"/>
  <c r="V120" i="3"/>
  <c r="A78" i="27"/>
  <c r="B78" i="27"/>
  <c r="A85" i="31"/>
  <c r="L85" i="31"/>
  <c r="AA120" i="3"/>
  <c r="A34" i="31"/>
  <c r="L34" i="31"/>
  <c r="J26" i="3"/>
  <c r="A27" i="27"/>
  <c r="U113" i="3"/>
  <c r="X113" i="3"/>
  <c r="A60" i="8"/>
  <c r="A61" i="8"/>
  <c r="A64" i="8"/>
  <c r="A65" i="8"/>
  <c r="A45" i="8"/>
  <c r="A103" i="3"/>
  <c r="L14" i="3"/>
  <c r="A46" i="8"/>
  <c r="G112" i="3"/>
  <c r="Z113" i="3"/>
  <c r="A31" i="31"/>
  <c r="L31" i="31"/>
  <c r="B112" i="3"/>
  <c r="Z112" i="3"/>
  <c r="T113" i="3"/>
  <c r="A24" i="27"/>
  <c r="B24" i="27"/>
  <c r="A113" i="3"/>
  <c r="H113" i="3"/>
  <c r="W113" i="3"/>
  <c r="A32" i="31"/>
  <c r="L32" i="31"/>
  <c r="H112" i="3"/>
  <c r="V113" i="3"/>
  <c r="A25" i="27"/>
  <c r="B25" i="27"/>
  <c r="V112" i="3"/>
  <c r="O14" i="3"/>
  <c r="B16" i="3"/>
  <c r="G120" i="3"/>
  <c r="AA106" i="3"/>
  <c r="X112" i="3"/>
  <c r="Y112" i="3"/>
  <c r="S112" i="3"/>
  <c r="G106" i="3"/>
  <c r="A15" i="27"/>
  <c r="B15" i="27"/>
  <c r="H106" i="3"/>
  <c r="A35" i="31"/>
  <c r="L35" i="31"/>
  <c r="T106" i="3"/>
  <c r="U106" i="3"/>
  <c r="X106" i="3"/>
  <c r="A36" i="31"/>
  <c r="L36" i="31"/>
  <c r="V106" i="3"/>
  <c r="A29" i="27"/>
  <c r="K26" i="3"/>
  <c r="L26" i="3"/>
  <c r="A28" i="27"/>
  <c r="W106" i="3"/>
  <c r="Z106" i="3"/>
  <c r="S106" i="3"/>
  <c r="B108" i="3"/>
  <c r="A108" i="3"/>
  <c r="J22" i="3"/>
  <c r="A119" i="3"/>
  <c r="A38" i="31"/>
  <c r="L38" i="31"/>
  <c r="A118" i="3"/>
  <c r="A30" i="27"/>
  <c r="B105" i="3"/>
  <c r="A105" i="3"/>
  <c r="A101" i="3"/>
  <c r="B101" i="3"/>
  <c r="B110" i="3"/>
  <c r="A110" i="3"/>
  <c r="L22" i="3"/>
  <c r="B122" i="3"/>
  <c r="A122" i="3"/>
  <c r="A34" i="27"/>
  <c r="B34" i="27"/>
  <c r="O26" i="3"/>
  <c r="H120" i="3"/>
  <c r="A102" i="3"/>
  <c r="K14" i="3"/>
  <c r="B102" i="3"/>
  <c r="A22" i="31"/>
  <c r="L22" i="31"/>
  <c r="A125" i="3"/>
  <c r="B125" i="3"/>
  <c r="A104" i="3"/>
  <c r="B104" i="3"/>
  <c r="A18" i="27"/>
  <c r="B18" i="27"/>
  <c r="A111" i="3"/>
  <c r="M22" i="3"/>
  <c r="B111" i="3"/>
  <c r="A25" i="31"/>
  <c r="L25" i="31"/>
  <c r="B123" i="3"/>
  <c r="A123" i="3"/>
  <c r="B109" i="3"/>
  <c r="A109" i="3"/>
  <c r="K22" i="3"/>
  <c r="B103" i="3"/>
  <c r="G113" i="3"/>
  <c r="W112" i="3"/>
  <c r="A41" i="31"/>
  <c r="T112" i="3"/>
  <c r="AA112" i="3"/>
  <c r="O22" i="3"/>
  <c r="U112" i="3"/>
  <c r="A16" i="27"/>
  <c r="B16" i="27"/>
  <c r="M14" i="3"/>
  <c r="A17" i="27"/>
  <c r="B17" i="27"/>
  <c r="N14" i="3"/>
  <c r="P23" i="3" a="1"/>
  <c r="P23" i="3"/>
  <c r="Q23" i="3" a="1"/>
  <c r="Q23" i="3"/>
  <c r="A22" i="27"/>
  <c r="B22" i="27"/>
  <c r="A31" i="27"/>
  <c r="A21" i="31"/>
  <c r="L21" i="31"/>
  <c r="A29" i="31"/>
  <c r="L29" i="31"/>
  <c r="A37" i="31"/>
  <c r="L37" i="31"/>
  <c r="A23" i="31"/>
  <c r="L23" i="31"/>
  <c r="A20" i="27"/>
  <c r="B20" i="27"/>
  <c r="A27" i="31"/>
  <c r="L27" i="31"/>
  <c r="X108" i="3"/>
  <c r="AA108" i="3"/>
  <c r="Y108" i="3"/>
  <c r="Z108" i="3"/>
  <c r="U108" i="3"/>
  <c r="V108" i="3"/>
  <c r="W108" i="3"/>
  <c r="M123" i="3"/>
  <c r="I123" i="3"/>
  <c r="K123" i="3"/>
  <c r="L123" i="3"/>
  <c r="J123" i="3"/>
  <c r="N123" i="3"/>
  <c r="O123" i="3"/>
  <c r="Y105" i="3"/>
  <c r="AA105" i="3"/>
  <c r="S105" i="3"/>
  <c r="Z105" i="3"/>
  <c r="W105" i="3"/>
  <c r="X105" i="3"/>
  <c r="V105" i="3"/>
  <c r="U105" i="3"/>
  <c r="T105" i="3"/>
  <c r="A24" i="31"/>
  <c r="L24" i="31"/>
  <c r="S125" i="3"/>
  <c r="T125" i="3"/>
  <c r="X125" i="3"/>
  <c r="Y125" i="3"/>
  <c r="AA125" i="3"/>
  <c r="W125" i="3"/>
  <c r="V125" i="3"/>
  <c r="Z125" i="3"/>
  <c r="U125" i="3"/>
  <c r="M26" i="3"/>
  <c r="U111" i="3"/>
  <c r="Y111" i="3"/>
  <c r="X111" i="3"/>
  <c r="W111" i="3"/>
  <c r="V111" i="3"/>
  <c r="AA111" i="3"/>
  <c r="Z111" i="3"/>
  <c r="A30" i="31"/>
  <c r="L30" i="31"/>
  <c r="A23" i="27"/>
  <c r="B23" i="27"/>
  <c r="N122" i="3"/>
  <c r="J122" i="3"/>
  <c r="O122" i="3"/>
  <c r="I122" i="3"/>
  <c r="K122" i="3"/>
  <c r="L122" i="3"/>
  <c r="M122" i="3"/>
  <c r="A42" i="31"/>
  <c r="T103" i="3"/>
  <c r="AA103" i="3"/>
  <c r="V103" i="3"/>
  <c r="S103" i="3"/>
  <c r="U103" i="3"/>
  <c r="Y103" i="3"/>
  <c r="Z103" i="3"/>
  <c r="X103" i="3"/>
  <c r="W103" i="3"/>
  <c r="A35" i="27"/>
  <c r="B35" i="27"/>
  <c r="T101" i="3"/>
  <c r="X101" i="3"/>
  <c r="U101" i="3"/>
  <c r="AA101" i="3"/>
  <c r="S101" i="3"/>
  <c r="W101" i="3"/>
  <c r="Z101" i="3"/>
  <c r="V101" i="3"/>
  <c r="Y101" i="3"/>
  <c r="Y102" i="3"/>
  <c r="U102" i="3"/>
  <c r="X102" i="3"/>
  <c r="AA102" i="3"/>
  <c r="W102" i="3"/>
  <c r="V102" i="3"/>
  <c r="Z102" i="3"/>
  <c r="T102" i="3"/>
  <c r="S102" i="3"/>
  <c r="O125" i="3"/>
  <c r="I125" i="3"/>
  <c r="J125" i="3"/>
  <c r="K125" i="3"/>
  <c r="M125" i="3"/>
  <c r="A44" i="31"/>
  <c r="A37" i="27"/>
  <c r="B37" i="27"/>
  <c r="N125" i="3"/>
  <c r="L125" i="3"/>
  <c r="U110" i="3"/>
  <c r="AA110" i="3"/>
  <c r="V110" i="3"/>
  <c r="Z110" i="3"/>
  <c r="Y110" i="3"/>
  <c r="X110" i="3"/>
  <c r="W110" i="3"/>
  <c r="A28" i="31"/>
  <c r="L28" i="31"/>
  <c r="A21" i="27"/>
  <c r="B21" i="27"/>
  <c r="W104" i="3"/>
  <c r="S104" i="3"/>
  <c r="V104" i="3"/>
  <c r="U104" i="3"/>
  <c r="Y104" i="3"/>
  <c r="Z104" i="3"/>
  <c r="T104" i="3"/>
  <c r="X104" i="3"/>
  <c r="AA104" i="3"/>
  <c r="A14" i="27"/>
  <c r="B14" i="27"/>
  <c r="A20" i="31"/>
  <c r="L20" i="31"/>
  <c r="A13" i="27"/>
  <c r="B13" i="27"/>
  <c r="J14" i="3"/>
  <c r="N26" i="3"/>
  <c r="U109" i="3"/>
  <c r="Z109" i="3"/>
  <c r="Y109" i="3"/>
  <c r="X109" i="3"/>
  <c r="AA109" i="3"/>
  <c r="V109" i="3"/>
  <c r="W109" i="3"/>
  <c r="P27" i="3" a="1"/>
  <c r="P27" i="3"/>
  <c r="P15" i="3" a="1"/>
  <c r="P15" i="3"/>
  <c r="Q15" i="3" a="1"/>
  <c r="Q15" i="3"/>
  <c r="C108" i="3"/>
  <c r="C110" i="3"/>
  <c r="C109" i="3"/>
  <c r="C113" i="3"/>
  <c r="C112" i="3"/>
  <c r="C111" i="3"/>
  <c r="Q27" i="3" a="1"/>
  <c r="Q27" i="3"/>
  <c r="C115" i="3"/>
  <c r="E115" i="3"/>
  <c r="C120" i="3"/>
  <c r="E120" i="3"/>
  <c r="E111" i="3"/>
  <c r="E108" i="3"/>
  <c r="C119" i="3"/>
  <c r="E119" i="3"/>
  <c r="E110" i="3"/>
  <c r="C117" i="3"/>
  <c r="E117" i="3"/>
  <c r="C116" i="3"/>
  <c r="E116" i="3"/>
  <c r="C118" i="3"/>
  <c r="E118" i="3"/>
  <c r="E109" i="3"/>
  <c r="E113" i="3"/>
  <c r="E112" i="3"/>
  <c r="C106" i="3"/>
  <c r="E106" i="3"/>
  <c r="C105" i="3"/>
  <c r="E105" i="3"/>
  <c r="C102" i="3"/>
  <c r="E102" i="3"/>
  <c r="C103" i="3"/>
  <c r="E103" i="3"/>
  <c r="C101" i="3"/>
  <c r="E101" i="3"/>
  <c r="C104" i="3"/>
  <c r="E104" i="3"/>
  <c r="AK137" i="3"/>
  <c r="AE136" i="3"/>
  <c r="AK136" i="3"/>
  <c r="AE137" i="3"/>
  <c r="AD136" i="3"/>
  <c r="AJ136" i="3"/>
  <c r="AD137" i="3"/>
  <c r="AJ137" i="3"/>
  <c r="AF137" i="3"/>
  <c r="AF136" i="3"/>
  <c r="AL137" i="3"/>
  <c r="AL136" i="3"/>
  <c r="AN137" i="3"/>
  <c r="AH136" i="3"/>
  <c r="AN136" i="3"/>
  <c r="AH137" i="3"/>
  <c r="AI136" i="3"/>
  <c r="AI137" i="3"/>
  <c r="AO137" i="3"/>
  <c r="AO136" i="3"/>
  <c r="AG136" i="3"/>
  <c r="AM136" i="3"/>
  <c r="AG137" i="3"/>
  <c r="AM137" i="3"/>
  <c r="AD123" i="3"/>
  <c r="AJ122" i="3"/>
  <c r="AJ123" i="3"/>
  <c r="AD122" i="3"/>
  <c r="G101" i="3"/>
  <c r="H101" i="3"/>
  <c r="AL122" i="3"/>
  <c r="AF122" i="3"/>
  <c r="G103" i="3"/>
  <c r="H103" i="3"/>
  <c r="AG123" i="3"/>
  <c r="AM123" i="3"/>
  <c r="AG122" i="3"/>
  <c r="AM122" i="3"/>
  <c r="H104" i="3"/>
  <c r="G104" i="3"/>
  <c r="AN123" i="3"/>
  <c r="AH123" i="3"/>
  <c r="AN122" i="3"/>
  <c r="AH122" i="3"/>
  <c r="H105" i="3"/>
  <c r="G105" i="3"/>
  <c r="AI123" i="3"/>
  <c r="AO123" i="3"/>
  <c r="AO122" i="3"/>
  <c r="AI122" i="3"/>
  <c r="AF141" i="3"/>
  <c r="AF145" i="3"/>
  <c r="AE145" i="3"/>
  <c r="AE141" i="3"/>
  <c r="AO144" i="3"/>
  <c r="AO140" i="3"/>
  <c r="AH144" i="3"/>
  <c r="AH140" i="3"/>
  <c r="AJ145" i="3"/>
  <c r="AJ141" i="3"/>
  <c r="AE140" i="3"/>
  <c r="AE144" i="3"/>
  <c r="AG141" i="3"/>
  <c r="AG145" i="3"/>
  <c r="AM140" i="3"/>
  <c r="AM144" i="3"/>
  <c r="AK140" i="3"/>
  <c r="AK144" i="3"/>
  <c r="AO141" i="3"/>
  <c r="AO145" i="3"/>
  <c r="AN141" i="3"/>
  <c r="AN145" i="3"/>
  <c r="AD145" i="3"/>
  <c r="AD141" i="3"/>
  <c r="AK145" i="3"/>
  <c r="AK141" i="3"/>
  <c r="AM145" i="3"/>
  <c r="AM141" i="3"/>
  <c r="AH141" i="3"/>
  <c r="AH145" i="3"/>
  <c r="AN140" i="3"/>
  <c r="AN144" i="3"/>
  <c r="AI141" i="3"/>
  <c r="AI145" i="3"/>
  <c r="AL140" i="3"/>
  <c r="AL144" i="3"/>
  <c r="AJ140" i="3"/>
  <c r="AJ144" i="3"/>
  <c r="AF144" i="3"/>
  <c r="AF140" i="3"/>
  <c r="AG144" i="3"/>
  <c r="AG140" i="3"/>
  <c r="AI144" i="3"/>
  <c r="AI140" i="3"/>
  <c r="AL145" i="3"/>
  <c r="AL141" i="3"/>
  <c r="AD144" i="3"/>
  <c r="AD140" i="3"/>
  <c r="AF130" i="3"/>
  <c r="AF126" i="3"/>
  <c r="AL130" i="3"/>
  <c r="AL126" i="3"/>
  <c r="AM130" i="3"/>
  <c r="AM126" i="3"/>
  <c r="AG130" i="3"/>
  <c r="AG126" i="3"/>
  <c r="AH130" i="3"/>
  <c r="AH126" i="3"/>
  <c r="AM127" i="3"/>
  <c r="AM131" i="3"/>
  <c r="AD126" i="3"/>
  <c r="AD130" i="3"/>
  <c r="AN126" i="3"/>
  <c r="AN130" i="3"/>
  <c r="AJ131" i="3"/>
  <c r="AJ127" i="3"/>
  <c r="AI130" i="3"/>
  <c r="AI126" i="3"/>
  <c r="AH131" i="3"/>
  <c r="AH127" i="3"/>
  <c r="AJ130" i="3"/>
  <c r="AJ126" i="3"/>
  <c r="AO131" i="3"/>
  <c r="AO127" i="3"/>
  <c r="AI131" i="3"/>
  <c r="AI127" i="3"/>
  <c r="AG127" i="3"/>
  <c r="AG131" i="3"/>
  <c r="AO130" i="3"/>
  <c r="AO126" i="3"/>
  <c r="AN127" i="3"/>
  <c r="AN131" i="3"/>
  <c r="AD127" i="3"/>
  <c r="AD131" i="3"/>
  <c r="K16" i="8"/>
  <c r="F66" i="8"/>
  <c r="F16" i="8"/>
  <c r="A31" i="39"/>
  <c r="C29" i="33"/>
  <c r="C30" i="33"/>
  <c r="C31" i="33"/>
  <c r="C32" i="33"/>
  <c r="C33" i="33"/>
  <c r="C34" i="33"/>
  <c r="C35" i="33"/>
  <c r="C36" i="33"/>
  <c r="C37" i="33"/>
  <c r="C38" i="33"/>
  <c r="C39" i="33"/>
  <c r="C40" i="33"/>
  <c r="C41" i="33"/>
  <c r="C42" i="33"/>
  <c r="C43" i="33"/>
  <c r="C44" i="33"/>
  <c r="C45" i="33"/>
  <c r="C46" i="33"/>
  <c r="C47" i="33"/>
  <c r="C48" i="33"/>
  <c r="C49" i="33"/>
  <c r="C50" i="33"/>
  <c r="C51" i="33"/>
  <c r="C52" i="33"/>
  <c r="C53" i="33"/>
  <c r="C54" i="33"/>
  <c r="C55" i="33"/>
  <c r="C56" i="33"/>
  <c r="C57" i="33"/>
  <c r="C58" i="33"/>
  <c r="C59" i="33"/>
  <c r="C60" i="33"/>
  <c r="J38" i="4"/>
  <c r="L38" i="4"/>
  <c r="A29" i="33"/>
  <c r="B29" i="33"/>
  <c r="Q29" i="33"/>
  <c r="R29" i="33"/>
  <c r="T29" i="33"/>
  <c r="U29" i="33"/>
  <c r="L29" i="33"/>
  <c r="J39" i="4"/>
  <c r="L39" i="4"/>
  <c r="A30" i="33"/>
  <c r="B30" i="33"/>
  <c r="Q30" i="33"/>
  <c r="R30" i="33"/>
  <c r="T30" i="33"/>
  <c r="U30" i="33"/>
  <c r="L30" i="33"/>
  <c r="J40" i="4"/>
  <c r="L40" i="4"/>
  <c r="A31" i="33"/>
  <c r="B31" i="33"/>
  <c r="Q31" i="33"/>
  <c r="R31" i="33"/>
  <c r="T31" i="33"/>
  <c r="U31" i="33"/>
  <c r="L31" i="33"/>
  <c r="J41" i="4"/>
  <c r="L41" i="4"/>
  <c r="A32" i="33"/>
  <c r="B32" i="33"/>
  <c r="Q32" i="33"/>
  <c r="R32" i="33"/>
  <c r="T32" i="33"/>
  <c r="U32" i="33"/>
  <c r="L32" i="33"/>
  <c r="J42" i="4"/>
  <c r="L42" i="4"/>
  <c r="A33" i="33"/>
  <c r="B33" i="33"/>
  <c r="Q33" i="33"/>
  <c r="R33" i="33"/>
  <c r="T33" i="33"/>
  <c r="U33" i="33"/>
  <c r="L33" i="33"/>
  <c r="J43" i="4"/>
  <c r="L43" i="4"/>
  <c r="A34" i="33"/>
  <c r="B34" i="33"/>
  <c r="Q34" i="33"/>
  <c r="R34" i="33"/>
  <c r="T34" i="33"/>
  <c r="U34" i="33"/>
  <c r="L34" i="33"/>
  <c r="J44" i="4"/>
  <c r="L44" i="4"/>
  <c r="A35" i="33"/>
  <c r="B35" i="33"/>
  <c r="Q35" i="33"/>
  <c r="R35" i="33"/>
  <c r="T35" i="33"/>
  <c r="U35" i="33"/>
  <c r="L35" i="33"/>
  <c r="J45" i="4"/>
  <c r="L45" i="4"/>
  <c r="A36" i="33"/>
  <c r="B36" i="33"/>
  <c r="Q36" i="33"/>
  <c r="R36" i="33"/>
  <c r="T36" i="33"/>
  <c r="U36" i="33"/>
  <c r="L36" i="33"/>
  <c r="J46" i="4"/>
  <c r="L46" i="4"/>
  <c r="A37" i="33"/>
  <c r="B37" i="33"/>
  <c r="Q37" i="33"/>
  <c r="R37" i="33"/>
  <c r="T37" i="33"/>
  <c r="U37" i="33"/>
  <c r="L37" i="33"/>
  <c r="J47" i="4"/>
  <c r="L47" i="4"/>
  <c r="A38" i="33"/>
  <c r="B38" i="33"/>
  <c r="Q38" i="33"/>
  <c r="R38" i="33"/>
  <c r="T38" i="33"/>
  <c r="U38" i="33"/>
  <c r="L38" i="33"/>
  <c r="J48" i="4"/>
  <c r="L48" i="4"/>
  <c r="A39" i="33"/>
  <c r="B39" i="33"/>
  <c r="Q39" i="33"/>
  <c r="R39" i="33"/>
  <c r="T39" i="33"/>
  <c r="U39" i="33"/>
  <c r="L39" i="33"/>
  <c r="J49" i="4"/>
  <c r="L49" i="4"/>
  <c r="A40" i="33"/>
  <c r="B40" i="33"/>
  <c r="Q40" i="33"/>
  <c r="R40" i="33"/>
  <c r="T40" i="33"/>
  <c r="U40" i="33"/>
  <c r="L40" i="33"/>
  <c r="J50" i="4"/>
  <c r="L50" i="4"/>
  <c r="A41" i="33"/>
  <c r="B41" i="33"/>
  <c r="Q41" i="33"/>
  <c r="R41" i="33"/>
  <c r="T41" i="33"/>
  <c r="U41" i="33"/>
  <c r="L41" i="33"/>
  <c r="J51" i="4"/>
  <c r="L51" i="4"/>
  <c r="A42" i="33"/>
  <c r="B42" i="33"/>
  <c r="Q42" i="33"/>
  <c r="R42" i="33"/>
  <c r="T42" i="33"/>
  <c r="U42" i="33"/>
  <c r="L42" i="33"/>
  <c r="J52" i="4"/>
  <c r="L52" i="4"/>
  <c r="A43" i="33"/>
  <c r="B43" i="33"/>
  <c r="Q43" i="33"/>
  <c r="R43" i="33"/>
  <c r="T43" i="33"/>
  <c r="U43" i="33"/>
  <c r="L43" i="33"/>
  <c r="J53" i="4"/>
  <c r="L53" i="4"/>
  <c r="A44" i="33"/>
  <c r="B44" i="33"/>
  <c r="Q44" i="33"/>
  <c r="R44" i="33"/>
  <c r="T44" i="33"/>
  <c r="U44" i="33"/>
  <c r="L44" i="33"/>
  <c r="J54" i="4"/>
  <c r="L54" i="4"/>
  <c r="A45" i="33"/>
  <c r="B45" i="33"/>
  <c r="Q45" i="33"/>
  <c r="R45" i="33"/>
  <c r="T45" i="33"/>
  <c r="U45" i="33"/>
  <c r="L45" i="33"/>
  <c r="J55" i="4"/>
  <c r="L55" i="4"/>
  <c r="A46" i="33"/>
  <c r="B46" i="33"/>
  <c r="Q46" i="33"/>
  <c r="R46" i="33"/>
  <c r="T46" i="33"/>
  <c r="U46" i="33"/>
  <c r="L46" i="33"/>
  <c r="J56" i="4"/>
  <c r="L56" i="4"/>
  <c r="A47" i="33"/>
  <c r="B47" i="33"/>
  <c r="Q47" i="33"/>
  <c r="R47" i="33"/>
  <c r="T47" i="33"/>
  <c r="U47" i="33"/>
  <c r="L47" i="33"/>
  <c r="J57" i="4"/>
  <c r="L57" i="4"/>
  <c r="A48" i="33"/>
  <c r="B48" i="33"/>
  <c r="Q48" i="33"/>
  <c r="R48" i="33"/>
  <c r="T48" i="33"/>
  <c r="U48" i="33"/>
  <c r="L48" i="33"/>
  <c r="J58" i="4"/>
  <c r="L58" i="4"/>
  <c r="A49" i="33"/>
  <c r="B49" i="33"/>
  <c r="Q49" i="33"/>
  <c r="R49" i="33"/>
  <c r="T49" i="33"/>
  <c r="U49" i="33"/>
  <c r="L49" i="33"/>
  <c r="J59" i="4"/>
  <c r="L59" i="4"/>
  <c r="A50" i="33"/>
  <c r="B50" i="33"/>
  <c r="Q50" i="33"/>
  <c r="R50" i="33"/>
  <c r="T50" i="33"/>
  <c r="U50" i="33"/>
  <c r="L50" i="33"/>
  <c r="J60" i="4"/>
  <c r="L60" i="4"/>
  <c r="A51" i="33"/>
  <c r="B51" i="33"/>
  <c r="Q51" i="33"/>
  <c r="R51" i="33"/>
  <c r="T51" i="33"/>
  <c r="U51" i="33"/>
  <c r="L51" i="33"/>
  <c r="J61" i="4"/>
  <c r="L61" i="4"/>
  <c r="A52" i="33"/>
  <c r="B52" i="33"/>
  <c r="Q52" i="33"/>
  <c r="R52" i="33"/>
  <c r="T52" i="33"/>
  <c r="U52" i="33"/>
  <c r="L52" i="33"/>
  <c r="J62" i="4"/>
  <c r="L62" i="4"/>
  <c r="A53" i="33"/>
  <c r="B53" i="33"/>
  <c r="Q53" i="33"/>
  <c r="R53" i="33"/>
  <c r="T53" i="33"/>
  <c r="U53" i="33"/>
  <c r="L53" i="33"/>
  <c r="J63" i="4"/>
  <c r="L63" i="4"/>
  <c r="A54" i="33"/>
  <c r="B54" i="33"/>
  <c r="Q54" i="33"/>
  <c r="R54" i="33"/>
  <c r="T54" i="33"/>
  <c r="U54" i="33"/>
  <c r="L54" i="33"/>
  <c r="J64" i="4"/>
  <c r="L64" i="4"/>
  <c r="A55" i="33"/>
  <c r="B55" i="33"/>
  <c r="Q55" i="33"/>
  <c r="R55" i="33"/>
  <c r="T55" i="33"/>
  <c r="U55" i="33"/>
  <c r="L55" i="33"/>
  <c r="J65" i="4"/>
  <c r="L65" i="4"/>
  <c r="A56" i="33"/>
  <c r="B56" i="33"/>
  <c r="Q56" i="33"/>
  <c r="R56" i="33"/>
  <c r="T56" i="33"/>
  <c r="U56" i="33"/>
  <c r="L56" i="33"/>
  <c r="J66" i="4"/>
  <c r="L66" i="4"/>
  <c r="A57" i="33"/>
  <c r="B57" i="33"/>
  <c r="Q57" i="33"/>
  <c r="R57" i="33"/>
  <c r="T57" i="33"/>
  <c r="U57" i="33"/>
  <c r="L57" i="33"/>
  <c r="J67" i="4"/>
  <c r="L67" i="4"/>
  <c r="A58" i="33"/>
  <c r="B58" i="33"/>
  <c r="Q58" i="33"/>
  <c r="R58" i="33"/>
  <c r="T58" i="33"/>
  <c r="U58" i="33"/>
  <c r="L58" i="33"/>
  <c r="J68" i="4"/>
  <c r="L68" i="4"/>
  <c r="A59" i="33"/>
  <c r="B59" i="33"/>
  <c r="Q59" i="33"/>
  <c r="R59" i="33"/>
  <c r="T59" i="33"/>
  <c r="U59" i="33"/>
  <c r="L59" i="33"/>
  <c r="J69" i="4"/>
  <c r="L69" i="4"/>
  <c r="A60" i="33"/>
  <c r="B60" i="33"/>
  <c r="Q60" i="33"/>
  <c r="R60" i="33"/>
  <c r="T60" i="33"/>
  <c r="U60" i="33"/>
  <c r="L60" i="33"/>
  <c r="AD29" i="33"/>
  <c r="AD30" i="33"/>
  <c r="AD31" i="33"/>
  <c r="AD32" i="33"/>
  <c r="AD33" i="33"/>
  <c r="AD34" i="33"/>
  <c r="AD35" i="33"/>
  <c r="AD36" i="33"/>
  <c r="AD37" i="33"/>
  <c r="AD38" i="33"/>
  <c r="AD39" i="33"/>
  <c r="AD40" i="33"/>
  <c r="AD41" i="33"/>
  <c r="AD42" i="33"/>
  <c r="AD43" i="33"/>
  <c r="AD44" i="33"/>
  <c r="AD45" i="33"/>
  <c r="AD46" i="33"/>
  <c r="AD47" i="33"/>
  <c r="AD48" i="33"/>
  <c r="AD49" i="33"/>
  <c r="AD50" i="33"/>
  <c r="AD51" i="33"/>
  <c r="AD52" i="33"/>
  <c r="AD53" i="33"/>
  <c r="AD54" i="33"/>
  <c r="AD55" i="33"/>
  <c r="AD56" i="33"/>
  <c r="AD57" i="33"/>
  <c r="AD58" i="33"/>
  <c r="AD59" i="33"/>
  <c r="AD60" i="33"/>
  <c r="AD61" i="33"/>
  <c r="AD62" i="33"/>
  <c r="AD63" i="33"/>
  <c r="AD64" i="33"/>
  <c r="AD65" i="33"/>
  <c r="AD66" i="33"/>
  <c r="AD67" i="33"/>
  <c r="AD68" i="33"/>
  <c r="AD69" i="33"/>
  <c r="AD70" i="33"/>
  <c r="AD71" i="33"/>
  <c r="AD72" i="33"/>
  <c r="AD73" i="33"/>
  <c r="AD74" i="33"/>
  <c r="AD75" i="33"/>
  <c r="AD76" i="33"/>
  <c r="AD77" i="33"/>
  <c r="AD78" i="33"/>
  <c r="AD79" i="33"/>
  <c r="AD80" i="33"/>
  <c r="AD81" i="33"/>
  <c r="AD82" i="33"/>
  <c r="AD83" i="33"/>
  <c r="AD84" i="33"/>
  <c r="AD85" i="33"/>
  <c r="AD86" i="33"/>
  <c r="AD87" i="33"/>
  <c r="AD88" i="33"/>
  <c r="AD89" i="33"/>
  <c r="AD90" i="33"/>
  <c r="AD91" i="33"/>
  <c r="AD92" i="33"/>
  <c r="AD93" i="33"/>
  <c r="AD94" i="33"/>
  <c r="AD95" i="33"/>
  <c r="AD96" i="33"/>
  <c r="AD97" i="33"/>
  <c r="AD98" i="33"/>
  <c r="AD99" i="33"/>
  <c r="AD100" i="33"/>
  <c r="AD101" i="33"/>
  <c r="AD102" i="33"/>
  <c r="AD103" i="33"/>
  <c r="AD104" i="33"/>
  <c r="AD105" i="33"/>
  <c r="AD106" i="33"/>
  <c r="AD107" i="33"/>
  <c r="AD108" i="33"/>
  <c r="AD109" i="33"/>
  <c r="AD110" i="33"/>
  <c r="AD111" i="33"/>
  <c r="AD112" i="33"/>
  <c r="AD113" i="33"/>
  <c r="AD114" i="33"/>
  <c r="AD115" i="33"/>
  <c r="AD116" i="33"/>
  <c r="AD117" i="33"/>
  <c r="AD118" i="33"/>
  <c r="AD119" i="33"/>
  <c r="AD120" i="33"/>
  <c r="AD121" i="33"/>
  <c r="AD122" i="33"/>
  <c r="AD123" i="33"/>
  <c r="AD124" i="33"/>
  <c r="AD125" i="33"/>
  <c r="AD126" i="33"/>
  <c r="AD127" i="33"/>
  <c r="AD128" i="33"/>
  <c r="AD129" i="33"/>
  <c r="AD130" i="33"/>
  <c r="AD131" i="33"/>
  <c r="AD132" i="33"/>
  <c r="AD133" i="33"/>
  <c r="AD134" i="33"/>
  <c r="AD135" i="33"/>
  <c r="AD136" i="33"/>
  <c r="AD137" i="33"/>
  <c r="AD138" i="33"/>
  <c r="AD139" i="33"/>
  <c r="AD140" i="33"/>
  <c r="AD141" i="33"/>
  <c r="AD142" i="33"/>
  <c r="AD143" i="33"/>
  <c r="AD144" i="33"/>
  <c r="AD145" i="33"/>
  <c r="AD146" i="33"/>
  <c r="AD147" i="33"/>
  <c r="AD148" i="33"/>
  <c r="AD149" i="33"/>
  <c r="AD150" i="33"/>
  <c r="AD151" i="33"/>
  <c r="AD152" i="33"/>
  <c r="AD153" i="33"/>
  <c r="AD154" i="33"/>
  <c r="AD155" i="33"/>
  <c r="AD156" i="33"/>
  <c r="AD157" i="33"/>
  <c r="AD158" i="33"/>
  <c r="AD159" i="33"/>
  <c r="AD160" i="33"/>
  <c r="AD161" i="33"/>
  <c r="AD162" i="33"/>
  <c r="AD163" i="33"/>
  <c r="AD164" i="33"/>
  <c r="AD165" i="33"/>
  <c r="AD166" i="33"/>
  <c r="AD167" i="33"/>
  <c r="AD168" i="33"/>
  <c r="AD169" i="33"/>
  <c r="AD170" i="33"/>
  <c r="AD171" i="33"/>
  <c r="AD172" i="33"/>
  <c r="AD173" i="33"/>
  <c r="AD174" i="33"/>
  <c r="AD175" i="33"/>
  <c r="AD176" i="33"/>
  <c r="AD177" i="33"/>
  <c r="AD178" i="33"/>
  <c r="AD179" i="33"/>
  <c r="AD180" i="33"/>
  <c r="AD181" i="33"/>
  <c r="AD182" i="33"/>
  <c r="AD183" i="33"/>
  <c r="AD184" i="33"/>
  <c r="AD185" i="33"/>
  <c r="AD186" i="33"/>
  <c r="AD187" i="33"/>
  <c r="AD188" i="33"/>
  <c r="AD189" i="33"/>
  <c r="AD190" i="33"/>
  <c r="AD191" i="33"/>
  <c r="AD192" i="33"/>
  <c r="AD193" i="33"/>
  <c r="AD194" i="33"/>
  <c r="AD195" i="33"/>
  <c r="AD196" i="33"/>
  <c r="AD197" i="33"/>
  <c r="AD198" i="33"/>
  <c r="AD199" i="33"/>
  <c r="AD200" i="33"/>
  <c r="AD201" i="33"/>
  <c r="AD202" i="33"/>
  <c r="AD203" i="33"/>
  <c r="AD204" i="33"/>
  <c r="AD205" i="33"/>
  <c r="AD206" i="33"/>
  <c r="AD207" i="33"/>
  <c r="AD208" i="33"/>
  <c r="AD209" i="33"/>
  <c r="AD210" i="33"/>
  <c r="AD211" i="33"/>
  <c r="B26" i="30"/>
  <c r="K58" i="31"/>
  <c r="K57" i="31"/>
  <c r="F57" i="31"/>
  <c r="K56" i="31"/>
  <c r="K55" i="31"/>
  <c r="F55" i="31"/>
  <c r="B42" i="31"/>
  <c r="B41" i="31"/>
  <c r="B32" i="31"/>
  <c r="B31" i="31"/>
  <c r="B30" i="31"/>
  <c r="B29" i="31"/>
  <c r="B28" i="31"/>
  <c r="B27" i="31"/>
  <c r="B25" i="31"/>
  <c r="B24" i="31"/>
  <c r="B23" i="31"/>
  <c r="B22" i="31"/>
  <c r="B21" i="31"/>
  <c r="B20" i="31"/>
  <c r="G16" i="26"/>
  <c r="G27" i="26"/>
  <c r="G21" i="26"/>
  <c r="G6" i="26"/>
  <c r="G5" i="26"/>
  <c r="B82" i="3"/>
  <c r="A82" i="3"/>
  <c r="E81" i="3"/>
  <c r="K81" i="3"/>
  <c r="B81" i="3"/>
  <c r="A81" i="3"/>
  <c r="E80" i="3"/>
  <c r="K80" i="3"/>
  <c r="B80" i="3"/>
  <c r="A80" i="3"/>
  <c r="E79" i="3"/>
  <c r="B79" i="3"/>
  <c r="A79" i="3"/>
  <c r="E78" i="3"/>
  <c r="K78" i="3"/>
  <c r="B78" i="3"/>
  <c r="A78" i="3"/>
  <c r="E77" i="3"/>
  <c r="O77" i="3"/>
  <c r="B77" i="3"/>
  <c r="A77" i="3"/>
  <c r="H77" i="3"/>
  <c r="I77" i="3"/>
  <c r="J77" i="3"/>
  <c r="K77" i="3"/>
  <c r="I79" i="3"/>
  <c r="J79" i="3"/>
  <c r="G77" i="3"/>
  <c r="L78" i="3"/>
  <c r="O78" i="3"/>
  <c r="L77" i="3"/>
  <c r="M79" i="3"/>
  <c r="H78" i="3"/>
  <c r="M77" i="3"/>
  <c r="N79" i="3"/>
  <c r="G79" i="3"/>
  <c r="AG116" i="3"/>
  <c r="AH116" i="3"/>
  <c r="AG115" i="3"/>
  <c r="AH115" i="3"/>
  <c r="AG112" i="3"/>
  <c r="AH112" i="3"/>
  <c r="AH114" i="3"/>
  <c r="AH113" i="3"/>
  <c r="AH103" i="3"/>
  <c r="AG103" i="3"/>
  <c r="F15" i="8"/>
  <c r="D122" i="3"/>
  <c r="F41" i="31"/>
  <c r="D123" i="3"/>
  <c r="F42" i="31"/>
  <c r="O120" i="3"/>
  <c r="J119" i="3"/>
  <c r="F118" i="3"/>
  <c r="F117" i="3"/>
  <c r="F116" i="3"/>
  <c r="N115" i="3"/>
  <c r="F113" i="3"/>
  <c r="F112" i="3"/>
  <c r="F111" i="3"/>
  <c r="N110" i="3"/>
  <c r="F108" i="3"/>
  <c r="S111" i="3"/>
  <c r="G111" i="3"/>
  <c r="S109" i="3"/>
  <c r="G109" i="3"/>
  <c r="S110" i="3"/>
  <c r="G110" i="3"/>
  <c r="S108" i="3"/>
  <c r="G108" i="3"/>
  <c r="T108" i="3"/>
  <c r="H108" i="3"/>
  <c r="T111" i="3"/>
  <c r="H111" i="3"/>
  <c r="T110" i="3"/>
  <c r="H110" i="3"/>
  <c r="T109" i="3"/>
  <c r="H109" i="3"/>
  <c r="K110" i="3"/>
  <c r="J115" i="3"/>
  <c r="N116" i="3"/>
  <c r="O117" i="3"/>
  <c r="O108" i="3"/>
  <c r="O116" i="3"/>
  <c r="L110" i="3"/>
  <c r="I118" i="3"/>
  <c r="N119" i="3"/>
  <c r="K112" i="3"/>
  <c r="J120" i="3"/>
  <c r="N113" i="3"/>
  <c r="K120" i="3"/>
  <c r="O109" i="3"/>
  <c r="J109" i="3"/>
  <c r="F119" i="3"/>
  <c r="M116" i="3"/>
  <c r="K109" i="3"/>
  <c r="L112" i="3"/>
  <c r="I119" i="3"/>
  <c r="M120" i="3"/>
  <c r="F120" i="3"/>
  <c r="L115" i="3"/>
  <c r="K111" i="3"/>
  <c r="M109" i="3"/>
  <c r="I113" i="3"/>
  <c r="O115" i="3"/>
  <c r="O119" i="3"/>
  <c r="F109" i="3"/>
  <c r="O110" i="3"/>
  <c r="I120" i="3"/>
  <c r="L120" i="3"/>
  <c r="I110" i="3"/>
  <c r="L113" i="3"/>
  <c r="I116" i="3"/>
  <c r="K119" i="3"/>
  <c r="K113" i="3"/>
  <c r="O113" i="3"/>
  <c r="I109" i="3"/>
  <c r="M115" i="3"/>
  <c r="F110" i="3"/>
  <c r="N108" i="3"/>
  <c r="J112" i="3"/>
  <c r="O118" i="3"/>
  <c r="J110" i="3"/>
  <c r="M113" i="3"/>
  <c r="K116" i="3"/>
  <c r="L119" i="3"/>
  <c r="F115" i="3"/>
  <c r="J111" i="3"/>
  <c r="N117" i="3"/>
  <c r="L117" i="3"/>
  <c r="M117" i="3"/>
  <c r="I117" i="3"/>
  <c r="K117" i="3"/>
  <c r="J117" i="3"/>
  <c r="I111" i="3"/>
  <c r="O111" i="3"/>
  <c r="L111" i="3"/>
  <c r="N111" i="3"/>
  <c r="M111" i="3"/>
  <c r="J108" i="3"/>
  <c r="N112" i="3"/>
  <c r="K118" i="3"/>
  <c r="K108" i="3"/>
  <c r="L109" i="3"/>
  <c r="M110" i="3"/>
  <c r="O112" i="3"/>
  <c r="I115" i="3"/>
  <c r="J116" i="3"/>
  <c r="L118" i="3"/>
  <c r="M119" i="3"/>
  <c r="N120" i="3"/>
  <c r="I108" i="3"/>
  <c r="J118" i="3"/>
  <c r="L108" i="3"/>
  <c r="M108" i="3"/>
  <c r="N109" i="3"/>
  <c r="I112" i="3"/>
  <c r="J113" i="3"/>
  <c r="K115" i="3"/>
  <c r="L116" i="3"/>
  <c r="N118" i="3"/>
  <c r="M112" i="3"/>
  <c r="M118" i="3"/>
  <c r="A77" i="27"/>
  <c r="A72" i="27"/>
  <c r="A67" i="27"/>
  <c r="A62" i="27"/>
  <c r="A57" i="27"/>
  <c r="A52" i="27"/>
  <c r="A43" i="27"/>
  <c r="A38" i="27"/>
  <c r="A12" i="27"/>
  <c r="K14" i="8"/>
  <c r="D79" i="8"/>
  <c r="C81" i="8"/>
  <c r="C75" i="8"/>
  <c r="C77" i="8"/>
  <c r="C79" i="8"/>
  <c r="D81" i="8"/>
  <c r="D77" i="8"/>
  <c r="D75" i="8"/>
  <c r="A19" i="27"/>
  <c r="B28" i="3"/>
  <c r="A33" i="27"/>
  <c r="A36" i="27"/>
  <c r="A26" i="27"/>
  <c r="E14" i="8"/>
  <c r="F14" i="8"/>
  <c r="F102" i="3"/>
  <c r="F101" i="3"/>
  <c r="F103" i="3"/>
  <c r="F104" i="3"/>
  <c r="F106" i="3"/>
  <c r="F105" i="3"/>
  <c r="O101" i="3"/>
  <c r="N101" i="3"/>
  <c r="K101" i="3"/>
  <c r="M101" i="3"/>
  <c r="L101" i="3"/>
  <c r="J101" i="3"/>
  <c r="I101" i="3"/>
  <c r="J103" i="3"/>
  <c r="I103" i="3"/>
  <c r="O103" i="3"/>
  <c r="N103" i="3"/>
  <c r="M103" i="3"/>
  <c r="L103" i="3"/>
  <c r="K103" i="3"/>
  <c r="K104" i="3"/>
  <c r="J104" i="3"/>
  <c r="I104" i="3"/>
  <c r="N104" i="3"/>
  <c r="O104" i="3"/>
  <c r="M104" i="3"/>
  <c r="L104" i="3"/>
  <c r="I102" i="3"/>
  <c r="O102" i="3"/>
  <c r="L102" i="3"/>
  <c r="N102" i="3"/>
  <c r="M102" i="3"/>
  <c r="K102" i="3"/>
  <c r="J102" i="3"/>
  <c r="M106" i="3"/>
  <c r="L106" i="3"/>
  <c r="K106" i="3"/>
  <c r="J106" i="3"/>
  <c r="I106" i="3"/>
  <c r="O106" i="3"/>
  <c r="N106" i="3"/>
  <c r="L105" i="3"/>
  <c r="J105" i="3"/>
  <c r="O105" i="3"/>
  <c r="K105" i="3"/>
  <c r="I105" i="3"/>
  <c r="N105" i="3"/>
  <c r="M105" i="3"/>
  <c r="B63" i="10"/>
  <c r="B62" i="10"/>
  <c r="B61" i="10"/>
  <c r="B60" i="10"/>
  <c r="B59" i="10"/>
  <c r="B58" i="10"/>
  <c r="B57" i="10"/>
  <c r="B56" i="10"/>
  <c r="B55" i="10"/>
  <c r="B54" i="10"/>
  <c r="B53" i="10"/>
  <c r="B52" i="10"/>
  <c r="B51" i="10"/>
  <c r="B50" i="10"/>
  <c r="B49" i="10"/>
  <c r="B48" i="10"/>
  <c r="B47" i="10"/>
  <c r="B46" i="10"/>
  <c r="B45" i="10"/>
  <c r="B44" i="10"/>
  <c r="B43" i="10"/>
  <c r="B42" i="10"/>
  <c r="B41" i="10"/>
  <c r="C80" i="8"/>
  <c r="C78" i="8"/>
  <c r="C76" i="8"/>
  <c r="C74" i="8"/>
  <c r="C62" i="8"/>
  <c r="B39" i="31"/>
  <c r="C61" i="8"/>
  <c r="C60" i="8"/>
  <c r="C59" i="8"/>
  <c r="B29" i="27"/>
  <c r="C58" i="8"/>
  <c r="B28" i="27"/>
  <c r="C57" i="8"/>
  <c r="B27" i="27"/>
  <c r="B119" i="3"/>
  <c r="B31" i="27"/>
  <c r="B38" i="31"/>
  <c r="B118" i="3"/>
  <c r="B30" i="27"/>
  <c r="B37" i="31"/>
  <c r="B117" i="3"/>
  <c r="B36" i="31"/>
  <c r="B116" i="3"/>
  <c r="B35" i="31"/>
  <c r="B115" i="3"/>
  <c r="B34" i="31"/>
  <c r="H102" i="3"/>
  <c r="G102" i="3"/>
  <c r="C123" i="3"/>
  <c r="K21" i="8"/>
  <c r="K20" i="8"/>
  <c r="K19" i="8"/>
  <c r="K18" i="8"/>
  <c r="K17" i="8"/>
  <c r="K15" i="8"/>
  <c r="E15" i="8"/>
  <c r="K12" i="8"/>
  <c r="K11" i="8"/>
  <c r="K10" i="8"/>
  <c r="F10" i="8"/>
  <c r="K9" i="8"/>
  <c r="F9" i="8"/>
  <c r="K8" i="8"/>
  <c r="F8" i="8"/>
  <c r="K7" i="8"/>
  <c r="F7" i="8"/>
  <c r="M74" i="8"/>
  <c r="F12" i="8"/>
  <c r="X119" i="3"/>
  <c r="T119" i="3"/>
  <c r="H119" i="3"/>
  <c r="W119" i="3"/>
  <c r="AA119" i="3"/>
  <c r="Z119" i="3"/>
  <c r="Y119" i="3"/>
  <c r="V119" i="3"/>
  <c r="S119" i="3"/>
  <c r="G119" i="3"/>
  <c r="U119" i="3"/>
  <c r="W118" i="3"/>
  <c r="Z118" i="3"/>
  <c r="V118" i="3"/>
  <c r="Y118" i="3"/>
  <c r="U118" i="3"/>
  <c r="AA118" i="3"/>
  <c r="S118" i="3"/>
  <c r="G118" i="3"/>
  <c r="X118" i="3"/>
  <c r="T118" i="3"/>
  <c r="H118" i="3"/>
  <c r="V115" i="3"/>
  <c r="U115" i="3"/>
  <c r="T115" i="3"/>
  <c r="H115" i="3"/>
  <c r="AA115" i="3"/>
  <c r="S115" i="3"/>
  <c r="G115" i="3"/>
  <c r="W115" i="3"/>
  <c r="Z115" i="3"/>
  <c r="Y115" i="3"/>
  <c r="X115" i="3"/>
  <c r="U116" i="3"/>
  <c r="T116" i="3"/>
  <c r="H116" i="3"/>
  <c r="AA116" i="3"/>
  <c r="S116" i="3"/>
  <c r="G116" i="3"/>
  <c r="Z116" i="3"/>
  <c r="V116" i="3"/>
  <c r="Y116" i="3"/>
  <c r="X116" i="3"/>
  <c r="W116" i="3"/>
  <c r="T117" i="3"/>
  <c r="H117" i="3"/>
  <c r="AA117" i="3"/>
  <c r="S117" i="3"/>
  <c r="G117" i="3"/>
  <c r="Z117" i="3"/>
  <c r="Y117" i="3"/>
  <c r="X117" i="3"/>
  <c r="U117" i="3"/>
  <c r="W117" i="3"/>
  <c r="V117" i="3"/>
  <c r="M103" i="8"/>
  <c r="F21" i="8"/>
  <c r="M98" i="8"/>
  <c r="F20" i="8"/>
  <c r="F19" i="8"/>
  <c r="M93" i="8"/>
  <c r="M88" i="8"/>
  <c r="F18" i="8"/>
  <c r="M83" i="8"/>
  <c r="F17" i="8"/>
  <c r="F11" i="8"/>
  <c r="M69" i="8"/>
  <c r="F123" i="3"/>
  <c r="H122" i="3"/>
  <c r="E122" i="3"/>
  <c r="G122" i="3"/>
  <c r="F122" i="3"/>
  <c r="C122" i="3"/>
  <c r="X50" i="18"/>
  <c r="W50" i="18"/>
  <c r="V50" i="18"/>
  <c r="U50" i="18"/>
  <c r="T50" i="18"/>
  <c r="N80" i="8"/>
  <c r="N74" i="8"/>
  <c r="B74" i="8"/>
  <c r="N78" i="8"/>
  <c r="N76" i="8"/>
  <c r="B76" i="8"/>
  <c r="N106" i="8"/>
  <c r="N105" i="8"/>
  <c r="N104" i="8"/>
  <c r="N103" i="8"/>
  <c r="N98" i="8"/>
  <c r="N101" i="8"/>
  <c r="N100" i="8"/>
  <c r="N99" i="8"/>
  <c r="N95" i="8"/>
  <c r="N94" i="8"/>
  <c r="N93" i="8"/>
  <c r="N96" i="8"/>
  <c r="N91" i="8"/>
  <c r="N90" i="8"/>
  <c r="N88" i="8"/>
  <c r="N89" i="8"/>
  <c r="N86" i="8"/>
  <c r="N85" i="8"/>
  <c r="N84" i="8"/>
  <c r="N83" i="8"/>
  <c r="N72" i="8"/>
  <c r="N71" i="8"/>
  <c r="N70" i="8"/>
  <c r="N69" i="8"/>
  <c r="N51" i="18"/>
  <c r="E44" i="18"/>
  <c r="C45" i="18"/>
  <c r="C44" i="18"/>
  <c r="A76" i="8"/>
  <c r="A134" i="3"/>
  <c r="A74" i="8"/>
  <c r="B132" i="3"/>
  <c r="B78" i="8"/>
  <c r="A78" i="8"/>
  <c r="F74" i="8"/>
  <c r="B75" i="8"/>
  <c r="B52" i="31"/>
  <c r="B51" i="31"/>
  <c r="D133" i="3"/>
  <c r="F52" i="31"/>
  <c r="F76" i="8"/>
  <c r="B77" i="8"/>
  <c r="B54" i="31"/>
  <c r="B53" i="31"/>
  <c r="D135" i="3"/>
  <c r="F54" i="31"/>
  <c r="A80" i="8"/>
  <c r="B80" i="8"/>
  <c r="A75" i="8"/>
  <c r="A132" i="3"/>
  <c r="C132" i="3"/>
  <c r="E132" i="3"/>
  <c r="A77" i="8"/>
  <c r="B134" i="3"/>
  <c r="A104" i="8"/>
  <c r="B104" i="8"/>
  <c r="F104" i="8"/>
  <c r="B105" i="8"/>
  <c r="F105" i="8"/>
  <c r="A105" i="8"/>
  <c r="A103" i="8"/>
  <c r="B103" i="8"/>
  <c r="F103" i="8"/>
  <c r="B106" i="8"/>
  <c r="F106" i="8"/>
  <c r="A106" i="8"/>
  <c r="B100" i="8"/>
  <c r="F100" i="8"/>
  <c r="A100" i="8"/>
  <c r="B99" i="8"/>
  <c r="F99" i="8"/>
  <c r="A99" i="8"/>
  <c r="B101" i="8"/>
  <c r="F101" i="8"/>
  <c r="A101" i="8"/>
  <c r="B98" i="8"/>
  <c r="F98" i="8"/>
  <c r="A98" i="8"/>
  <c r="B96" i="8"/>
  <c r="F96" i="8"/>
  <c r="A96" i="8"/>
  <c r="A94" i="8"/>
  <c r="B94" i="8"/>
  <c r="F94" i="8"/>
  <c r="A93" i="8"/>
  <c r="B93" i="8"/>
  <c r="F93" i="8"/>
  <c r="B95" i="8"/>
  <c r="F95" i="8"/>
  <c r="A95" i="8"/>
  <c r="A88" i="8"/>
  <c r="B88" i="8"/>
  <c r="F88" i="8"/>
  <c r="B90" i="8"/>
  <c r="F90" i="8"/>
  <c r="A90" i="8"/>
  <c r="B89" i="8"/>
  <c r="F89" i="8"/>
  <c r="A89" i="8"/>
  <c r="B91" i="8"/>
  <c r="F91" i="8"/>
  <c r="A91" i="8"/>
  <c r="A84" i="8"/>
  <c r="B84" i="8"/>
  <c r="F84" i="8"/>
  <c r="B85" i="8"/>
  <c r="F85" i="8"/>
  <c r="A85" i="8"/>
  <c r="A83" i="8"/>
  <c r="B83" i="8"/>
  <c r="F83" i="8"/>
  <c r="B86" i="8"/>
  <c r="F86" i="8"/>
  <c r="A86" i="8"/>
  <c r="B70" i="8"/>
  <c r="F70" i="8"/>
  <c r="A70" i="8"/>
  <c r="A69" i="8"/>
  <c r="B69" i="8"/>
  <c r="F69" i="8"/>
  <c r="B72" i="8"/>
  <c r="F72" i="8"/>
  <c r="A72" i="8"/>
  <c r="B71" i="8"/>
  <c r="F71" i="8"/>
  <c r="A71" i="8"/>
  <c r="D60" i="33"/>
  <c r="D59" i="33"/>
  <c r="D58" i="33"/>
  <c r="D57" i="33"/>
  <c r="D56" i="33"/>
  <c r="D55" i="33"/>
  <c r="D54" i="33"/>
  <c r="D53" i="33"/>
  <c r="D52" i="33"/>
  <c r="D51" i="33"/>
  <c r="D50" i="33"/>
  <c r="D49" i="33"/>
  <c r="D48" i="33"/>
  <c r="D47" i="33"/>
  <c r="D46" i="33"/>
  <c r="D45" i="33"/>
  <c r="D44" i="33"/>
  <c r="D43" i="33"/>
  <c r="D42" i="33"/>
  <c r="D41" i="33"/>
  <c r="D40" i="33"/>
  <c r="D39" i="33"/>
  <c r="D38" i="33"/>
  <c r="D37" i="33"/>
  <c r="D36" i="33"/>
  <c r="D35" i="33"/>
  <c r="D34" i="33"/>
  <c r="D33" i="33"/>
  <c r="D32" i="33"/>
  <c r="D31" i="33"/>
  <c r="D30" i="33"/>
  <c r="D29" i="33"/>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A23" i="28"/>
  <c r="E23" i="28"/>
  <c r="H23" i="28"/>
  <c r="I23" i="28"/>
  <c r="M23" i="28"/>
  <c r="W47" i="4"/>
  <c r="N86" i="3"/>
  <c r="N92" i="3"/>
  <c r="N91" i="3"/>
  <c r="N90" i="3"/>
  <c r="N89" i="3"/>
  <c r="N88" i="3"/>
  <c r="N87" i="3"/>
  <c r="F80" i="8"/>
  <c r="B81" i="8"/>
  <c r="B58" i="31"/>
  <c r="D139" i="3"/>
  <c r="F58" i="31"/>
  <c r="B57" i="31"/>
  <c r="A81" i="8"/>
  <c r="A138" i="3"/>
  <c r="A50" i="27"/>
  <c r="B50" i="27"/>
  <c r="B138" i="3"/>
  <c r="A79" i="8"/>
  <c r="B136" i="3"/>
  <c r="A136" i="3"/>
  <c r="A48" i="27"/>
  <c r="B48" i="27"/>
  <c r="A55" i="31"/>
  <c r="L55" i="31"/>
  <c r="F78" i="8"/>
  <c r="B79" i="8"/>
  <c r="B56" i="31"/>
  <c r="D137" i="3"/>
  <c r="F56" i="31"/>
  <c r="B55" i="31"/>
  <c r="M38" i="3"/>
  <c r="C134" i="3"/>
  <c r="E134" i="3"/>
  <c r="A51" i="31"/>
  <c r="L51" i="31"/>
  <c r="L38" i="3"/>
  <c r="A44" i="27"/>
  <c r="B44" i="27"/>
  <c r="M134" i="3"/>
  <c r="O134" i="3"/>
  <c r="L134" i="3"/>
  <c r="K134" i="3"/>
  <c r="N134" i="3"/>
  <c r="I134" i="3"/>
  <c r="J134" i="3"/>
  <c r="A143" i="3"/>
  <c r="B143" i="3"/>
  <c r="B148" i="3"/>
  <c r="A148" i="3"/>
  <c r="C148" i="3"/>
  <c r="E148" i="3"/>
  <c r="B157" i="3"/>
  <c r="A157" i="3"/>
  <c r="C157" i="3"/>
  <c r="E157" i="3"/>
  <c r="A163" i="3"/>
  <c r="C163" i="3"/>
  <c r="E163" i="3"/>
  <c r="B163" i="3"/>
  <c r="A135" i="3"/>
  <c r="B135" i="3"/>
  <c r="AA134" i="3"/>
  <c r="U134" i="3"/>
  <c r="V134" i="3"/>
  <c r="T134" i="3"/>
  <c r="Y134" i="3"/>
  <c r="X134" i="3"/>
  <c r="S134" i="3"/>
  <c r="Z134" i="3"/>
  <c r="W134" i="3"/>
  <c r="A161" i="3"/>
  <c r="B161" i="3"/>
  <c r="A142" i="3"/>
  <c r="B142" i="3"/>
  <c r="B146" i="3"/>
  <c r="A146" i="3"/>
  <c r="A162" i="3"/>
  <c r="C162" i="3"/>
  <c r="E162" i="3"/>
  <c r="B162" i="3"/>
  <c r="T132" i="3"/>
  <c r="H132" i="3"/>
  <c r="S132" i="3"/>
  <c r="G132" i="3"/>
  <c r="Z132" i="3"/>
  <c r="Y132" i="3"/>
  <c r="V132" i="3"/>
  <c r="W132" i="3"/>
  <c r="X132" i="3"/>
  <c r="U132" i="3"/>
  <c r="AA132" i="3"/>
  <c r="A147" i="3"/>
  <c r="B147" i="3"/>
  <c r="A141" i="3"/>
  <c r="B141" i="3"/>
  <c r="B127" i="3"/>
  <c r="A127" i="3"/>
  <c r="B154" i="3"/>
  <c r="A154" i="3"/>
  <c r="A129" i="3"/>
  <c r="C129" i="3"/>
  <c r="E129" i="3"/>
  <c r="B129" i="3"/>
  <c r="A144" i="3"/>
  <c r="C144" i="3"/>
  <c r="B144" i="3"/>
  <c r="A149" i="3"/>
  <c r="A61" i="27"/>
  <c r="B61" i="27"/>
  <c r="B149" i="3"/>
  <c r="A153" i="3"/>
  <c r="B153" i="3"/>
  <c r="B156" i="3"/>
  <c r="A156" i="3"/>
  <c r="C156" i="3"/>
  <c r="E156" i="3"/>
  <c r="A164" i="3"/>
  <c r="B164" i="3"/>
  <c r="A53" i="31"/>
  <c r="L53" i="31"/>
  <c r="J132" i="3"/>
  <c r="N132" i="3"/>
  <c r="M132" i="3"/>
  <c r="L132" i="3"/>
  <c r="K132" i="3"/>
  <c r="I132" i="3"/>
  <c r="O132" i="3"/>
  <c r="A130" i="3"/>
  <c r="B130" i="3"/>
  <c r="B159" i="3"/>
  <c r="A159" i="3"/>
  <c r="A151" i="3"/>
  <c r="C151" i="3"/>
  <c r="E151" i="3"/>
  <c r="B151" i="3"/>
  <c r="B152" i="3"/>
  <c r="A152" i="3"/>
  <c r="A128" i="3"/>
  <c r="C128" i="3"/>
  <c r="E128" i="3"/>
  <c r="B128" i="3"/>
  <c r="B158" i="3"/>
  <c r="A158" i="3"/>
  <c r="A46" i="27"/>
  <c r="B46" i="27"/>
  <c r="A133" i="3"/>
  <c r="B133" i="3"/>
  <c r="B83" i="31"/>
  <c r="B80" i="31"/>
  <c r="B82" i="31"/>
  <c r="B81" i="31"/>
  <c r="B75" i="31"/>
  <c r="B76" i="31"/>
  <c r="B78" i="31"/>
  <c r="B77" i="31"/>
  <c r="B72" i="31"/>
  <c r="B70" i="31"/>
  <c r="B71" i="31"/>
  <c r="B73" i="31"/>
  <c r="B68" i="31"/>
  <c r="B67" i="31"/>
  <c r="B66" i="31"/>
  <c r="B65" i="31"/>
  <c r="B63" i="31"/>
  <c r="B60" i="31"/>
  <c r="B62" i="31"/>
  <c r="B61" i="31"/>
  <c r="B49" i="31"/>
  <c r="B48" i="31"/>
  <c r="B46" i="31"/>
  <c r="B47" i="31"/>
  <c r="F132" i="3"/>
  <c r="F134" i="3"/>
  <c r="I62" i="2"/>
  <c r="K62" i="2"/>
  <c r="I61" i="2"/>
  <c r="K61" i="2"/>
  <c r="I60" i="2"/>
  <c r="K60" i="2"/>
  <c r="I59" i="2"/>
  <c r="K59" i="2"/>
  <c r="I58" i="2"/>
  <c r="K58" i="2"/>
  <c r="I57" i="2"/>
  <c r="K57" i="2"/>
  <c r="I56" i="2"/>
  <c r="K56" i="2"/>
  <c r="I55" i="2"/>
  <c r="K55" i="2"/>
  <c r="I54" i="2"/>
  <c r="K54" i="2"/>
  <c r="I53" i="2"/>
  <c r="K53" i="2"/>
  <c r="I52" i="2"/>
  <c r="K52" i="2"/>
  <c r="I51" i="2"/>
  <c r="K51" i="2"/>
  <c r="I50" i="2"/>
  <c r="K50" i="2"/>
  <c r="I49" i="2"/>
  <c r="K49" i="2"/>
  <c r="I48" i="2"/>
  <c r="K48" i="2"/>
  <c r="I47" i="2"/>
  <c r="K47" i="2"/>
  <c r="I46" i="2"/>
  <c r="K46" i="2"/>
  <c r="I45" i="2"/>
  <c r="K45" i="2"/>
  <c r="I44" i="2"/>
  <c r="K44" i="2"/>
  <c r="I43" i="2"/>
  <c r="K43" i="2"/>
  <c r="I42" i="2"/>
  <c r="K42" i="2"/>
  <c r="I41" i="2"/>
  <c r="K41" i="2"/>
  <c r="I40" i="2"/>
  <c r="K40" i="2"/>
  <c r="I39" i="2"/>
  <c r="K39" i="2"/>
  <c r="I38" i="2"/>
  <c r="K38" i="2"/>
  <c r="I37" i="2"/>
  <c r="K37" i="2"/>
  <c r="I36" i="2"/>
  <c r="K36" i="2"/>
  <c r="I35" i="2"/>
  <c r="K35" i="2"/>
  <c r="I34" i="2"/>
  <c r="K34" i="2"/>
  <c r="I33" i="2"/>
  <c r="K33" i="2"/>
  <c r="I32" i="2"/>
  <c r="K32" i="2"/>
  <c r="I31" i="2"/>
  <c r="K31" i="2"/>
  <c r="I30" i="2"/>
  <c r="K30" i="2"/>
  <c r="L23" i="28"/>
  <c r="H134" i="3"/>
  <c r="A45" i="27"/>
  <c r="B45" i="27"/>
  <c r="C133" i="3"/>
  <c r="E133" i="3"/>
  <c r="A54" i="31"/>
  <c r="L54" i="31"/>
  <c r="C135" i="3"/>
  <c r="E135" i="3"/>
  <c r="A57" i="31"/>
  <c r="L57" i="31"/>
  <c r="G134" i="3"/>
  <c r="AA138" i="3"/>
  <c r="X138" i="3"/>
  <c r="Z138" i="3"/>
  <c r="S138" i="3"/>
  <c r="W138" i="3"/>
  <c r="Y138" i="3"/>
  <c r="T138" i="3"/>
  <c r="V138" i="3"/>
  <c r="U138" i="3"/>
  <c r="C138" i="3"/>
  <c r="K138" i="3"/>
  <c r="O38" i="3"/>
  <c r="N138" i="3"/>
  <c r="J138" i="3"/>
  <c r="M138" i="3"/>
  <c r="L138" i="3"/>
  <c r="O138" i="3"/>
  <c r="I138" i="3"/>
  <c r="F138" i="3"/>
  <c r="C136" i="3"/>
  <c r="K136" i="3"/>
  <c r="J136" i="3"/>
  <c r="L136" i="3"/>
  <c r="O136" i="3"/>
  <c r="I136" i="3"/>
  <c r="N136" i="3"/>
  <c r="N38" i="3"/>
  <c r="M136" i="3"/>
  <c r="F136" i="3"/>
  <c r="U136" i="3"/>
  <c r="T136" i="3"/>
  <c r="S136" i="3"/>
  <c r="Y136" i="3"/>
  <c r="X136" i="3"/>
  <c r="W136" i="3"/>
  <c r="V136" i="3"/>
  <c r="AA136" i="3"/>
  <c r="Z136" i="3"/>
  <c r="A139" i="3"/>
  <c r="B139" i="3"/>
  <c r="A67" i="31"/>
  <c r="L67" i="31"/>
  <c r="A137" i="3"/>
  <c r="B137" i="3"/>
  <c r="A60" i="27"/>
  <c r="B60" i="27"/>
  <c r="A56" i="27"/>
  <c r="B56" i="27"/>
  <c r="L34" i="3"/>
  <c r="K34" i="3"/>
  <c r="C127" i="3"/>
  <c r="E127" i="3"/>
  <c r="O54" i="3"/>
  <c r="C159" i="3"/>
  <c r="E159" i="3"/>
  <c r="A63" i="31"/>
  <c r="L63" i="31"/>
  <c r="L46" i="3"/>
  <c r="J46" i="3"/>
  <c r="C146" i="3"/>
  <c r="E146" i="3"/>
  <c r="A70" i="27"/>
  <c r="B70" i="27"/>
  <c r="C158" i="3"/>
  <c r="E158" i="3"/>
  <c r="A77" i="31"/>
  <c r="L77" i="31"/>
  <c r="C141" i="3"/>
  <c r="E141" i="3"/>
  <c r="C143" i="3"/>
  <c r="E143" i="3"/>
  <c r="C130" i="3"/>
  <c r="E130" i="3"/>
  <c r="O34" i="3"/>
  <c r="A64" i="27"/>
  <c r="B64" i="27"/>
  <c r="C152" i="3"/>
  <c r="E152" i="3"/>
  <c r="O46" i="3"/>
  <c r="C149" i="3"/>
  <c r="E149" i="3"/>
  <c r="O50" i="3"/>
  <c r="C154" i="3"/>
  <c r="E154" i="3"/>
  <c r="M46" i="3"/>
  <c r="C147" i="3"/>
  <c r="E147" i="3"/>
  <c r="O58" i="3"/>
  <c r="C164" i="3"/>
  <c r="E164" i="3"/>
  <c r="L58" i="3"/>
  <c r="J58" i="3"/>
  <c r="C161" i="3"/>
  <c r="E161" i="3"/>
  <c r="N50" i="3"/>
  <c r="C153" i="3"/>
  <c r="E153" i="3"/>
  <c r="C142" i="3"/>
  <c r="E142" i="3"/>
  <c r="J38" i="3"/>
  <c r="A83" i="31"/>
  <c r="L83" i="31"/>
  <c r="A73" i="31"/>
  <c r="L73" i="31"/>
  <c r="A76" i="27"/>
  <c r="B76" i="27"/>
  <c r="A78" i="31"/>
  <c r="L78" i="31"/>
  <c r="A71" i="27"/>
  <c r="B71" i="27"/>
  <c r="A66" i="27"/>
  <c r="B66" i="27"/>
  <c r="A65" i="27"/>
  <c r="B65" i="27"/>
  <c r="A72" i="31"/>
  <c r="L72" i="31"/>
  <c r="A68" i="31"/>
  <c r="L68" i="31"/>
  <c r="O42" i="3"/>
  <c r="E144" i="3"/>
  <c r="A71" i="31"/>
  <c r="L71" i="31"/>
  <c r="F158" i="3"/>
  <c r="N54" i="3"/>
  <c r="F148" i="3"/>
  <c r="N46" i="3"/>
  <c r="A74" i="27"/>
  <c r="B74" i="27"/>
  <c r="M58" i="3"/>
  <c r="A63" i="27"/>
  <c r="B63" i="27"/>
  <c r="L50" i="3"/>
  <c r="J50" i="3"/>
  <c r="A60" i="31"/>
  <c r="L60" i="31"/>
  <c r="L42" i="3"/>
  <c r="J42" i="3"/>
  <c r="A82" i="31"/>
  <c r="L82" i="31"/>
  <c r="N58" i="3"/>
  <c r="A62" i="31"/>
  <c r="L62" i="31"/>
  <c r="N42" i="3"/>
  <c r="F152" i="3"/>
  <c r="M50" i="3"/>
  <c r="A68" i="27"/>
  <c r="B68" i="27"/>
  <c r="L54" i="3"/>
  <c r="J54" i="3"/>
  <c r="A54" i="27"/>
  <c r="B54" i="27"/>
  <c r="M42" i="3"/>
  <c r="A69" i="27"/>
  <c r="B69" i="27"/>
  <c r="M54" i="3"/>
  <c r="A49" i="31"/>
  <c r="L49" i="31"/>
  <c r="A47" i="31"/>
  <c r="L47" i="31"/>
  <c r="M34" i="3"/>
  <c r="A48" i="31"/>
  <c r="L48" i="31"/>
  <c r="N34" i="3"/>
  <c r="A39" i="27"/>
  <c r="B39" i="27"/>
  <c r="F157" i="3"/>
  <c r="A47" i="27"/>
  <c r="B47" i="27"/>
  <c r="A55" i="27"/>
  <c r="B55" i="27"/>
  <c r="A75" i="31"/>
  <c r="L75" i="31"/>
  <c r="A52" i="31"/>
  <c r="L52" i="31"/>
  <c r="A46" i="31"/>
  <c r="L46" i="31"/>
  <c r="A81" i="31"/>
  <c r="L81" i="31"/>
  <c r="F135" i="3"/>
  <c r="A42" i="27"/>
  <c r="B42" i="27"/>
  <c r="A76" i="31"/>
  <c r="L76" i="31"/>
  <c r="A53" i="27"/>
  <c r="B53" i="27"/>
  <c r="A70" i="31"/>
  <c r="L70" i="31"/>
  <c r="A40" i="27"/>
  <c r="B40" i="27"/>
  <c r="F142" i="3"/>
  <c r="F133" i="3"/>
  <c r="A61" i="31"/>
  <c r="L61" i="31"/>
  <c r="F141" i="3"/>
  <c r="N147" i="3"/>
  <c r="L147" i="3"/>
  <c r="M147" i="3"/>
  <c r="K147" i="3"/>
  <c r="J147" i="3"/>
  <c r="I147" i="3"/>
  <c r="O147" i="3"/>
  <c r="AA148" i="3"/>
  <c r="Z148" i="3"/>
  <c r="S148" i="3"/>
  <c r="G148" i="3"/>
  <c r="U148" i="3"/>
  <c r="X148" i="3"/>
  <c r="V148" i="3"/>
  <c r="W148" i="3"/>
  <c r="T148" i="3"/>
  <c r="H148" i="3"/>
  <c r="Y148" i="3"/>
  <c r="T164" i="3"/>
  <c r="AA164" i="3"/>
  <c r="V164" i="3"/>
  <c r="W164" i="3"/>
  <c r="U164" i="3"/>
  <c r="S164" i="3"/>
  <c r="Z164" i="3"/>
  <c r="Y164" i="3"/>
  <c r="X164" i="3"/>
  <c r="W153" i="3"/>
  <c r="V153" i="3"/>
  <c r="U153" i="3"/>
  <c r="T153" i="3"/>
  <c r="Z153" i="3"/>
  <c r="Y153" i="3"/>
  <c r="X153" i="3"/>
  <c r="AA153" i="3"/>
  <c r="S153" i="3"/>
  <c r="X144" i="3"/>
  <c r="Z144" i="3"/>
  <c r="Y144" i="3"/>
  <c r="V144" i="3"/>
  <c r="W144" i="3"/>
  <c r="U144" i="3"/>
  <c r="S144" i="3"/>
  <c r="AA144" i="3"/>
  <c r="T144" i="3"/>
  <c r="K154" i="3"/>
  <c r="L154" i="3"/>
  <c r="I154" i="3"/>
  <c r="J154" i="3"/>
  <c r="N154" i="3"/>
  <c r="M154" i="3"/>
  <c r="O154" i="3"/>
  <c r="V146" i="3"/>
  <c r="X146" i="3"/>
  <c r="T146" i="3"/>
  <c r="W146" i="3"/>
  <c r="U146" i="3"/>
  <c r="AA146" i="3"/>
  <c r="S146" i="3"/>
  <c r="Z146" i="3"/>
  <c r="Y146" i="3"/>
  <c r="I161" i="3"/>
  <c r="M161" i="3"/>
  <c r="L161" i="3"/>
  <c r="K161" i="3"/>
  <c r="J161" i="3"/>
  <c r="O161" i="3"/>
  <c r="N161" i="3"/>
  <c r="Y163" i="3"/>
  <c r="V163" i="3"/>
  <c r="U163" i="3"/>
  <c r="W163" i="3"/>
  <c r="T163" i="3"/>
  <c r="H163" i="3"/>
  <c r="S163" i="3"/>
  <c r="G163" i="3"/>
  <c r="X163" i="3"/>
  <c r="Z163" i="3"/>
  <c r="AA163" i="3"/>
  <c r="X133" i="3"/>
  <c r="W133" i="3"/>
  <c r="K133" i="3"/>
  <c r="T133" i="3"/>
  <c r="Z133" i="3"/>
  <c r="AA133" i="3"/>
  <c r="O133" i="3"/>
  <c r="U133" i="3"/>
  <c r="I133" i="3"/>
  <c r="V133" i="3"/>
  <c r="J133" i="3"/>
  <c r="Y133" i="3"/>
  <c r="M133" i="3"/>
  <c r="S133" i="3"/>
  <c r="L164" i="3"/>
  <c r="J164" i="3"/>
  <c r="M164" i="3"/>
  <c r="I164" i="3"/>
  <c r="K164" i="3"/>
  <c r="O164" i="3"/>
  <c r="N164" i="3"/>
  <c r="J153" i="3"/>
  <c r="O153" i="3"/>
  <c r="N153" i="3"/>
  <c r="M153" i="3"/>
  <c r="I153" i="3"/>
  <c r="L153" i="3"/>
  <c r="K153" i="3"/>
  <c r="L144" i="3"/>
  <c r="J144" i="3"/>
  <c r="K144" i="3"/>
  <c r="O144" i="3"/>
  <c r="I144" i="3"/>
  <c r="N144" i="3"/>
  <c r="M144" i="3"/>
  <c r="X154" i="3"/>
  <c r="Z154" i="3"/>
  <c r="V154" i="3"/>
  <c r="Y154" i="3"/>
  <c r="W154" i="3"/>
  <c r="AA154" i="3"/>
  <c r="S154" i="3"/>
  <c r="U154" i="3"/>
  <c r="T154" i="3"/>
  <c r="N163" i="3"/>
  <c r="M163" i="3"/>
  <c r="K163" i="3"/>
  <c r="I163" i="3"/>
  <c r="L163" i="3"/>
  <c r="J163" i="3"/>
  <c r="O163" i="3"/>
  <c r="T158" i="3"/>
  <c r="Y158" i="3"/>
  <c r="X158" i="3"/>
  <c r="U158" i="3"/>
  <c r="AA158" i="3"/>
  <c r="W158" i="3"/>
  <c r="V158" i="3"/>
  <c r="Z158" i="3"/>
  <c r="S158" i="3"/>
  <c r="T156" i="3"/>
  <c r="H156" i="3"/>
  <c r="W156" i="3"/>
  <c r="AA156" i="3"/>
  <c r="S156" i="3"/>
  <c r="G156" i="3"/>
  <c r="Z156" i="3"/>
  <c r="Y156" i="3"/>
  <c r="X156" i="3"/>
  <c r="U156" i="3"/>
  <c r="V156" i="3"/>
  <c r="L146" i="3"/>
  <c r="K146" i="3"/>
  <c r="I146" i="3"/>
  <c r="N146" i="3"/>
  <c r="J146" i="3"/>
  <c r="O146" i="3"/>
  <c r="M146" i="3"/>
  <c r="S141" i="3"/>
  <c r="Y141" i="3"/>
  <c r="AA141" i="3"/>
  <c r="W141" i="3"/>
  <c r="U141" i="3"/>
  <c r="T141" i="3"/>
  <c r="X141" i="3"/>
  <c r="Z141" i="3"/>
  <c r="V141" i="3"/>
  <c r="F146" i="3"/>
  <c r="S162" i="3"/>
  <c r="G162" i="3"/>
  <c r="X162" i="3"/>
  <c r="Y162" i="3"/>
  <c r="Z162" i="3"/>
  <c r="T162" i="3"/>
  <c r="H162" i="3"/>
  <c r="W162" i="3"/>
  <c r="AA162" i="3"/>
  <c r="V162" i="3"/>
  <c r="U162" i="3"/>
  <c r="S128" i="3"/>
  <c r="G128" i="3"/>
  <c r="Z128" i="3"/>
  <c r="X128" i="3"/>
  <c r="W128" i="3"/>
  <c r="T128" i="3"/>
  <c r="H128" i="3"/>
  <c r="Y128" i="3"/>
  <c r="AA128" i="3"/>
  <c r="U128" i="3"/>
  <c r="V128" i="3"/>
  <c r="Z151" i="3"/>
  <c r="W151" i="3"/>
  <c r="V151" i="3"/>
  <c r="U151" i="3"/>
  <c r="S151" i="3"/>
  <c r="G151" i="3"/>
  <c r="T151" i="3"/>
  <c r="H151" i="3"/>
  <c r="AA151" i="3"/>
  <c r="X151" i="3"/>
  <c r="Y151" i="3"/>
  <c r="W130" i="3"/>
  <c r="T130" i="3"/>
  <c r="X130" i="3"/>
  <c r="AA130" i="3"/>
  <c r="S130" i="3"/>
  <c r="U130" i="3"/>
  <c r="Z130" i="3"/>
  <c r="Y130" i="3"/>
  <c r="V130" i="3"/>
  <c r="T149" i="3"/>
  <c r="Y149" i="3"/>
  <c r="U149" i="3"/>
  <c r="S149" i="3"/>
  <c r="Z149" i="3"/>
  <c r="X149" i="3"/>
  <c r="W149" i="3"/>
  <c r="V149" i="3"/>
  <c r="AA149" i="3"/>
  <c r="A66" i="31"/>
  <c r="L66" i="31"/>
  <c r="J162" i="3"/>
  <c r="N162" i="3"/>
  <c r="O162" i="3"/>
  <c r="M162" i="3"/>
  <c r="I162" i="3"/>
  <c r="L162" i="3"/>
  <c r="K162" i="3"/>
  <c r="N142" i="3"/>
  <c r="M142" i="3"/>
  <c r="L142" i="3"/>
  <c r="K142" i="3"/>
  <c r="I142" i="3"/>
  <c r="J142" i="3"/>
  <c r="O142" i="3"/>
  <c r="M157" i="3"/>
  <c r="L157" i="3"/>
  <c r="K157" i="3"/>
  <c r="I157" i="3"/>
  <c r="O157" i="3"/>
  <c r="J157" i="3"/>
  <c r="N157" i="3"/>
  <c r="X143" i="3"/>
  <c r="U143" i="3"/>
  <c r="T143" i="3"/>
  <c r="AA143" i="3"/>
  <c r="S143" i="3"/>
  <c r="Y143" i="3"/>
  <c r="W143" i="3"/>
  <c r="V143" i="3"/>
  <c r="Z143" i="3"/>
  <c r="AA159" i="3"/>
  <c r="X159" i="3"/>
  <c r="W159" i="3"/>
  <c r="V159" i="3"/>
  <c r="U159" i="3"/>
  <c r="T159" i="3"/>
  <c r="S159" i="3"/>
  <c r="Y159" i="3"/>
  <c r="Z159" i="3"/>
  <c r="K129" i="3"/>
  <c r="O129" i="3"/>
  <c r="M129" i="3"/>
  <c r="I129" i="3"/>
  <c r="J129" i="3"/>
  <c r="N129" i="3"/>
  <c r="L129" i="3"/>
  <c r="N141" i="3"/>
  <c r="I141" i="3"/>
  <c r="M141" i="3"/>
  <c r="O141" i="3"/>
  <c r="L141" i="3"/>
  <c r="J141" i="3"/>
  <c r="K141" i="3"/>
  <c r="O128" i="3"/>
  <c r="M128" i="3"/>
  <c r="L128" i="3"/>
  <c r="J128" i="3"/>
  <c r="N128" i="3"/>
  <c r="K128" i="3"/>
  <c r="I128" i="3"/>
  <c r="O151" i="3"/>
  <c r="M151" i="3"/>
  <c r="I151" i="3"/>
  <c r="N151" i="3"/>
  <c r="L151" i="3"/>
  <c r="K151" i="3"/>
  <c r="J151" i="3"/>
  <c r="J130" i="3"/>
  <c r="K130" i="3"/>
  <c r="N130" i="3"/>
  <c r="I130" i="3"/>
  <c r="M130" i="3"/>
  <c r="L130" i="3"/>
  <c r="O130" i="3"/>
  <c r="O149" i="3"/>
  <c r="I149" i="3"/>
  <c r="N149" i="3"/>
  <c r="M149" i="3"/>
  <c r="L149" i="3"/>
  <c r="K149" i="3"/>
  <c r="J149" i="3"/>
  <c r="A41" i="27"/>
  <c r="B41" i="27"/>
  <c r="A59" i="27"/>
  <c r="B59" i="27"/>
  <c r="A65" i="31"/>
  <c r="L65" i="31"/>
  <c r="A80" i="31"/>
  <c r="L80" i="31"/>
  <c r="V157" i="3"/>
  <c r="T157" i="3"/>
  <c r="H157" i="3"/>
  <c r="AA157" i="3"/>
  <c r="U157" i="3"/>
  <c r="Z157" i="3"/>
  <c r="Y157" i="3"/>
  <c r="W157" i="3"/>
  <c r="X157" i="3"/>
  <c r="S157" i="3"/>
  <c r="G157" i="3"/>
  <c r="I143" i="3"/>
  <c r="K143" i="3"/>
  <c r="J143" i="3"/>
  <c r="O143" i="3"/>
  <c r="N143" i="3"/>
  <c r="L143" i="3"/>
  <c r="M143" i="3"/>
  <c r="Y152" i="3"/>
  <c r="V152" i="3"/>
  <c r="Z152" i="3"/>
  <c r="W152" i="3"/>
  <c r="X152" i="3"/>
  <c r="U152" i="3"/>
  <c r="T152" i="3"/>
  <c r="AA152" i="3"/>
  <c r="S152" i="3"/>
  <c r="AA127" i="3"/>
  <c r="Z127" i="3"/>
  <c r="X127" i="3"/>
  <c r="Y127" i="3"/>
  <c r="W127" i="3"/>
  <c r="T127" i="3"/>
  <c r="U127" i="3"/>
  <c r="S127" i="3"/>
  <c r="V127" i="3"/>
  <c r="Z161" i="3"/>
  <c r="S161" i="3"/>
  <c r="U161" i="3"/>
  <c r="T161" i="3"/>
  <c r="Y161" i="3"/>
  <c r="X161" i="3"/>
  <c r="AA161" i="3"/>
  <c r="W161" i="3"/>
  <c r="V161" i="3"/>
  <c r="Y135" i="3"/>
  <c r="X135" i="3"/>
  <c r="V135" i="3"/>
  <c r="U135" i="3"/>
  <c r="W135" i="3"/>
  <c r="Z135" i="3"/>
  <c r="AA135" i="3"/>
  <c r="T135" i="3"/>
  <c r="S135" i="3"/>
  <c r="Y142" i="3"/>
  <c r="X142" i="3"/>
  <c r="V142" i="3"/>
  <c r="U142" i="3"/>
  <c r="AA142" i="3"/>
  <c r="W142" i="3"/>
  <c r="S142" i="3"/>
  <c r="T142" i="3"/>
  <c r="Z142" i="3"/>
  <c r="F147" i="3"/>
  <c r="M158" i="3"/>
  <c r="K158" i="3"/>
  <c r="J158" i="3"/>
  <c r="I158" i="3"/>
  <c r="N158" i="3"/>
  <c r="L158" i="3"/>
  <c r="O158" i="3"/>
  <c r="J152" i="3"/>
  <c r="K152" i="3"/>
  <c r="O152" i="3"/>
  <c r="N152" i="3"/>
  <c r="M152" i="3"/>
  <c r="L152" i="3"/>
  <c r="I152" i="3"/>
  <c r="O159" i="3"/>
  <c r="L159" i="3"/>
  <c r="M159" i="3"/>
  <c r="N159" i="3"/>
  <c r="K159" i="3"/>
  <c r="J159" i="3"/>
  <c r="I159" i="3"/>
  <c r="M156" i="3"/>
  <c r="I156" i="3"/>
  <c r="J156" i="3"/>
  <c r="O156" i="3"/>
  <c r="L156" i="3"/>
  <c r="N156" i="3"/>
  <c r="K156" i="3"/>
  <c r="W129" i="3"/>
  <c r="T129" i="3"/>
  <c r="H129" i="3"/>
  <c r="AA129" i="3"/>
  <c r="X129" i="3"/>
  <c r="Y129" i="3"/>
  <c r="S129" i="3"/>
  <c r="G129" i="3"/>
  <c r="Z129" i="3"/>
  <c r="U129" i="3"/>
  <c r="V129" i="3"/>
  <c r="I127" i="3"/>
  <c r="N127" i="3"/>
  <c r="L127" i="3"/>
  <c r="K127" i="3"/>
  <c r="O127" i="3"/>
  <c r="M127" i="3"/>
  <c r="J127" i="3"/>
  <c r="T147" i="3"/>
  <c r="Z147" i="3"/>
  <c r="Y147" i="3"/>
  <c r="AA147" i="3"/>
  <c r="X147" i="3"/>
  <c r="W147" i="3"/>
  <c r="U147" i="3"/>
  <c r="V147" i="3"/>
  <c r="S147" i="3"/>
  <c r="A58" i="27"/>
  <c r="B58" i="27"/>
  <c r="A73" i="27"/>
  <c r="B73" i="27"/>
  <c r="A75" i="27"/>
  <c r="B75" i="27"/>
  <c r="O148" i="3"/>
  <c r="M148" i="3"/>
  <c r="J148" i="3"/>
  <c r="N148" i="3"/>
  <c r="L148" i="3"/>
  <c r="K148" i="3"/>
  <c r="I148" i="3"/>
  <c r="F161" i="3"/>
  <c r="F164" i="3"/>
  <c r="F162" i="3"/>
  <c r="F163" i="3"/>
  <c r="F156" i="3"/>
  <c r="F159" i="3"/>
  <c r="F153" i="3"/>
  <c r="F151" i="3"/>
  <c r="F154" i="3"/>
  <c r="F149" i="3"/>
  <c r="F144" i="3"/>
  <c r="F143" i="3"/>
  <c r="F128" i="3"/>
  <c r="F127" i="3"/>
  <c r="F130" i="3"/>
  <c r="F129" i="3"/>
  <c r="F125" i="3"/>
  <c r="D125" i="3"/>
  <c r="C125" i="3"/>
  <c r="AD38" i="4"/>
  <c r="AD39" i="4"/>
  <c r="AD40" i="4"/>
  <c r="AD41" i="4"/>
  <c r="AD42" i="4"/>
  <c r="AD43" i="4"/>
  <c r="AD44" i="4"/>
  <c r="AD45" i="4"/>
  <c r="AD46" i="4"/>
  <c r="AD47" i="4"/>
  <c r="AD48" i="4"/>
  <c r="AD49" i="4"/>
  <c r="AD50" i="4"/>
  <c r="AD51" i="4"/>
  <c r="AD52" i="4"/>
  <c r="AD53" i="4"/>
  <c r="AD54" i="4"/>
  <c r="AD55" i="4"/>
  <c r="AD56" i="4"/>
  <c r="AD57"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37" i="4"/>
  <c r="G135" i="3"/>
  <c r="M135" i="3"/>
  <c r="G133" i="3"/>
  <c r="L133" i="3"/>
  <c r="H133" i="3"/>
  <c r="N133" i="3"/>
  <c r="H127" i="3"/>
  <c r="G127" i="3"/>
  <c r="H135" i="3"/>
  <c r="J135" i="3"/>
  <c r="O135" i="3"/>
  <c r="A49" i="27"/>
  <c r="B49" i="27"/>
  <c r="C137" i="3"/>
  <c r="E137" i="3"/>
  <c r="L135" i="3"/>
  <c r="G149" i="3"/>
  <c r="H149" i="3"/>
  <c r="N135" i="3"/>
  <c r="K135" i="3"/>
  <c r="J34" i="3"/>
  <c r="A58" i="31"/>
  <c r="C139" i="3"/>
  <c r="E139" i="3"/>
  <c r="I135" i="3"/>
  <c r="P39" i="3" a="1"/>
  <c r="P39" i="3"/>
  <c r="Q39" i="3" a="1"/>
  <c r="Q39" i="3"/>
  <c r="G164" i="3"/>
  <c r="A51" i="27"/>
  <c r="B51" i="27"/>
  <c r="F139" i="3"/>
  <c r="G158" i="3"/>
  <c r="G152" i="3"/>
  <c r="H153" i="3"/>
  <c r="A56" i="31"/>
  <c r="F137" i="3"/>
  <c r="Z137" i="3"/>
  <c r="Y137" i="3"/>
  <c r="U137" i="3"/>
  <c r="X137" i="3"/>
  <c r="W137" i="3"/>
  <c r="V137" i="3"/>
  <c r="T137" i="3"/>
  <c r="AA137" i="3"/>
  <c r="S137" i="3"/>
  <c r="H158" i="3"/>
  <c r="E136" i="3"/>
  <c r="M48" i="27"/>
  <c r="H164" i="3"/>
  <c r="E138" i="3"/>
  <c r="J50" i="27"/>
  <c r="W139" i="3"/>
  <c r="S139" i="3"/>
  <c r="U139" i="3"/>
  <c r="AA139" i="3"/>
  <c r="T139" i="3"/>
  <c r="Z139" i="3"/>
  <c r="X139" i="3"/>
  <c r="V139" i="3"/>
  <c r="Y139" i="3"/>
  <c r="G154" i="3"/>
  <c r="G144" i="3"/>
  <c r="G146" i="3"/>
  <c r="G159" i="3"/>
  <c r="H154" i="3"/>
  <c r="H152" i="3"/>
  <c r="G153" i="3"/>
  <c r="H143" i="3"/>
  <c r="H130" i="3"/>
  <c r="G143" i="3"/>
  <c r="G130" i="3"/>
  <c r="H141" i="3"/>
  <c r="G141" i="3"/>
  <c r="H144" i="3"/>
  <c r="G142" i="3"/>
  <c r="H161" i="3"/>
  <c r="H146" i="3"/>
  <c r="P47" i="3" a="1"/>
  <c r="P47" i="3"/>
  <c r="Q47" i="3" a="1"/>
  <c r="Q47" i="3"/>
  <c r="G147" i="3"/>
  <c r="H147" i="3"/>
  <c r="H142" i="3"/>
  <c r="G161" i="3"/>
  <c r="H159" i="3"/>
  <c r="P35" i="3" a="1"/>
  <c r="P35" i="3"/>
  <c r="Q35" i="3" a="1"/>
  <c r="Q35" i="3"/>
  <c r="P55" i="3" a="1"/>
  <c r="P55" i="3"/>
  <c r="Q55" i="3" a="1"/>
  <c r="Q55" i="3"/>
  <c r="P59" i="3" a="1"/>
  <c r="P59" i="3"/>
  <c r="Q59" i="3" a="1"/>
  <c r="Q59" i="3"/>
  <c r="P43" i="3" a="1"/>
  <c r="P43" i="3"/>
  <c r="Q43" i="3" a="1"/>
  <c r="Q43" i="3"/>
  <c r="P51" i="3" a="1"/>
  <c r="P51" i="3"/>
  <c r="Q51" i="3" a="1"/>
  <c r="Q51" i="3"/>
  <c r="F44" i="31"/>
  <c r="A27" i="39"/>
  <c r="G27" i="39"/>
  <c r="Q27" i="39"/>
  <c r="A24" i="39"/>
  <c r="A32" i="39"/>
  <c r="G137" i="3"/>
  <c r="N137" i="3"/>
  <c r="O139" i="3"/>
  <c r="I139" i="3"/>
  <c r="G139" i="3"/>
  <c r="M139" i="3"/>
  <c r="K139" i="3"/>
  <c r="O137" i="3"/>
  <c r="J137" i="3"/>
  <c r="J139" i="3"/>
  <c r="H137" i="3"/>
  <c r="N139" i="3"/>
  <c r="H139" i="3"/>
  <c r="M137" i="3"/>
  <c r="K137" i="3"/>
  <c r="L139" i="3"/>
  <c r="L137" i="3"/>
  <c r="I137" i="3"/>
  <c r="D56" i="31"/>
  <c r="L56" i="31"/>
  <c r="D58" i="31"/>
  <c r="L58" i="31"/>
  <c r="D55" i="31"/>
  <c r="I48" i="27"/>
  <c r="G48" i="27"/>
  <c r="H138" i="3"/>
  <c r="F50" i="27"/>
  <c r="H136" i="3"/>
  <c r="F48" i="27"/>
  <c r="K48" i="27"/>
  <c r="G136" i="3"/>
  <c r="E48" i="27"/>
  <c r="J48" i="27"/>
  <c r="G138" i="3"/>
  <c r="E50" i="27"/>
  <c r="D57" i="31"/>
  <c r="H48" i="27"/>
  <c r="I50" i="27"/>
  <c r="M50" i="27"/>
  <c r="G50" i="27"/>
  <c r="K50" i="27"/>
  <c r="L50" i="27"/>
  <c r="L48" i="27"/>
  <c r="H50" i="27"/>
  <c r="C57" i="41"/>
  <c r="C56" i="41"/>
  <c r="C55" i="41"/>
  <c r="C54" i="41"/>
  <c r="C53" i="41"/>
  <c r="C52" i="41"/>
  <c r="C51" i="41"/>
  <c r="C50" i="41"/>
  <c r="C49" i="41"/>
  <c r="C48" i="41"/>
  <c r="C47" i="41"/>
  <c r="C46" i="41"/>
  <c r="C45" i="41"/>
  <c r="C44" i="41"/>
  <c r="C43" i="41"/>
  <c r="C42" i="41"/>
  <c r="C41" i="41"/>
  <c r="C40" i="41"/>
  <c r="C39" i="41"/>
  <c r="C38" i="41"/>
  <c r="C37" i="41"/>
  <c r="C36" i="41"/>
  <c r="C35" i="41"/>
  <c r="S27" i="41"/>
  <c r="C49" i="27"/>
  <c r="F49" i="27"/>
  <c r="J49" i="27"/>
  <c r="H49" i="27"/>
  <c r="C51" i="27"/>
  <c r="E49" i="27"/>
  <c r="K49" i="27"/>
  <c r="S22" i="41"/>
  <c r="B57" i="41"/>
  <c r="A57" i="41"/>
  <c r="B56" i="41"/>
  <c r="A56" i="41"/>
  <c r="B55" i="41"/>
  <c r="A55" i="41"/>
  <c r="B54" i="41"/>
  <c r="A54" i="41"/>
  <c r="B53" i="41"/>
  <c r="A53" i="41"/>
  <c r="B52" i="41"/>
  <c r="A52" i="41"/>
  <c r="B51" i="41"/>
  <c r="A51" i="41"/>
  <c r="B50" i="41"/>
  <c r="A50" i="41"/>
  <c r="B49" i="41"/>
  <c r="A49" i="41"/>
  <c r="B48" i="41"/>
  <c r="A48" i="41"/>
  <c r="B47" i="41"/>
  <c r="A47" i="41"/>
  <c r="B46" i="41"/>
  <c r="A46" i="41"/>
  <c r="B45" i="41"/>
  <c r="A45" i="41"/>
  <c r="B44" i="41"/>
  <c r="A44" i="41"/>
  <c r="B43" i="41"/>
  <c r="A43" i="41"/>
  <c r="B42" i="41"/>
  <c r="A42" i="41"/>
  <c r="B41" i="41"/>
  <c r="A41" i="41"/>
  <c r="B40" i="41"/>
  <c r="A40" i="41"/>
  <c r="B39" i="41"/>
  <c r="A39" i="41"/>
  <c r="B38" i="41"/>
  <c r="A38" i="41"/>
  <c r="B37" i="41"/>
  <c r="A37" i="41"/>
  <c r="B36" i="41"/>
  <c r="A36" i="41"/>
  <c r="B35" i="41"/>
  <c r="A35" i="41"/>
  <c r="I49" i="27"/>
  <c r="G49" i="27"/>
  <c r="M49" i="27"/>
  <c r="D49" i="27"/>
  <c r="L49" i="27"/>
  <c r="D51" i="27"/>
  <c r="I51" i="27"/>
  <c r="J51" i="27"/>
  <c r="L51" i="27"/>
  <c r="F51" i="27"/>
  <c r="M51" i="27"/>
  <c r="E51" i="27"/>
  <c r="H51" i="27"/>
  <c r="G51" i="27"/>
  <c r="K51" i="27"/>
  <c r="O21" i="26"/>
  <c r="O16" i="26"/>
  <c r="O11" i="26"/>
  <c r="O6" i="26"/>
  <c r="O5" i="26"/>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K28" i="10"/>
  <c r="C26" i="18"/>
  <c r="C23" i="18"/>
  <c r="C22" i="18"/>
  <c r="C21" i="18"/>
  <c r="Q14" i="39"/>
  <c r="C15" i="21"/>
  <c r="C14" i="21"/>
  <c r="C13" i="21"/>
  <c r="A12" i="21"/>
  <c r="E10" i="21"/>
  <c r="A13" i="21"/>
  <c r="G6" i="21"/>
  <c r="G5" i="21"/>
  <c r="F6" i="21"/>
  <c r="F5" i="21"/>
  <c r="E6" i="21"/>
  <c r="E5" i="21"/>
  <c r="D6" i="21"/>
  <c r="D5" i="21"/>
  <c r="C6" i="21"/>
  <c r="C5" i="21"/>
  <c r="B6" i="21"/>
  <c r="B5" i="21"/>
  <c r="AE122" i="3"/>
  <c r="AK122" i="3"/>
  <c r="AF123" i="3"/>
  <c r="AE123" i="3"/>
  <c r="AK123" i="3"/>
  <c r="AL123" i="3"/>
  <c r="F24" i="18"/>
  <c r="E24" i="18"/>
  <c r="D24" i="18"/>
  <c r="AL127" i="3"/>
  <c r="AL131" i="3"/>
  <c r="AK127" i="3"/>
  <c r="AK131" i="3"/>
  <c r="AF131" i="3"/>
  <c r="AF127" i="3"/>
  <c r="AE127" i="3"/>
  <c r="AE131" i="3"/>
  <c r="V123" i="3"/>
  <c r="H123" i="3"/>
  <c r="Y123" i="3"/>
  <c r="E123" i="3"/>
  <c r="AK130" i="3"/>
  <c r="AK126" i="3"/>
  <c r="AE126" i="3"/>
  <c r="Y122" i="3"/>
  <c r="AE130" i="3"/>
  <c r="V9" i="39"/>
  <c r="Q9" i="39"/>
  <c r="Q11" i="39"/>
  <c r="V122" i="3"/>
  <c r="T123" i="3"/>
  <c r="G123" i="3"/>
  <c r="T122" i="3"/>
  <c r="W9" i="39"/>
  <c r="N13" i="39"/>
  <c r="A10" i="39"/>
  <c r="A12" i="39"/>
  <c r="A34" i="39"/>
  <c r="G34" i="39"/>
  <c r="A33" i="39"/>
  <c r="G33" i="39"/>
  <c r="G32" i="39"/>
  <c r="G31" i="39"/>
  <c r="A30" i="39"/>
  <c r="G30" i="39"/>
  <c r="A29" i="39"/>
  <c r="G29" i="39"/>
  <c r="A28" i="39"/>
  <c r="G28" i="39"/>
  <c r="Q34" i="39"/>
  <c r="Q33" i="39"/>
  <c r="Q32" i="39"/>
  <c r="A26" i="39"/>
  <c r="G26" i="39"/>
  <c r="A25" i="39"/>
  <c r="G25" i="39"/>
  <c r="G24" i="39"/>
  <c r="A23" i="39"/>
  <c r="G23" i="39"/>
  <c r="A22" i="39"/>
  <c r="G22" i="39"/>
  <c r="A21" i="39"/>
  <c r="G21" i="39"/>
  <c r="A20" i="39"/>
  <c r="G20" i="39"/>
  <c r="A19" i="39"/>
  <c r="G19" i="39"/>
  <c r="A18" i="39"/>
  <c r="G18" i="39"/>
  <c r="A17" i="39"/>
  <c r="G17" i="39"/>
  <c r="A16" i="39"/>
  <c r="G16" i="39"/>
  <c r="A14" i="39"/>
  <c r="G14" i="39"/>
  <c r="A15" i="39"/>
  <c r="G15" i="39"/>
  <c r="Q31" i="39"/>
  <c r="Q30" i="39"/>
  <c r="Q29" i="39"/>
  <c r="Q28" i="39"/>
  <c r="Q26" i="39"/>
  <c r="Q25" i="39"/>
  <c r="Q24" i="39"/>
  <c r="Q23" i="39"/>
  <c r="Q22" i="39"/>
  <c r="Q21" i="39"/>
  <c r="Q20" i="39"/>
  <c r="Q19" i="39"/>
  <c r="Q18" i="39"/>
  <c r="Q17" i="39"/>
  <c r="Q16" i="39"/>
  <c r="Q15" i="39"/>
  <c r="Y65" i="18"/>
  <c r="Q61" i="18"/>
  <c r="N57" i="18"/>
  <c r="G50" i="18"/>
  <c r="N48" i="18"/>
  <c r="D40" i="18"/>
  <c r="U24" i="18"/>
  <c r="Q65" i="18"/>
  <c r="N7" i="21"/>
  <c r="N8" i="21"/>
  <c r="P43" i="21"/>
  <c r="P35" i="21"/>
  <c r="Q26" i="21"/>
  <c r="Q22" i="21"/>
  <c r="Q18" i="21"/>
  <c r="C178" i="37"/>
  <c r="C177" i="37"/>
  <c r="C166" i="37"/>
  <c r="C165" i="37"/>
  <c r="C154" i="37"/>
  <c r="C153" i="37"/>
  <c r="C142" i="37"/>
  <c r="C141" i="37"/>
  <c r="C130" i="37"/>
  <c r="C129" i="37"/>
  <c r="C118" i="37"/>
  <c r="C117" i="37"/>
  <c r="C106" i="37"/>
  <c r="C105" i="37"/>
  <c r="C94" i="37"/>
  <c r="C93" i="37"/>
  <c r="C82" i="37"/>
  <c r="C81" i="37"/>
  <c r="C70" i="37"/>
  <c r="C69" i="37"/>
  <c r="C58" i="37"/>
  <c r="C57" i="37"/>
  <c r="C46" i="37"/>
  <c r="C45" i="37"/>
  <c r="C34" i="37"/>
  <c r="C33" i="37"/>
  <c r="C22" i="37"/>
  <c r="C21" i="37"/>
  <c r="C10" i="37"/>
  <c r="C9" i="37"/>
  <c r="P12" i="38"/>
  <c r="B12" i="38"/>
  <c r="G12" i="38"/>
  <c r="Q33" i="35"/>
  <c r="E33" i="35" s="1"/>
  <c r="Q34" i="35"/>
  <c r="Q35" i="35"/>
  <c r="Q36" i="35"/>
  <c r="E36" i="35" s="1"/>
  <c r="Q37" i="35"/>
  <c r="E37" i="35" s="1"/>
  <c r="Q38" i="35"/>
  <c r="E38" i="35" s="1"/>
  <c r="Q39" i="35"/>
  <c r="Q26" i="35"/>
  <c r="Q27" i="35"/>
  <c r="Q28" i="35"/>
  <c r="Q29" i="35"/>
  <c r="Q30" i="35"/>
  <c r="Q31" i="35"/>
  <c r="Q32" i="35"/>
  <c r="Q25" i="35"/>
  <c r="E25" i="35"/>
  <c r="M19" i="33"/>
  <c r="M18" i="33"/>
  <c r="M17" i="33"/>
  <c r="M16" i="33"/>
  <c r="M15" i="33"/>
  <c r="M14" i="33"/>
  <c r="M13" i="33"/>
  <c r="S45" i="4"/>
  <c r="S46" i="4"/>
  <c r="S47" i="4"/>
  <c r="S48" i="4"/>
  <c r="S49" i="4"/>
  <c r="S50" i="4"/>
  <c r="S51" i="4"/>
  <c r="S52" i="4"/>
  <c r="S53" i="4"/>
  <c r="S54" i="4"/>
  <c r="S55" i="4"/>
  <c r="S56" i="4"/>
  <c r="S57" i="4"/>
  <c r="S58" i="4"/>
  <c r="S59" i="4"/>
  <c r="S60" i="4"/>
  <c r="S61" i="4"/>
  <c r="S62" i="4"/>
  <c r="S63" i="4"/>
  <c r="S64" i="4"/>
  <c r="S65" i="4"/>
  <c r="S66" i="4"/>
  <c r="S67" i="4"/>
  <c r="S68" i="4"/>
  <c r="S69" i="4"/>
  <c r="S38" i="4"/>
  <c r="S39" i="4"/>
  <c r="S40" i="4"/>
  <c r="S41" i="4"/>
  <c r="S42" i="4"/>
  <c r="S43" i="4"/>
  <c r="S44" i="4"/>
  <c r="R38" i="4"/>
  <c r="R33" i="4"/>
  <c r="Q49" i="4"/>
  <c r="Q50" i="4"/>
  <c r="Q51" i="4"/>
  <c r="Q52" i="4"/>
  <c r="Q53" i="4"/>
  <c r="Q54" i="4"/>
  <c r="Q55" i="4"/>
  <c r="Q56" i="4"/>
  <c r="Q57" i="4"/>
  <c r="Q58" i="4"/>
  <c r="Q59" i="4"/>
  <c r="Q60" i="4"/>
  <c r="Q61" i="4"/>
  <c r="Q62" i="4"/>
  <c r="Q63" i="4"/>
  <c r="Q64" i="4"/>
  <c r="Q65" i="4"/>
  <c r="Q66" i="4"/>
  <c r="Q67" i="4"/>
  <c r="Q68" i="4"/>
  <c r="Q69" i="4"/>
  <c r="Q45" i="4"/>
  <c r="Q46" i="4"/>
  <c r="Q47" i="4"/>
  <c r="Q48" i="4"/>
  <c r="Q38" i="4"/>
  <c r="Q39" i="4"/>
  <c r="P45" i="4"/>
  <c r="P46" i="4"/>
  <c r="P47" i="4"/>
  <c r="P48" i="4"/>
  <c r="P49" i="4"/>
  <c r="P50" i="4"/>
  <c r="P51" i="4"/>
  <c r="P52" i="4"/>
  <c r="P53" i="4"/>
  <c r="P54" i="4"/>
  <c r="P55" i="4"/>
  <c r="P56" i="4"/>
  <c r="P57" i="4"/>
  <c r="P58" i="4"/>
  <c r="P59" i="4"/>
  <c r="P60" i="4"/>
  <c r="P61" i="4"/>
  <c r="P62" i="4"/>
  <c r="P63" i="4"/>
  <c r="P64" i="4"/>
  <c r="P65" i="4"/>
  <c r="P66" i="4"/>
  <c r="P67" i="4"/>
  <c r="P68" i="4"/>
  <c r="P69" i="4"/>
  <c r="P38" i="4"/>
  <c r="P39" i="4"/>
  <c r="P40" i="4"/>
  <c r="P41" i="4"/>
  <c r="P42" i="4"/>
  <c r="P43" i="4"/>
  <c r="P44" i="4"/>
  <c r="K60" i="33"/>
  <c r="K59" i="33"/>
  <c r="K58" i="33"/>
  <c r="K57" i="33"/>
  <c r="K56" i="33"/>
  <c r="K55" i="33"/>
  <c r="K54" i="33"/>
  <c r="K53" i="33"/>
  <c r="K52" i="33"/>
  <c r="K51" i="33"/>
  <c r="K50" i="33"/>
  <c r="K49" i="33"/>
  <c r="K48" i="33"/>
  <c r="K47" i="33"/>
  <c r="K46" i="33"/>
  <c r="K45" i="33"/>
  <c r="K44" i="33"/>
  <c r="K43" i="33"/>
  <c r="K42" i="33"/>
  <c r="K41" i="33"/>
  <c r="K40" i="33"/>
  <c r="K39" i="33"/>
  <c r="K38" i="33"/>
  <c r="K37" i="33"/>
  <c r="K36" i="33"/>
  <c r="K35" i="33"/>
  <c r="K34" i="33"/>
  <c r="K33" i="33"/>
  <c r="K32" i="33"/>
  <c r="K31" i="33"/>
  <c r="K30" i="33"/>
  <c r="K29" i="33"/>
  <c r="G29" i="33"/>
  <c r="S29" i="33"/>
  <c r="G30" i="33"/>
  <c r="G31" i="33"/>
  <c r="G32" i="33"/>
  <c r="S32" i="33"/>
  <c r="G33" i="33"/>
  <c r="S33" i="33"/>
  <c r="G34" i="33"/>
  <c r="S34" i="33"/>
  <c r="G35" i="33"/>
  <c r="S35" i="33"/>
  <c r="G36" i="33"/>
  <c r="S36" i="33"/>
  <c r="G37" i="33"/>
  <c r="S37" i="33"/>
  <c r="G38" i="33"/>
  <c r="S38" i="33"/>
  <c r="G39" i="33"/>
  <c r="S39" i="33"/>
  <c r="G40" i="33"/>
  <c r="S40" i="33"/>
  <c r="G41" i="33"/>
  <c r="S41" i="33"/>
  <c r="G42" i="33"/>
  <c r="S42" i="33"/>
  <c r="G43" i="33"/>
  <c r="S43" i="33"/>
  <c r="G44" i="33"/>
  <c r="S44" i="33"/>
  <c r="G45" i="33"/>
  <c r="S45" i="33"/>
  <c r="G46" i="33"/>
  <c r="S46" i="33"/>
  <c r="G47" i="33"/>
  <c r="S47" i="33"/>
  <c r="G48" i="33"/>
  <c r="S48" i="33"/>
  <c r="G49" i="33"/>
  <c r="S49" i="33"/>
  <c r="G50" i="33"/>
  <c r="S50" i="33"/>
  <c r="G51" i="33"/>
  <c r="S51" i="33"/>
  <c r="G52" i="33"/>
  <c r="S52" i="33"/>
  <c r="G53" i="33"/>
  <c r="S53" i="33"/>
  <c r="G54" i="33"/>
  <c r="S54" i="33"/>
  <c r="G55" i="33"/>
  <c r="S55" i="33"/>
  <c r="G56" i="33"/>
  <c r="S56" i="33"/>
  <c r="G57" i="33"/>
  <c r="S57" i="33"/>
  <c r="G58" i="33"/>
  <c r="S58" i="33"/>
  <c r="G59" i="33"/>
  <c r="S59" i="33"/>
  <c r="G60" i="33"/>
  <c r="S60" i="33"/>
  <c r="H29" i="33"/>
  <c r="H30" i="33"/>
  <c r="H34" i="33"/>
  <c r="H35" i="33"/>
  <c r="H36" i="33"/>
  <c r="H37" i="33"/>
  <c r="H38" i="33"/>
  <c r="H39" i="33"/>
  <c r="H40" i="33"/>
  <c r="H41" i="33"/>
  <c r="H42" i="33"/>
  <c r="H43" i="33"/>
  <c r="H44" i="33"/>
  <c r="H45" i="33"/>
  <c r="H46" i="33"/>
  <c r="H47" i="33"/>
  <c r="H48" i="33"/>
  <c r="H49" i="33"/>
  <c r="H50" i="33"/>
  <c r="H51" i="33"/>
  <c r="H52" i="33"/>
  <c r="H53" i="33"/>
  <c r="H54" i="33"/>
  <c r="H55" i="33"/>
  <c r="H56" i="33"/>
  <c r="H57" i="33"/>
  <c r="H58" i="33"/>
  <c r="H59" i="33"/>
  <c r="H60" i="33"/>
  <c r="Q40" i="4"/>
  <c r="H31" i="33"/>
  <c r="R39" i="4"/>
  <c r="L13" i="28"/>
  <c r="M24" i="28"/>
  <c r="M25" i="28"/>
  <c r="M26" i="28"/>
  <c r="M27" i="28"/>
  <c r="M28" i="28"/>
  <c r="M29" i="28"/>
  <c r="M30" i="28"/>
  <c r="M31" i="28"/>
  <c r="M32" i="28"/>
  <c r="M33" i="28"/>
  <c r="M34" i="28"/>
  <c r="M35" i="28"/>
  <c r="M36" i="28"/>
  <c r="M37" i="28"/>
  <c r="M38" i="28"/>
  <c r="M39" i="28"/>
  <c r="M40" i="28"/>
  <c r="M41" i="28"/>
  <c r="M42" i="28"/>
  <c r="M43" i="28"/>
  <c r="M44" i="28"/>
  <c r="M45" i="28"/>
  <c r="M46" i="28"/>
  <c r="M47" i="28"/>
  <c r="M48" i="28"/>
  <c r="M49" i="28"/>
  <c r="M50" i="28"/>
  <c r="M51" i="28"/>
  <c r="M52" i="28"/>
  <c r="M53" i="28"/>
  <c r="M54" i="28"/>
  <c r="M55" i="28"/>
  <c r="I55" i="28"/>
  <c r="I54" i="28"/>
  <c r="I53" i="28"/>
  <c r="I52" i="28"/>
  <c r="I51" i="28"/>
  <c r="I50" i="28"/>
  <c r="I49" i="28"/>
  <c r="I48" i="28"/>
  <c r="I47" i="28"/>
  <c r="I46" i="28"/>
  <c r="I45" i="28"/>
  <c r="I44" i="28"/>
  <c r="I43" i="28"/>
  <c r="I42" i="28"/>
  <c r="I41" i="28"/>
  <c r="I40" i="28"/>
  <c r="I39" i="28"/>
  <c r="I38" i="28"/>
  <c r="I37" i="28"/>
  <c r="I36" i="28"/>
  <c r="I35" i="28"/>
  <c r="I34" i="28"/>
  <c r="I33" i="28"/>
  <c r="I32" i="28"/>
  <c r="I31" i="28"/>
  <c r="I30" i="28"/>
  <c r="I29" i="28"/>
  <c r="I28" i="28"/>
  <c r="I27" i="28"/>
  <c r="I26" i="28"/>
  <c r="I25" i="28"/>
  <c r="I24" i="28"/>
  <c r="H55" i="28"/>
  <c r="H54" i="28"/>
  <c r="H53" i="28"/>
  <c r="H52" i="28"/>
  <c r="H51" i="28"/>
  <c r="H50" i="28"/>
  <c r="H49" i="28"/>
  <c r="H48" i="28"/>
  <c r="H47" i="28"/>
  <c r="H46" i="28"/>
  <c r="H45" i="28"/>
  <c r="H44" i="28"/>
  <c r="H43" i="28"/>
  <c r="H42" i="28"/>
  <c r="H41" i="28"/>
  <c r="H40" i="28"/>
  <c r="H39" i="28"/>
  <c r="H38" i="28"/>
  <c r="H37" i="28"/>
  <c r="H36" i="28"/>
  <c r="H35" i="28"/>
  <c r="H34" i="28"/>
  <c r="H33" i="28"/>
  <c r="H32" i="28"/>
  <c r="H31" i="28"/>
  <c r="H30" i="28"/>
  <c r="H29" i="28"/>
  <c r="H28" i="28"/>
  <c r="H27" i="28"/>
  <c r="H26" i="28"/>
  <c r="H25" i="28"/>
  <c r="E55" i="28"/>
  <c r="E54" i="28"/>
  <c r="E53" i="28"/>
  <c r="E52" i="28"/>
  <c r="E51" i="28"/>
  <c r="E50" i="28"/>
  <c r="E49" i="28"/>
  <c r="E48" i="28"/>
  <c r="E47" i="28"/>
  <c r="E46" i="28"/>
  <c r="E45" i="28"/>
  <c r="E44" i="28"/>
  <c r="E43" i="28"/>
  <c r="E42" i="28"/>
  <c r="E41" i="28"/>
  <c r="E40" i="28"/>
  <c r="E39" i="28"/>
  <c r="E38" i="28"/>
  <c r="E37" i="28"/>
  <c r="E36" i="28"/>
  <c r="E35" i="28"/>
  <c r="E34" i="28"/>
  <c r="E33" i="28"/>
  <c r="E32" i="28"/>
  <c r="E31" i="28"/>
  <c r="E30" i="28"/>
  <c r="E29" i="28"/>
  <c r="E28" i="28"/>
  <c r="E27" i="28"/>
  <c r="E26" i="28"/>
  <c r="E25" i="28"/>
  <c r="E24" i="28"/>
  <c r="K20" i="31"/>
  <c r="K21" i="31"/>
  <c r="K22" i="31"/>
  <c r="K23" i="31"/>
  <c r="K24" i="31"/>
  <c r="K25" i="31"/>
  <c r="K26" i="31"/>
  <c r="K27" i="31"/>
  <c r="K28" i="31"/>
  <c r="K29" i="31"/>
  <c r="K30" i="31"/>
  <c r="K31" i="31"/>
  <c r="K32" i="31"/>
  <c r="K33" i="31"/>
  <c r="K34" i="31"/>
  <c r="K35" i="31"/>
  <c r="K36" i="31"/>
  <c r="K37" i="31"/>
  <c r="K38" i="31"/>
  <c r="K39" i="31"/>
  <c r="K40" i="31"/>
  <c r="K41" i="31"/>
  <c r="K42" i="31"/>
  <c r="K43" i="31"/>
  <c r="K44" i="31"/>
  <c r="K45" i="31"/>
  <c r="K46" i="31"/>
  <c r="K47" i="31"/>
  <c r="K48" i="31"/>
  <c r="K49" i="31"/>
  <c r="K50" i="31"/>
  <c r="K51" i="31"/>
  <c r="K52" i="31"/>
  <c r="K53" i="31"/>
  <c r="K54"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9" i="31"/>
  <c r="S30" i="33"/>
  <c r="S31" i="33"/>
  <c r="N60" i="33"/>
  <c r="N59" i="33"/>
  <c r="N58" i="33"/>
  <c r="Q41" i="4"/>
  <c r="H32" i="33"/>
  <c r="R40" i="4"/>
  <c r="F74" i="27"/>
  <c r="J74" i="27"/>
  <c r="M74" i="27"/>
  <c r="K74" i="27"/>
  <c r="L74" i="27"/>
  <c r="I74" i="27"/>
  <c r="H74" i="27"/>
  <c r="G74" i="27"/>
  <c r="E74" i="27"/>
  <c r="I55" i="27"/>
  <c r="K55" i="27"/>
  <c r="E55" i="27"/>
  <c r="J55" i="27"/>
  <c r="L55" i="27"/>
  <c r="F55" i="27"/>
  <c r="H55" i="27"/>
  <c r="G55" i="27"/>
  <c r="M55" i="27"/>
  <c r="J65" i="27"/>
  <c r="M65" i="27"/>
  <c r="F65" i="27"/>
  <c r="G65" i="27"/>
  <c r="I65" i="27"/>
  <c r="K65" i="27"/>
  <c r="H65" i="27"/>
  <c r="E65" i="27"/>
  <c r="L65" i="27"/>
  <c r="J75" i="27"/>
  <c r="K75" i="27"/>
  <c r="M75" i="27"/>
  <c r="H75" i="27"/>
  <c r="L75" i="27"/>
  <c r="E75" i="27"/>
  <c r="I75" i="27"/>
  <c r="G75" i="27"/>
  <c r="F75" i="27"/>
  <c r="K66" i="27"/>
  <c r="L66" i="27"/>
  <c r="E66" i="27"/>
  <c r="G66" i="27"/>
  <c r="J66" i="27"/>
  <c r="I66" i="27"/>
  <c r="H66" i="27"/>
  <c r="M66" i="27"/>
  <c r="F66" i="27"/>
  <c r="K56" i="27"/>
  <c r="J56" i="27"/>
  <c r="I56" i="27"/>
  <c r="M56" i="27"/>
  <c r="L56" i="27"/>
  <c r="E56" i="27"/>
  <c r="G56" i="27"/>
  <c r="F56" i="27"/>
  <c r="H56" i="27"/>
  <c r="H61" i="27"/>
  <c r="F61" i="27"/>
  <c r="I61" i="27"/>
  <c r="M61" i="27"/>
  <c r="J61" i="27"/>
  <c r="K61" i="27"/>
  <c r="E61" i="27"/>
  <c r="G61" i="27"/>
  <c r="L61" i="27"/>
  <c r="K71" i="27"/>
  <c r="L71" i="27"/>
  <c r="F71" i="27"/>
  <c r="I71" i="27"/>
  <c r="J71" i="27"/>
  <c r="G71" i="27"/>
  <c r="M71" i="27"/>
  <c r="E71" i="27"/>
  <c r="H71" i="27"/>
  <c r="K76" i="27"/>
  <c r="H76" i="27"/>
  <c r="G76" i="27"/>
  <c r="F76" i="27"/>
  <c r="I76" i="27"/>
  <c r="M76" i="27"/>
  <c r="J76" i="27"/>
  <c r="E76" i="27"/>
  <c r="L76" i="27"/>
  <c r="K29" i="27"/>
  <c r="L29" i="27"/>
  <c r="G29" i="27"/>
  <c r="M29" i="27"/>
  <c r="J29" i="27"/>
  <c r="F29" i="27"/>
  <c r="I29" i="27"/>
  <c r="E29" i="27"/>
  <c r="H29" i="27"/>
  <c r="K30" i="27"/>
  <c r="L30" i="27"/>
  <c r="E30" i="27"/>
  <c r="F30" i="27"/>
  <c r="G30" i="27"/>
  <c r="H30" i="27"/>
  <c r="J30" i="27"/>
  <c r="I30" i="27"/>
  <c r="M30" i="27"/>
  <c r="L42" i="27"/>
  <c r="H42" i="27"/>
  <c r="I42" i="27"/>
  <c r="E42" i="27"/>
  <c r="J42" i="27"/>
  <c r="F42" i="27"/>
  <c r="M42" i="27"/>
  <c r="K42" i="27"/>
  <c r="G42" i="27"/>
  <c r="I24" i="27"/>
  <c r="H24" i="27"/>
  <c r="K24" i="27"/>
  <c r="M24" i="27"/>
  <c r="J24" i="27"/>
  <c r="E24" i="27"/>
  <c r="F24" i="27"/>
  <c r="G24" i="27"/>
  <c r="L24" i="27"/>
  <c r="H31" i="27"/>
  <c r="E31" i="27"/>
  <c r="G31" i="27"/>
  <c r="L31" i="27"/>
  <c r="K31" i="27"/>
  <c r="M31" i="27"/>
  <c r="F31" i="27"/>
  <c r="J31" i="27"/>
  <c r="I31" i="27"/>
  <c r="M32" i="27"/>
  <c r="J32" i="27"/>
  <c r="H32" i="27"/>
  <c r="G32" i="27"/>
  <c r="L32" i="27"/>
  <c r="K32" i="27"/>
  <c r="I32" i="27"/>
  <c r="E32" i="27"/>
  <c r="F32" i="27"/>
  <c r="L25" i="27"/>
  <c r="I25" i="27"/>
  <c r="J25" i="27"/>
  <c r="M25" i="27"/>
  <c r="E25" i="27"/>
  <c r="K25" i="27"/>
  <c r="G25" i="27"/>
  <c r="F25" i="27"/>
  <c r="H25" i="27"/>
  <c r="N42" i="33"/>
  <c r="N50" i="33"/>
  <c r="N52" i="33"/>
  <c r="N37" i="33"/>
  <c r="N45" i="33"/>
  <c r="N53" i="33"/>
  <c r="N51" i="33"/>
  <c r="N46" i="33"/>
  <c r="N39" i="33"/>
  <c r="N47" i="33"/>
  <c r="N55" i="33"/>
  <c r="N44" i="33"/>
  <c r="N38" i="33"/>
  <c r="N40" i="33"/>
  <c r="N48" i="33"/>
  <c r="N56" i="33"/>
  <c r="N43" i="33"/>
  <c r="N36" i="33"/>
  <c r="N54" i="33"/>
  <c r="N41" i="33"/>
  <c r="N49" i="33"/>
  <c r="N57" i="33"/>
  <c r="Q42" i="4"/>
  <c r="R41" i="4"/>
  <c r="F107" i="31"/>
  <c r="F106" i="31"/>
  <c r="F105" i="31"/>
  <c r="F104" i="31"/>
  <c r="F103" i="31"/>
  <c r="F102" i="31"/>
  <c r="F101" i="31"/>
  <c r="F100" i="31"/>
  <c r="F99" i="31"/>
  <c r="F98" i="31"/>
  <c r="F97" i="31"/>
  <c r="F96" i="31"/>
  <c r="F95" i="31"/>
  <c r="F94" i="31"/>
  <c r="F93" i="31"/>
  <c r="F92" i="31"/>
  <c r="F91" i="31"/>
  <c r="F90" i="31"/>
  <c r="F89" i="31"/>
  <c r="F88" i="31"/>
  <c r="F87" i="31"/>
  <c r="F86" i="31"/>
  <c r="F85" i="31"/>
  <c r="F83" i="31"/>
  <c r="F82" i="31"/>
  <c r="F81" i="31"/>
  <c r="F80" i="31"/>
  <c r="F78" i="31"/>
  <c r="F77" i="31"/>
  <c r="F76" i="31"/>
  <c r="F75" i="31"/>
  <c r="F73" i="31"/>
  <c r="F72" i="31"/>
  <c r="F71" i="31"/>
  <c r="F70" i="31"/>
  <c r="F68" i="31"/>
  <c r="F67" i="31"/>
  <c r="F66" i="31"/>
  <c r="F65" i="31"/>
  <c r="F63" i="31"/>
  <c r="F62" i="31"/>
  <c r="F61" i="31"/>
  <c r="F60" i="31"/>
  <c r="F53" i="31"/>
  <c r="F51" i="31"/>
  <c r="F49" i="31"/>
  <c r="F48" i="31"/>
  <c r="F47" i="31"/>
  <c r="F46" i="31"/>
  <c r="F39" i="31"/>
  <c r="F38" i="31"/>
  <c r="F37" i="31"/>
  <c r="F36" i="31"/>
  <c r="F35" i="31"/>
  <c r="F34" i="31"/>
  <c r="F32" i="31"/>
  <c r="F31" i="31"/>
  <c r="F30" i="31"/>
  <c r="F29" i="31"/>
  <c r="F28" i="31"/>
  <c r="F27" i="31"/>
  <c r="F25" i="31"/>
  <c r="F24" i="31"/>
  <c r="F23" i="31"/>
  <c r="F22" i="31"/>
  <c r="F21" i="31"/>
  <c r="F20" i="31"/>
  <c r="Q43" i="4"/>
  <c r="Q44" i="4"/>
  <c r="H33" i="33"/>
  <c r="R42" i="4"/>
  <c r="E125" i="3"/>
  <c r="A73" i="3"/>
  <c r="A72" i="3"/>
  <c r="A71" i="3"/>
  <c r="A70" i="3"/>
  <c r="A69" i="3"/>
  <c r="A68" i="3"/>
  <c r="B73" i="3"/>
  <c r="B72" i="3"/>
  <c r="B71" i="3"/>
  <c r="B70" i="3"/>
  <c r="B69" i="3"/>
  <c r="B68" i="3"/>
  <c r="E68" i="3"/>
  <c r="E72" i="3"/>
  <c r="E70" i="3"/>
  <c r="E69" i="3"/>
  <c r="H125" i="3"/>
  <c r="G125" i="3"/>
  <c r="G68" i="3"/>
  <c r="K68" i="3"/>
  <c r="I68" i="3"/>
  <c r="H68" i="3"/>
  <c r="O68" i="3"/>
  <c r="L68" i="3"/>
  <c r="M68" i="3"/>
  <c r="J68" i="3"/>
  <c r="O69" i="3"/>
  <c r="G69" i="3"/>
  <c r="K69" i="3"/>
  <c r="N69" i="3"/>
  <c r="J69" i="3"/>
  <c r="I69" i="3"/>
  <c r="M69" i="3"/>
  <c r="L69" i="3"/>
  <c r="H69" i="3"/>
  <c r="J70" i="3"/>
  <c r="I70" i="3"/>
  <c r="H70" i="3"/>
  <c r="G70" i="3"/>
  <c r="O70" i="3"/>
  <c r="N70" i="3"/>
  <c r="L70" i="3"/>
  <c r="M70" i="3"/>
  <c r="K70" i="3"/>
  <c r="M79" i="27"/>
  <c r="L79" i="27"/>
  <c r="K79" i="27"/>
  <c r="J79" i="27"/>
  <c r="I79" i="27"/>
  <c r="H79" i="27"/>
  <c r="G79" i="27"/>
  <c r="F79" i="27"/>
  <c r="E79" i="27"/>
  <c r="M80" i="27"/>
  <c r="L80" i="27"/>
  <c r="K80" i="27"/>
  <c r="J80" i="27"/>
  <c r="I80" i="27"/>
  <c r="H80" i="27"/>
  <c r="G80" i="27"/>
  <c r="F80" i="27"/>
  <c r="E80" i="27"/>
  <c r="M81" i="27"/>
  <c r="L81" i="27"/>
  <c r="K81" i="27"/>
  <c r="J81" i="27"/>
  <c r="I81" i="27"/>
  <c r="H81" i="27"/>
  <c r="G81" i="27"/>
  <c r="F81" i="27"/>
  <c r="E81" i="27"/>
  <c r="M82" i="27"/>
  <c r="L82" i="27"/>
  <c r="K82" i="27"/>
  <c r="J82" i="27"/>
  <c r="I82" i="27"/>
  <c r="H82" i="27"/>
  <c r="G82" i="27"/>
  <c r="F82" i="27"/>
  <c r="E82" i="27"/>
  <c r="M83" i="27"/>
  <c r="L83" i="27"/>
  <c r="K83" i="27"/>
  <c r="J83" i="27"/>
  <c r="I83" i="27"/>
  <c r="H83" i="27"/>
  <c r="G83" i="27"/>
  <c r="F83" i="27"/>
  <c r="E83" i="27"/>
  <c r="M84" i="27"/>
  <c r="L84" i="27"/>
  <c r="K84" i="27"/>
  <c r="J84" i="27"/>
  <c r="I84" i="27"/>
  <c r="H84" i="27"/>
  <c r="G84" i="27"/>
  <c r="F84" i="27"/>
  <c r="E84" i="27"/>
  <c r="M85" i="27"/>
  <c r="L85" i="27"/>
  <c r="K85" i="27"/>
  <c r="J85" i="27"/>
  <c r="I85" i="27"/>
  <c r="H85" i="27"/>
  <c r="G85" i="27"/>
  <c r="F85" i="27"/>
  <c r="E85" i="27"/>
  <c r="M86" i="27"/>
  <c r="L86" i="27"/>
  <c r="K86" i="27"/>
  <c r="J86" i="27"/>
  <c r="I86" i="27"/>
  <c r="H86" i="27"/>
  <c r="G86" i="27"/>
  <c r="F86" i="27"/>
  <c r="E86" i="27"/>
  <c r="M87" i="27"/>
  <c r="L87" i="27"/>
  <c r="K87" i="27"/>
  <c r="J87" i="27"/>
  <c r="I87" i="27"/>
  <c r="H87" i="27"/>
  <c r="G87" i="27"/>
  <c r="F87" i="27"/>
  <c r="E87" i="27"/>
  <c r="M88" i="27"/>
  <c r="L88" i="27"/>
  <c r="K88" i="27"/>
  <c r="J88" i="27"/>
  <c r="I88" i="27"/>
  <c r="H88" i="27"/>
  <c r="G88" i="27"/>
  <c r="F88" i="27"/>
  <c r="E88" i="27"/>
  <c r="M89" i="27"/>
  <c r="L89" i="27"/>
  <c r="K89" i="27"/>
  <c r="J89" i="27"/>
  <c r="I89" i="27"/>
  <c r="H89" i="27"/>
  <c r="G89" i="27"/>
  <c r="F89" i="27"/>
  <c r="E89" i="27"/>
  <c r="M90" i="27"/>
  <c r="L90" i="27"/>
  <c r="K90" i="27"/>
  <c r="J90" i="27"/>
  <c r="I90" i="27"/>
  <c r="H90" i="27"/>
  <c r="G90" i="27"/>
  <c r="F90" i="27"/>
  <c r="E90" i="27"/>
  <c r="M91" i="27"/>
  <c r="L91" i="27"/>
  <c r="K91" i="27"/>
  <c r="J91" i="27"/>
  <c r="I91" i="27"/>
  <c r="H91" i="27"/>
  <c r="G91" i="27"/>
  <c r="F91" i="27"/>
  <c r="E91" i="27"/>
  <c r="M92" i="27"/>
  <c r="L92" i="27"/>
  <c r="K92" i="27"/>
  <c r="J92" i="27"/>
  <c r="I92" i="27"/>
  <c r="H92" i="27"/>
  <c r="G92" i="27"/>
  <c r="F92" i="27"/>
  <c r="E92" i="27"/>
  <c r="M93" i="27"/>
  <c r="L93" i="27"/>
  <c r="K93" i="27"/>
  <c r="J93" i="27"/>
  <c r="I93" i="27"/>
  <c r="H93" i="27"/>
  <c r="G93" i="27"/>
  <c r="F93" i="27"/>
  <c r="E93" i="27"/>
  <c r="M94" i="27"/>
  <c r="L94" i="27"/>
  <c r="K94" i="27"/>
  <c r="J94" i="27"/>
  <c r="I94" i="27"/>
  <c r="H94" i="27"/>
  <c r="G94" i="27"/>
  <c r="F94" i="27"/>
  <c r="E94" i="27"/>
  <c r="M95" i="27"/>
  <c r="L95" i="27"/>
  <c r="K95" i="27"/>
  <c r="J95" i="27"/>
  <c r="I95" i="27"/>
  <c r="H95" i="27"/>
  <c r="G95" i="27"/>
  <c r="F95" i="27"/>
  <c r="E95" i="27"/>
  <c r="M96" i="27"/>
  <c r="L96" i="27"/>
  <c r="K96" i="27"/>
  <c r="J96" i="27"/>
  <c r="I96" i="27"/>
  <c r="H96" i="27"/>
  <c r="G96" i="27"/>
  <c r="F96" i="27"/>
  <c r="E96" i="27"/>
  <c r="M97" i="27"/>
  <c r="L97" i="27"/>
  <c r="K97" i="27"/>
  <c r="J97" i="27"/>
  <c r="I97" i="27"/>
  <c r="H97" i="27"/>
  <c r="G97" i="27"/>
  <c r="F97" i="27"/>
  <c r="E97" i="27"/>
  <c r="M98" i="27"/>
  <c r="L98" i="27"/>
  <c r="K98" i="27"/>
  <c r="J98" i="27"/>
  <c r="I98" i="27"/>
  <c r="H98" i="27"/>
  <c r="G98" i="27"/>
  <c r="F98" i="27"/>
  <c r="E98" i="27"/>
  <c r="M99" i="27"/>
  <c r="L99" i="27"/>
  <c r="K99" i="27"/>
  <c r="J99" i="27"/>
  <c r="I99" i="27"/>
  <c r="H99" i="27"/>
  <c r="G99" i="27"/>
  <c r="F99" i="27"/>
  <c r="E99" i="27"/>
  <c r="M100" i="27"/>
  <c r="L100" i="27"/>
  <c r="K100" i="27"/>
  <c r="J100" i="27"/>
  <c r="I100" i="27"/>
  <c r="H100" i="27"/>
  <c r="G100" i="27"/>
  <c r="F100" i="27"/>
  <c r="E100" i="27"/>
  <c r="AD58" i="4"/>
  <c r="R43" i="4"/>
  <c r="B107" i="31"/>
  <c r="D107" i="31"/>
  <c r="B106" i="31"/>
  <c r="D106" i="31"/>
  <c r="B105" i="31"/>
  <c r="D105" i="31"/>
  <c r="B104" i="31"/>
  <c r="D104" i="31"/>
  <c r="B103" i="31"/>
  <c r="D103" i="31"/>
  <c r="B102" i="31"/>
  <c r="D102" i="31"/>
  <c r="B101" i="31"/>
  <c r="D101" i="31"/>
  <c r="B100" i="31"/>
  <c r="D100" i="31"/>
  <c r="B99" i="31"/>
  <c r="D99" i="31"/>
  <c r="B98" i="31"/>
  <c r="D98" i="31"/>
  <c r="B97" i="31"/>
  <c r="D97" i="31"/>
  <c r="B96" i="31"/>
  <c r="D96" i="31"/>
  <c r="B95" i="31"/>
  <c r="D95" i="31"/>
  <c r="B94" i="31"/>
  <c r="D94" i="31"/>
  <c r="B93" i="31"/>
  <c r="D93" i="31"/>
  <c r="B92" i="31"/>
  <c r="D92" i="31"/>
  <c r="B91" i="31"/>
  <c r="D91" i="31"/>
  <c r="B90" i="31"/>
  <c r="D90" i="31"/>
  <c r="B89" i="31"/>
  <c r="D89" i="31"/>
  <c r="B88" i="31"/>
  <c r="D88" i="31"/>
  <c r="B87" i="31"/>
  <c r="D87" i="31"/>
  <c r="B86" i="31"/>
  <c r="D86" i="31"/>
  <c r="B85" i="31"/>
  <c r="D85" i="31"/>
  <c r="D83" i="31"/>
  <c r="D82" i="31"/>
  <c r="D81" i="31"/>
  <c r="D80" i="31"/>
  <c r="D78" i="31"/>
  <c r="D77" i="31"/>
  <c r="D76" i="31"/>
  <c r="D75" i="31"/>
  <c r="D73" i="31"/>
  <c r="D72" i="31"/>
  <c r="D71" i="31"/>
  <c r="D70" i="31"/>
  <c r="D68" i="31"/>
  <c r="D67" i="31"/>
  <c r="D66" i="31"/>
  <c r="D65" i="31"/>
  <c r="D63" i="31"/>
  <c r="D62" i="31"/>
  <c r="D61" i="31"/>
  <c r="D60" i="31"/>
  <c r="D54" i="31"/>
  <c r="D53" i="31"/>
  <c r="C47" i="27"/>
  <c r="D47" i="27"/>
  <c r="D52" i="31"/>
  <c r="D51" i="31"/>
  <c r="D49" i="31"/>
  <c r="D48" i="31"/>
  <c r="D47" i="31"/>
  <c r="D46" i="31"/>
  <c r="D44" i="31"/>
  <c r="C37" i="27"/>
  <c r="D37" i="27"/>
  <c r="D39" i="31"/>
  <c r="D38" i="31"/>
  <c r="D37" i="31"/>
  <c r="D36" i="31"/>
  <c r="D35" i="31"/>
  <c r="D34" i="31"/>
  <c r="D32" i="31"/>
  <c r="D31" i="31"/>
  <c r="D30" i="31"/>
  <c r="D29" i="31"/>
  <c r="D28" i="31"/>
  <c r="D27" i="31"/>
  <c r="D25" i="31"/>
  <c r="D24" i="31"/>
  <c r="D23" i="31"/>
  <c r="D22" i="31"/>
  <c r="D21" i="31"/>
  <c r="D20" i="31"/>
  <c r="C45" i="27"/>
  <c r="D45" i="27"/>
  <c r="E78" i="27"/>
  <c r="G78" i="27"/>
  <c r="H78" i="27"/>
  <c r="L78" i="27"/>
  <c r="M78" i="27"/>
  <c r="E39" i="27"/>
  <c r="E23" i="27"/>
  <c r="K47" i="27"/>
  <c r="E53" i="27"/>
  <c r="E63" i="27"/>
  <c r="E54" i="27"/>
  <c r="E40" i="27"/>
  <c r="F60" i="27"/>
  <c r="L47" i="27"/>
  <c r="F78" i="27"/>
  <c r="J47" i="27"/>
  <c r="G47" i="27"/>
  <c r="H45" i="27"/>
  <c r="F23" i="27"/>
  <c r="F53" i="27"/>
  <c r="E60" i="27"/>
  <c r="I78" i="27"/>
  <c r="J78" i="27"/>
  <c r="K78" i="27"/>
  <c r="E27" i="27"/>
  <c r="F20" i="27"/>
  <c r="F69" i="27"/>
  <c r="F47" i="27"/>
  <c r="L37" i="27"/>
  <c r="K37" i="27"/>
  <c r="G37" i="27"/>
  <c r="H37" i="27"/>
  <c r="M37" i="27"/>
  <c r="J37" i="27"/>
  <c r="I37" i="27"/>
  <c r="F37" i="27"/>
  <c r="E37" i="27"/>
  <c r="I69" i="27"/>
  <c r="H69" i="27"/>
  <c r="G69" i="27"/>
  <c r="M69" i="27"/>
  <c r="J69" i="27"/>
  <c r="K69" i="27"/>
  <c r="L69" i="27"/>
  <c r="E59" i="27"/>
  <c r="E68" i="27"/>
  <c r="F59" i="27"/>
  <c r="F68" i="27"/>
  <c r="L59" i="27"/>
  <c r="K59" i="27"/>
  <c r="H59" i="27"/>
  <c r="J59" i="27"/>
  <c r="I59" i="27"/>
  <c r="G59" i="27"/>
  <c r="M59" i="27"/>
  <c r="E69" i="27"/>
  <c r="L70" i="27"/>
  <c r="G70" i="27"/>
  <c r="M70" i="27"/>
  <c r="J70" i="27"/>
  <c r="K70" i="27"/>
  <c r="I70" i="27"/>
  <c r="H70" i="27"/>
  <c r="F70" i="27"/>
  <c r="F54" i="27"/>
  <c r="F63" i="27"/>
  <c r="E70" i="27"/>
  <c r="G58" i="27"/>
  <c r="I58" i="27"/>
  <c r="L58" i="27"/>
  <c r="K58" i="27"/>
  <c r="M58" i="27"/>
  <c r="H58" i="27"/>
  <c r="J58" i="27"/>
  <c r="J53" i="27"/>
  <c r="L53" i="27"/>
  <c r="K53" i="27"/>
  <c r="G53" i="27"/>
  <c r="M53" i="27"/>
  <c r="H53" i="27"/>
  <c r="I53" i="27"/>
  <c r="I63" i="27"/>
  <c r="M63" i="27"/>
  <c r="G63" i="27"/>
  <c r="K63" i="27"/>
  <c r="L63" i="27"/>
  <c r="H63" i="27"/>
  <c r="J63" i="27"/>
  <c r="J73" i="27"/>
  <c r="L73" i="27"/>
  <c r="I73" i="27"/>
  <c r="H73" i="27"/>
  <c r="M73" i="27"/>
  <c r="G73" i="27"/>
  <c r="K73" i="27"/>
  <c r="F58" i="27"/>
  <c r="E64" i="27"/>
  <c r="F73" i="27"/>
  <c r="L68" i="27"/>
  <c r="G68" i="27"/>
  <c r="K68" i="27"/>
  <c r="M68" i="27"/>
  <c r="H68" i="27"/>
  <c r="I68" i="27"/>
  <c r="J68" i="27"/>
  <c r="H60" i="27"/>
  <c r="J60" i="27"/>
  <c r="L60" i="27"/>
  <c r="G60" i="27"/>
  <c r="K60" i="27"/>
  <c r="I60" i="27"/>
  <c r="M60" i="27"/>
  <c r="J54" i="27"/>
  <c r="K54" i="27"/>
  <c r="I54" i="27"/>
  <c r="M54" i="27"/>
  <c r="H54" i="27"/>
  <c r="L54" i="27"/>
  <c r="G54" i="27"/>
  <c r="G64" i="27"/>
  <c r="L64" i="27"/>
  <c r="K64" i="27"/>
  <c r="M64" i="27"/>
  <c r="I64" i="27"/>
  <c r="H64" i="27"/>
  <c r="J64" i="27"/>
  <c r="E58" i="27"/>
  <c r="F64" i="27"/>
  <c r="E73" i="27"/>
  <c r="I18" i="27"/>
  <c r="L18" i="27"/>
  <c r="J18" i="27"/>
  <c r="E18" i="27"/>
  <c r="K18" i="27"/>
  <c r="G18" i="27"/>
  <c r="F18" i="27"/>
  <c r="M18" i="27"/>
  <c r="H18" i="27"/>
  <c r="H28" i="27"/>
  <c r="G28" i="27"/>
  <c r="L28" i="27"/>
  <c r="J28" i="27"/>
  <c r="M28" i="27"/>
  <c r="I28" i="27"/>
  <c r="K28" i="27"/>
  <c r="H41" i="27"/>
  <c r="M41" i="27"/>
  <c r="G41" i="27"/>
  <c r="K41" i="27"/>
  <c r="J41" i="27"/>
  <c r="I41" i="27"/>
  <c r="L41" i="27"/>
  <c r="G45" i="27"/>
  <c r="F46" i="27"/>
  <c r="F28" i="27"/>
  <c r="M20" i="27"/>
  <c r="K20" i="27"/>
  <c r="J20" i="27"/>
  <c r="I20" i="27"/>
  <c r="G20" i="27"/>
  <c r="H20" i="27"/>
  <c r="L20" i="27"/>
  <c r="H47" i="27"/>
  <c r="K45" i="27"/>
  <c r="B19" i="12"/>
  <c r="E20" i="27"/>
  <c r="E46" i="27"/>
  <c r="F27" i="27"/>
  <c r="E28" i="27"/>
  <c r="G44" i="27"/>
  <c r="M44" i="27"/>
  <c r="K44" i="27"/>
  <c r="I44" i="27"/>
  <c r="L44" i="27"/>
  <c r="H44" i="27"/>
  <c r="J44" i="27"/>
  <c r="L22" i="27"/>
  <c r="M22" i="27"/>
  <c r="H22" i="27"/>
  <c r="K22" i="27"/>
  <c r="J22" i="27"/>
  <c r="I22" i="27"/>
  <c r="G22" i="27"/>
  <c r="J23" i="27"/>
  <c r="M23" i="27"/>
  <c r="H23" i="27"/>
  <c r="G23" i="27"/>
  <c r="K23" i="27"/>
  <c r="I23" i="27"/>
  <c r="L23" i="27"/>
  <c r="E47" i="27"/>
  <c r="M45" i="27"/>
  <c r="F45" i="27"/>
  <c r="E22" i="27"/>
  <c r="F39" i="27"/>
  <c r="F40" i="27"/>
  <c r="J21" i="27"/>
  <c r="L21" i="27"/>
  <c r="M21" i="27"/>
  <c r="K21" i="27"/>
  <c r="G21" i="27"/>
  <c r="H21" i="27"/>
  <c r="I21" i="27"/>
  <c r="I45" i="27"/>
  <c r="J14" i="27"/>
  <c r="L14" i="27"/>
  <c r="K14" i="27"/>
  <c r="M14" i="27"/>
  <c r="G14" i="27"/>
  <c r="I14" i="27"/>
  <c r="H14" i="27"/>
  <c r="F14" i="27"/>
  <c r="E14" i="27"/>
  <c r="J45" i="27"/>
  <c r="F22" i="27"/>
  <c r="I15" i="27"/>
  <c r="M15" i="27"/>
  <c r="H15" i="27"/>
  <c r="J15" i="27"/>
  <c r="K15" i="27"/>
  <c r="L15" i="27"/>
  <c r="G15" i="27"/>
  <c r="E15" i="27"/>
  <c r="F15" i="27"/>
  <c r="J16" i="27"/>
  <c r="H16" i="27"/>
  <c r="I16" i="27"/>
  <c r="E16" i="27"/>
  <c r="M16" i="27"/>
  <c r="G16" i="27"/>
  <c r="L16" i="27"/>
  <c r="F16" i="27"/>
  <c r="K16" i="27"/>
  <c r="G39" i="27"/>
  <c r="K39" i="27"/>
  <c r="J39" i="27"/>
  <c r="M39" i="27"/>
  <c r="I39" i="27"/>
  <c r="H39" i="27"/>
  <c r="L39" i="27"/>
  <c r="M47" i="27"/>
  <c r="L45" i="27"/>
  <c r="E21" i="27"/>
  <c r="E44" i="27"/>
  <c r="E41" i="27"/>
  <c r="K13" i="27"/>
  <c r="M13" i="27"/>
  <c r="H13" i="27"/>
  <c r="J13" i="27"/>
  <c r="I13" i="27"/>
  <c r="L13" i="27"/>
  <c r="M46" i="27"/>
  <c r="G46" i="27"/>
  <c r="K46" i="27"/>
  <c r="I46" i="27"/>
  <c r="L46" i="27"/>
  <c r="H46" i="27"/>
  <c r="J46" i="27"/>
  <c r="F17" i="27"/>
  <c r="H17" i="27"/>
  <c r="L17" i="27"/>
  <c r="J17" i="27"/>
  <c r="E17" i="27"/>
  <c r="G17" i="27"/>
  <c r="K17" i="27"/>
  <c r="M17" i="27"/>
  <c r="I17" i="27"/>
  <c r="L27" i="27"/>
  <c r="K27" i="27"/>
  <c r="H27" i="27"/>
  <c r="I27" i="27"/>
  <c r="G27" i="27"/>
  <c r="M27" i="27"/>
  <c r="J27" i="27"/>
  <c r="M40" i="27"/>
  <c r="J40" i="27"/>
  <c r="G40" i="27"/>
  <c r="K40" i="27"/>
  <c r="I40" i="27"/>
  <c r="H40" i="27"/>
  <c r="L40" i="27"/>
  <c r="I47" i="27"/>
  <c r="E45" i="27"/>
  <c r="F21" i="27"/>
  <c r="F44" i="27"/>
  <c r="F41" i="27"/>
  <c r="F13" i="27"/>
  <c r="E13" i="27"/>
  <c r="G13" i="27"/>
  <c r="D42" i="31"/>
  <c r="C35" i="27"/>
  <c r="D35" i="27"/>
  <c r="D41" i="31"/>
  <c r="C34" i="27"/>
  <c r="D34" i="27"/>
  <c r="R44" i="4"/>
  <c r="N35" i="33"/>
  <c r="O27" i="26"/>
  <c r="G11" i="26"/>
  <c r="F35" i="27"/>
  <c r="E35" i="27"/>
  <c r="G35" i="27"/>
  <c r="H35" i="27"/>
  <c r="J35" i="27"/>
  <c r="L35" i="27"/>
  <c r="I35" i="27"/>
  <c r="M35" i="27"/>
  <c r="K35" i="27"/>
  <c r="F34" i="27"/>
  <c r="E34" i="27"/>
  <c r="J34" i="27"/>
  <c r="H34" i="27"/>
  <c r="L34" i="27"/>
  <c r="K34" i="27"/>
  <c r="I34" i="27"/>
  <c r="G34" i="27"/>
  <c r="M34" i="27"/>
  <c r="B13" i="12"/>
  <c r="AD149" i="4"/>
  <c r="B25" i="12"/>
  <c r="N33" i="33"/>
  <c r="N32" i="33"/>
  <c r="N29" i="33"/>
  <c r="N31" i="33"/>
  <c r="N30" i="33"/>
  <c r="N34" i="33"/>
  <c r="R45" i="4"/>
  <c r="B27" i="30"/>
  <c r="B14" i="30"/>
  <c r="F14" i="30"/>
  <c r="B15" i="30"/>
  <c r="B20" i="30"/>
  <c r="B18" i="30"/>
  <c r="F18" i="30"/>
  <c r="B19" i="30"/>
  <c r="F19" i="30"/>
  <c r="B16" i="30"/>
  <c r="F16" i="30"/>
  <c r="B21" i="30"/>
  <c r="F21" i="30"/>
  <c r="B17" i="30"/>
  <c r="F17" i="30"/>
  <c r="F27" i="30"/>
  <c r="R46" i="4"/>
  <c r="L29" i="4"/>
  <c r="L28" i="4"/>
  <c r="J20" i="2"/>
  <c r="J21" i="2"/>
  <c r="J19" i="2"/>
  <c r="I15" i="2"/>
  <c r="K15" i="2"/>
  <c r="I14" i="2"/>
  <c r="K14" i="2"/>
  <c r="H24" i="28"/>
  <c r="D14" i="30"/>
  <c r="D15" i="30"/>
  <c r="D21" i="30"/>
  <c r="D19" i="30"/>
  <c r="D18" i="30"/>
  <c r="D17" i="30"/>
  <c r="D27" i="30"/>
  <c r="D16" i="30"/>
  <c r="F26" i="30"/>
  <c r="D26" i="30"/>
  <c r="R47" i="4"/>
  <c r="R48" i="4"/>
  <c r="R49" i="4"/>
  <c r="R50" i="4"/>
  <c r="K29" i="10"/>
  <c r="K27" i="10"/>
  <c r="K26" i="10"/>
  <c r="K25" i="10"/>
  <c r="K24" i="10"/>
  <c r="R51" i="4"/>
  <c r="N55" i="18"/>
  <c r="A48" i="18"/>
  <c r="G44" i="18"/>
  <c r="A44" i="18"/>
  <c r="G47" i="18"/>
  <c r="A46" i="18"/>
  <c r="G43" i="18"/>
  <c r="D41" i="18"/>
  <c r="A41" i="18"/>
  <c r="A40" i="18"/>
  <c r="A39" i="18"/>
  <c r="A38" i="18"/>
  <c r="C30" i="18"/>
  <c r="A30" i="18"/>
  <c r="A29" i="18"/>
  <c r="A28" i="18"/>
  <c r="D36" i="18"/>
  <c r="E30" i="18"/>
  <c r="C24" i="18"/>
  <c r="C14" i="18"/>
  <c r="S8" i="18"/>
  <c r="F26" i="21"/>
  <c r="F22" i="21"/>
  <c r="F18" i="21"/>
  <c r="E4" i="21"/>
  <c r="N17" i="21"/>
  <c r="N28" i="21"/>
  <c r="N16" i="18"/>
  <c r="R52" i="4"/>
  <c r="G51" i="18"/>
  <c r="B21" i="10"/>
  <c r="A21" i="10"/>
  <c r="B20" i="10"/>
  <c r="A20" i="10"/>
  <c r="B19" i="10"/>
  <c r="A19" i="10"/>
  <c r="B18" i="10"/>
  <c r="A18" i="10"/>
  <c r="B17" i="10"/>
  <c r="A17" i="10"/>
  <c r="B16" i="10"/>
  <c r="A16" i="10"/>
  <c r="B15" i="10"/>
  <c r="A15" i="10"/>
  <c r="A63" i="10"/>
  <c r="A62" i="10"/>
  <c r="A61" i="10"/>
  <c r="A60" i="10"/>
  <c r="A59" i="10"/>
  <c r="A58" i="10"/>
  <c r="A57" i="10"/>
  <c r="A56" i="10"/>
  <c r="A55" i="10"/>
  <c r="A54" i="10"/>
  <c r="A53" i="10"/>
  <c r="A52" i="10"/>
  <c r="A51" i="10"/>
  <c r="A50" i="10"/>
  <c r="A49" i="10"/>
  <c r="A48" i="10"/>
  <c r="A47" i="10"/>
  <c r="A46" i="10"/>
  <c r="A45" i="10"/>
  <c r="A44" i="10"/>
  <c r="A43" i="10"/>
  <c r="A42" i="10"/>
  <c r="A41" i="10"/>
  <c r="J21" i="10"/>
  <c r="J20" i="10"/>
  <c r="J19" i="10"/>
  <c r="J18" i="10"/>
  <c r="J17" i="10"/>
  <c r="J16" i="10"/>
  <c r="J15" i="10"/>
  <c r="N23" i="18"/>
  <c r="N31" i="18"/>
  <c r="R53" i="4"/>
  <c r="N35" i="18"/>
  <c r="N41" i="18"/>
  <c r="R54" i="4"/>
  <c r="N45" i="18"/>
  <c r="N46" i="18"/>
  <c r="N42" i="18"/>
  <c r="R55" i="4"/>
  <c r="N53" i="18"/>
  <c r="G45" i="18"/>
  <c r="R56" i="4"/>
  <c r="J63" i="10"/>
  <c r="J62" i="10"/>
  <c r="J61" i="10"/>
  <c r="J60" i="10"/>
  <c r="J59" i="10"/>
  <c r="J58" i="10"/>
  <c r="J57" i="10"/>
  <c r="J56" i="10"/>
  <c r="J55" i="10"/>
  <c r="J54" i="10"/>
  <c r="J53" i="10"/>
  <c r="J52" i="10"/>
  <c r="J51" i="10"/>
  <c r="J50" i="10"/>
  <c r="J49" i="10"/>
  <c r="J48" i="10"/>
  <c r="J47" i="10"/>
  <c r="J46" i="10"/>
  <c r="J45" i="10"/>
  <c r="J44" i="10"/>
  <c r="J43" i="10"/>
  <c r="J42" i="10"/>
  <c r="J41" i="10"/>
  <c r="R57" i="4"/>
  <c r="R58" i="4"/>
  <c r="B26" i="12"/>
  <c r="B20" i="12"/>
  <c r="B18" i="12"/>
  <c r="B17" i="12"/>
  <c r="B16" i="12"/>
  <c r="B15" i="12"/>
  <c r="B14" i="12"/>
  <c r="F13" i="12"/>
  <c r="D14" i="12"/>
  <c r="R59" i="4"/>
  <c r="F15" i="12"/>
  <c r="D15" i="12"/>
  <c r="F16" i="12"/>
  <c r="D16" i="12"/>
  <c r="F17" i="12"/>
  <c r="D17" i="12"/>
  <c r="F18" i="12"/>
  <c r="D18" i="12"/>
  <c r="F20" i="12"/>
  <c r="D20" i="12"/>
  <c r="F26" i="12"/>
  <c r="D26" i="12"/>
  <c r="D13" i="12"/>
  <c r="R60" i="4"/>
  <c r="L55" i="28"/>
  <c r="L54"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R61" i="4"/>
  <c r="R62" i="4"/>
  <c r="F25" i="12"/>
  <c r="D25" i="12"/>
  <c r="S4" i="26" a="1"/>
  <c r="S4" i="26"/>
  <c r="S9" i="26" a="1"/>
  <c r="S9" i="26"/>
  <c r="S10" i="26" a="1"/>
  <c r="S10" i="26"/>
  <c r="S11" i="26" a="1"/>
  <c r="S11" i="26"/>
  <c r="O19" i="26" a="1"/>
  <c r="O19" i="26"/>
  <c r="A20" i="26"/>
  <c r="R63" i="4"/>
  <c r="A6" i="26"/>
  <c r="S5" i="26"/>
  <c r="S21" i="26"/>
  <c r="S20" i="26"/>
  <c r="S19" i="26"/>
  <c r="S13" i="26"/>
  <c r="A25" i="26"/>
  <c r="A26" i="26"/>
  <c r="A27" i="26"/>
  <c r="A28" i="26"/>
  <c r="A29" i="26"/>
  <c r="S8" i="26" a="1"/>
  <c r="S8" i="26"/>
  <c r="S24" i="26"/>
  <c r="A16" i="26"/>
  <c r="S23" i="26"/>
  <c r="S16" i="26"/>
  <c r="A15" i="26"/>
  <c r="S15" i="26"/>
  <c r="S14" i="26"/>
  <c r="R64" i="4"/>
  <c r="A4" i="26"/>
  <c r="B12" i="26"/>
  <c r="A10" i="26"/>
  <c r="B11" i="26"/>
  <c r="A12" i="26"/>
  <c r="A11" i="26"/>
  <c r="A13" i="26"/>
  <c r="A17" i="26"/>
  <c r="S22" i="26"/>
  <c r="A5" i="26"/>
  <c r="S17" i="26"/>
  <c r="G17" i="26"/>
  <c r="S18" i="26"/>
  <c r="R65" i="4"/>
  <c r="A7" i="26"/>
  <c r="R66" i="4"/>
  <c r="A21" i="26"/>
  <c r="R67" i="4"/>
  <c r="R68" i="4"/>
  <c r="R69" i="4"/>
  <c r="E71" i="3"/>
</calcChain>
</file>

<file path=xl/sharedStrings.xml><?xml version="1.0" encoding="utf-8"?>
<sst xmlns="http://schemas.openxmlformats.org/spreadsheetml/2006/main" count="3852" uniqueCount="2369">
  <si>
    <t>VOC</t>
  </si>
  <si>
    <t>Toluene</t>
  </si>
  <si>
    <t>Perchloroethylene</t>
  </si>
  <si>
    <t>NOx</t>
  </si>
  <si>
    <t>SOx</t>
  </si>
  <si>
    <t>CO</t>
  </si>
  <si>
    <t>Material Name</t>
  </si>
  <si>
    <t>Manufacturer</t>
  </si>
  <si>
    <t>Material Purpose</t>
  </si>
  <si>
    <t>Product Density</t>
  </si>
  <si>
    <t>(lbs/gallon)</t>
  </si>
  <si>
    <t>Total VOC</t>
  </si>
  <si>
    <t>Release Factor</t>
  </si>
  <si>
    <t>Total VOC Emissions</t>
  </si>
  <si>
    <t>(gallons)</t>
  </si>
  <si>
    <t>(pounds)</t>
  </si>
  <si>
    <t>(weight %)</t>
  </si>
  <si>
    <t>(% release)</t>
  </si>
  <si>
    <t>Please list the maximum throughput of all materials used that contain Volatile Organic Compounds, and show amount of VOC emitted.</t>
  </si>
  <si>
    <r>
      <t xml:space="preserve">VOC Content           </t>
    </r>
    <r>
      <rPr>
        <i/>
        <sz val="10"/>
        <color theme="1"/>
        <rFont val="Arial"/>
        <family val="2"/>
      </rPr>
      <t>(select one)</t>
    </r>
  </si>
  <si>
    <t>HAP Name</t>
  </si>
  <si>
    <t>Total HAP Emissions</t>
  </si>
  <si>
    <t>Individual HAP Throughput</t>
  </si>
  <si>
    <t>Process Rate Units</t>
  </si>
  <si>
    <t>LEAD</t>
  </si>
  <si>
    <t>Total HAP</t>
  </si>
  <si>
    <r>
      <t>PM</t>
    </r>
    <r>
      <rPr>
        <b/>
        <vertAlign val="subscript"/>
        <sz val="11"/>
        <color theme="1"/>
        <rFont val="Arial"/>
        <family val="2"/>
      </rPr>
      <t>10</t>
    </r>
  </si>
  <si>
    <t>Diethanolamine</t>
  </si>
  <si>
    <t>Insignificant Activity Type</t>
  </si>
  <si>
    <t>Description of Insignificant Activity</t>
  </si>
  <si>
    <r>
      <t>PM</t>
    </r>
    <r>
      <rPr>
        <b/>
        <vertAlign val="subscript"/>
        <sz val="11"/>
        <color theme="1"/>
        <rFont val="Arial"/>
        <family val="2"/>
      </rPr>
      <t>2.5</t>
    </r>
  </si>
  <si>
    <t>Perfluorocarbons (PFCs)</t>
  </si>
  <si>
    <t>Hydrofluorocarbons (HFCs)</t>
  </si>
  <si>
    <t>GHG Pollutant Name</t>
  </si>
  <si>
    <t>Chemical Formula</t>
  </si>
  <si>
    <t>Aliases</t>
  </si>
  <si>
    <t>R-23, Trifluoromethane, or Fluoroform</t>
  </si>
  <si>
    <t>R-32, or Difluoromethane</t>
  </si>
  <si>
    <t>R-41, or Fluoromethane</t>
  </si>
  <si>
    <t>HFC-23</t>
  </si>
  <si>
    <t>HFC-32</t>
  </si>
  <si>
    <t>HFC-41</t>
  </si>
  <si>
    <t>HFC-43-10mee</t>
  </si>
  <si>
    <t>HFC-125</t>
  </si>
  <si>
    <t>HFC-134</t>
  </si>
  <si>
    <t>1,1,2,2-Tetrafluoroethane</t>
  </si>
  <si>
    <t>HFC-134a</t>
  </si>
  <si>
    <t>HFC-152a</t>
  </si>
  <si>
    <t>HFC-143a</t>
  </si>
  <si>
    <t>HFC-227ea</t>
  </si>
  <si>
    <t>HFC-236fa</t>
  </si>
  <si>
    <t>1,1,1,2,2,3,4,5,5,5-Decafluoropentane, and Decafluoropentane</t>
  </si>
  <si>
    <t>1,1,1,2,2-Pentafluoroethane, and Pentafluoroethane</t>
  </si>
  <si>
    <t>R-134a, Genetron 134a, Suva 134a, and 1,1,1,2-Tetrafluoroethane</t>
  </si>
  <si>
    <t>R-152a, Freon 152a, 1,1-Difluoroethane, and Difluoroethane</t>
  </si>
  <si>
    <t>R-143a, 1,1,1-Trifluoroethane, and Trifluoroethane</t>
  </si>
  <si>
    <t>1,1,1,2,3,3,3-Heptafluoropropane, and Heptafluoropropane</t>
  </si>
  <si>
    <t>HFC-143</t>
  </si>
  <si>
    <t>1,1,2-Trifluoroethane and 112TFA</t>
  </si>
  <si>
    <t>FE-36, 1,1,1,3,3,3-Hexafluoropropane, and Hexafluoropropane</t>
  </si>
  <si>
    <t>HFC-245ca</t>
  </si>
  <si>
    <t>1,1,2,2,3-Pentafluoropropane</t>
  </si>
  <si>
    <t>Carbon Dioxide</t>
  </si>
  <si>
    <t>Methane</t>
  </si>
  <si>
    <t>Nitrous Oxide</t>
  </si>
  <si>
    <t>Sulfur Hexafluoride</t>
  </si>
  <si>
    <t>Greenhouse Gas (GHG) and their Global Warming Potentials (GWP)</t>
  </si>
  <si>
    <t>Please list the maximum throughput of all materials used that contain Hazardous Air Pollutants (HAP) and show amount of HAP emitted.</t>
  </si>
  <si>
    <t>Material Throughput</t>
  </si>
  <si>
    <t>CAS #</t>
  </si>
  <si>
    <t>Pollutant Name</t>
  </si>
  <si>
    <t>VOC (Yes or No)</t>
  </si>
  <si>
    <t>Glycol ethers</t>
  </si>
  <si>
    <t>No</t>
  </si>
  <si>
    <t>Formaldehyde</t>
  </si>
  <si>
    <t>Yes</t>
  </si>
  <si>
    <t>2,4-Dinitrophenol</t>
  </si>
  <si>
    <t>Ethyl carbamate</t>
  </si>
  <si>
    <t>2-Acetylaminofluorene</t>
  </si>
  <si>
    <t>Carbon tetrachloride</t>
  </si>
  <si>
    <t>Parathion</t>
  </si>
  <si>
    <t>Cyanide</t>
  </si>
  <si>
    <t>1,1-Dimethyl hydrazine</t>
  </si>
  <si>
    <t>beta-Propiolactone</t>
  </si>
  <si>
    <t>Chlordane</t>
  </si>
  <si>
    <t>Lindane (all isomers)</t>
  </si>
  <si>
    <t>N-Nitrosomorpholine</t>
  </si>
  <si>
    <t>Dimethyl aminoazobenzene</t>
  </si>
  <si>
    <t>Methyl hydrazine</t>
  </si>
  <si>
    <t>Acetamide</t>
  </si>
  <si>
    <t>Aniline</t>
  </si>
  <si>
    <t>Dichlorvos</t>
  </si>
  <si>
    <t>N-Nitrosodimethylamine</t>
  </si>
  <si>
    <t>Carbaryl</t>
  </si>
  <si>
    <t>Diethyl sulfate</t>
  </si>
  <si>
    <t>Methanol</t>
  </si>
  <si>
    <t>Chloroform</t>
  </si>
  <si>
    <t>Hexachloroethane</t>
  </si>
  <si>
    <t>Dimethyl formamide</t>
  </si>
  <si>
    <t>Benzene</t>
  </si>
  <si>
    <t>1,1,1-Trichloroethane</t>
  </si>
  <si>
    <t>Methoxychlor</t>
  </si>
  <si>
    <t>Methyl bromide</t>
  </si>
  <si>
    <t>Chloromethane</t>
  </si>
  <si>
    <t>Methyl iodide</t>
  </si>
  <si>
    <t>Ethyl chloride</t>
  </si>
  <si>
    <t>Vinyl chloride</t>
  </si>
  <si>
    <t>Acetonitrile</t>
  </si>
  <si>
    <t>Acetaldehyde</t>
  </si>
  <si>
    <t>Methylene chloride</t>
  </si>
  <si>
    <t>Carbon disulfide</t>
  </si>
  <si>
    <t>Ethylene oxide</t>
  </si>
  <si>
    <t>Bromoform</t>
  </si>
  <si>
    <t>1,1-Dichloroethane</t>
  </si>
  <si>
    <t>1,1-Dichloroethylene</t>
  </si>
  <si>
    <t>Phosgene</t>
  </si>
  <si>
    <t>1,2-Propylenimine</t>
  </si>
  <si>
    <t>Propylene oxide</t>
  </si>
  <si>
    <t>Heptachlor</t>
  </si>
  <si>
    <t>Hexachlorocyclopentadiene</t>
  </si>
  <si>
    <t>Dimethyl sulfate</t>
  </si>
  <si>
    <t>Isophorone</t>
  </si>
  <si>
    <t>1,2-Dichloropropane</t>
  </si>
  <si>
    <t>1,1,2-Trichloroethane</t>
  </si>
  <si>
    <t>Trichloroethylene</t>
  </si>
  <si>
    <t>Acrylamide</t>
  </si>
  <si>
    <t>Acrylic acid</t>
  </si>
  <si>
    <t>Chloroacetic acid</t>
  </si>
  <si>
    <t>1,1,2,2-Tetrachloroethane</t>
  </si>
  <si>
    <t>Dimethyl carbamoyl chloride</t>
  </si>
  <si>
    <t>2-Nitropropane</t>
  </si>
  <si>
    <t>Methyl methacrylate</t>
  </si>
  <si>
    <t>Pentachloronitrobenzene</t>
  </si>
  <si>
    <t>Dibutylphthalate</t>
  </si>
  <si>
    <t>Phthalic anhydride</t>
  </si>
  <si>
    <t>Hexachlorobutadiene</t>
  </si>
  <si>
    <t>Pentachlorophenol</t>
  </si>
  <si>
    <t>2,4,6-Trichlorophenol</t>
  </si>
  <si>
    <t>o-Anisidine</t>
  </si>
  <si>
    <t>Naphthalene</t>
  </si>
  <si>
    <t>Quinoline</t>
  </si>
  <si>
    <t>3,3-Dichlorobenzidene</t>
  </si>
  <si>
    <t>Biphenyl</t>
  </si>
  <si>
    <t>4-Aminobiphenyl</t>
  </si>
  <si>
    <t>Benzidine</t>
  </si>
  <si>
    <t>4-Nitrobiphenyl</t>
  </si>
  <si>
    <t>2,4-D (salts and esters)</t>
  </si>
  <si>
    <t>o-Xylenes</t>
  </si>
  <si>
    <t>o-Cresol</t>
  </si>
  <si>
    <t>o-Toluidine</t>
  </si>
  <si>
    <t>2,4-Toluene diamine</t>
  </si>
  <si>
    <t>2,4,5-Trichlorophenol</t>
  </si>
  <si>
    <t>Styrene oxide</t>
  </si>
  <si>
    <t>1,2-Dibromo-3-chloropropane</t>
  </si>
  <si>
    <t>Ethylene thiourea</t>
  </si>
  <si>
    <t>Benzotrichloride</t>
  </si>
  <si>
    <t>Cumene</t>
  </si>
  <si>
    <t>Acetophenone</t>
  </si>
  <si>
    <t>Nitrobenzene</t>
  </si>
  <si>
    <t>4-Nitrophenol</t>
  </si>
  <si>
    <t>Ethyl benzene</t>
  </si>
  <si>
    <t>Styrene</t>
  </si>
  <si>
    <t>Benzyl chloride</t>
  </si>
  <si>
    <t>4,4-Methylene bis(2-chloroaniline)</t>
  </si>
  <si>
    <t>Methylene diphenyl diisocyanate</t>
  </si>
  <si>
    <t>4,4'-Methylenedianiline</t>
  </si>
  <si>
    <t>p-Xylenes</t>
  </si>
  <si>
    <t>p-Cresol</t>
  </si>
  <si>
    <t>1,4-Dichlorobenzene(p)</t>
  </si>
  <si>
    <t>p-Phenylenediamine</t>
  </si>
  <si>
    <t>Quinone</t>
  </si>
  <si>
    <t>1,2-Epoxybutane</t>
  </si>
  <si>
    <t>Epichlorohydrin</t>
  </si>
  <si>
    <t>Ethylene dibromide</t>
  </si>
  <si>
    <t>1,3-Butadiene</t>
  </si>
  <si>
    <t>Acrolein</t>
  </si>
  <si>
    <t>Allyl chloride</t>
  </si>
  <si>
    <t>Ethylene dichloride</t>
  </si>
  <si>
    <t>Acrylonitrile</t>
  </si>
  <si>
    <t>Ethylene glycol</t>
  </si>
  <si>
    <t>Chloromethyl methyl ether</t>
  </si>
  <si>
    <t>Vinyl acetate</t>
  </si>
  <si>
    <t>Methyl isobutyl ketone</t>
  </si>
  <si>
    <t>Maleic anhydride</t>
  </si>
  <si>
    <t>m-Xylenes</t>
  </si>
  <si>
    <t>m-Cresol</t>
  </si>
  <si>
    <t>Chlorobenzene</t>
  </si>
  <si>
    <t>Phenol</t>
  </si>
  <si>
    <t>Hexane</t>
  </si>
  <si>
    <t>Dichloroethyl ether</t>
  </si>
  <si>
    <t>Propoxur</t>
  </si>
  <si>
    <t>Diethylhexylphthalate</t>
  </si>
  <si>
    <t>Hexachlorobenzene</t>
  </si>
  <si>
    <t>3,3-Dimethoxybenzidine</t>
  </si>
  <si>
    <t>3,3'-Dimethyl benzidine</t>
  </si>
  <si>
    <t>Catechol</t>
  </si>
  <si>
    <t>1,2,4-Trichlorobenzene</t>
  </si>
  <si>
    <t>2,4-Dinitrotoluene</t>
  </si>
  <si>
    <t>Triethylamine</t>
  </si>
  <si>
    <t>N,N-Dimethylaniline</t>
  </si>
  <si>
    <t>1,2-Diphenylhydrazine</t>
  </si>
  <si>
    <t>Hydroquinone</t>
  </si>
  <si>
    <t>Propionaldehyde</t>
  </si>
  <si>
    <t>1,4-Dioxane</t>
  </si>
  <si>
    <t>Chloroprene</t>
  </si>
  <si>
    <t>Dimethyl phthalate</t>
  </si>
  <si>
    <t>Dibenzofurans</t>
  </si>
  <si>
    <t>Captan</t>
  </si>
  <si>
    <t>Chloramben</t>
  </si>
  <si>
    <t>Ethyl acrylate</t>
  </si>
  <si>
    <t>Ethylene imine</t>
  </si>
  <si>
    <t>Calcium cyanamide</t>
  </si>
  <si>
    <t>Hydrazine</t>
  </si>
  <si>
    <t>Diazomethane</t>
  </si>
  <si>
    <t>Carbonyl sulfide</t>
  </si>
  <si>
    <t>Chlorobenzilate</t>
  </si>
  <si>
    <t>2-Chloroacetophenone</t>
  </si>
  <si>
    <t>4,6-Dinitro-o-cresol, and salts</t>
  </si>
  <si>
    <t>2,2,4-Trimethylpentane</t>
  </si>
  <si>
    <t>1,3-Dichloropropene</t>
  </si>
  <si>
    <t>Bis(chloromethyl)ether</t>
  </si>
  <si>
    <t>2,4-Toluene diisocyanate</t>
  </si>
  <si>
    <t>Vinyl bromide</t>
  </si>
  <si>
    <t>Methyl isocyanate</t>
  </si>
  <si>
    <t>Hexamethylphosphoramide</t>
  </si>
  <si>
    <t>N-Nitroso-N-methylurea</t>
  </si>
  <si>
    <t>Hexamethylene-1,6-diisocyanate</t>
  </si>
  <si>
    <t>1,3-Propane sultone</t>
  </si>
  <si>
    <t>Cresols/Cresylic acid</t>
  </si>
  <si>
    <t>Xylenes (isomers and mixture)</t>
  </si>
  <si>
    <t>Asbestos</t>
  </si>
  <si>
    <t>Polychlorinated biphenyls</t>
  </si>
  <si>
    <t>Trifluralin</t>
  </si>
  <si>
    <t>Methyl tert butyl ether</t>
  </si>
  <si>
    <t>2,3,7,8-Tetrachlorodibenzo-p-dioxin</t>
  </si>
  <si>
    <t>DDE</t>
  </si>
  <si>
    <t>Lead</t>
  </si>
  <si>
    <t>Manganese</t>
  </si>
  <si>
    <t>Mercury</t>
  </si>
  <si>
    <t>Nickel</t>
  </si>
  <si>
    <t>Antimony</t>
  </si>
  <si>
    <t>Arsenic</t>
  </si>
  <si>
    <t>Beryllium</t>
  </si>
  <si>
    <t>Cadmium</t>
  </si>
  <si>
    <t>Chromium</t>
  </si>
  <si>
    <t>Cobalt</t>
  </si>
  <si>
    <t>Titanium tetrachloride</t>
  </si>
  <si>
    <t>Hydrochloric acid</t>
  </si>
  <si>
    <t>Hydrogen fluoride</t>
  </si>
  <si>
    <t>Phosphorus</t>
  </si>
  <si>
    <t>Selenium</t>
  </si>
  <si>
    <t>Chlorine</t>
  </si>
  <si>
    <t>Phosphine</t>
  </si>
  <si>
    <t>Toxaphene</t>
  </si>
  <si>
    <t>For a complete list of EPA regulated Hazardous Air Pollutants, including CAS Numbers, click here.</t>
  </si>
  <si>
    <t>Hazardous Air Pollutants and CAS Numbers</t>
  </si>
  <si>
    <t>Emissions</t>
  </si>
  <si>
    <t>Meet or Exceed?</t>
  </si>
  <si>
    <r>
      <t>PM</t>
    </r>
    <r>
      <rPr>
        <vertAlign val="subscript"/>
        <sz val="12"/>
        <color theme="1"/>
        <rFont val="Arial"/>
        <family val="2"/>
      </rPr>
      <t>10</t>
    </r>
  </si>
  <si>
    <r>
      <t>PM</t>
    </r>
    <r>
      <rPr>
        <vertAlign val="subscript"/>
        <sz val="12"/>
        <color theme="1"/>
        <rFont val="Arial"/>
        <family val="2"/>
      </rPr>
      <t>2.5</t>
    </r>
  </si>
  <si>
    <t>GHGs</t>
  </si>
  <si>
    <t>(tons per year)</t>
  </si>
  <si>
    <t>Greatest Single HAP</t>
  </si>
  <si>
    <t>Total Combined HAP</t>
  </si>
  <si>
    <t xml:space="preserve">Emission Unit # </t>
  </si>
  <si>
    <t>Point #</t>
  </si>
  <si>
    <t>Segment #</t>
  </si>
  <si>
    <t>Emission Point Description</t>
  </si>
  <si>
    <t>Emission Segment Description</t>
  </si>
  <si>
    <t>Source Classification          Code # (SCC)</t>
  </si>
  <si>
    <t>Emission       Unit #</t>
  </si>
  <si>
    <t>SCC Code</t>
  </si>
  <si>
    <t>Latitude</t>
  </si>
  <si>
    <t>Longitude</t>
  </si>
  <si>
    <t>Elevation</t>
  </si>
  <si>
    <t>Stack Height</t>
  </si>
  <si>
    <t>Stack Inside Diameter</t>
  </si>
  <si>
    <t>Exhaust Exit Velocity</t>
  </si>
  <si>
    <t>Exhaust Flow Rate</t>
  </si>
  <si>
    <t>(feet a.s.l.)</t>
  </si>
  <si>
    <t>(feet)</t>
  </si>
  <si>
    <r>
      <rPr>
        <sz val="11"/>
        <color theme="1"/>
        <rFont val="Arial"/>
        <family val="2"/>
      </rPr>
      <t>(</t>
    </r>
    <r>
      <rPr>
        <vertAlign val="superscript"/>
        <sz val="11"/>
        <color theme="1"/>
        <rFont val="Arial"/>
        <family val="2"/>
      </rPr>
      <t>o</t>
    </r>
    <r>
      <rPr>
        <sz val="11"/>
        <color theme="1"/>
        <rFont val="Arial"/>
        <family val="2"/>
      </rPr>
      <t>F)</t>
    </r>
  </si>
  <si>
    <t>(feet/sec)</t>
  </si>
  <si>
    <t>(cu. feet/sec)</t>
  </si>
  <si>
    <t>Vertical</t>
  </si>
  <si>
    <t>Horizontal</t>
  </si>
  <si>
    <t>Raincap Present?</t>
  </si>
  <si>
    <t>(decimal deg.)</t>
  </si>
  <si>
    <t>Exhaust Temp.</t>
  </si>
  <si>
    <t>Breweries</t>
  </si>
  <si>
    <t>Marinas</t>
  </si>
  <si>
    <t>Caterers</t>
  </si>
  <si>
    <t>Facility Name:</t>
  </si>
  <si>
    <t>LLCHD Facility ID #:</t>
  </si>
  <si>
    <t>Facility Physical Address:</t>
  </si>
  <si>
    <t>Facility City:</t>
  </si>
  <si>
    <t>Facility State:</t>
  </si>
  <si>
    <t>Facility ZIP:</t>
  </si>
  <si>
    <t>Facility NAICS Code(s):</t>
  </si>
  <si>
    <t>2012 NAICS Code</t>
  </si>
  <si>
    <t>2012 NAICS Title</t>
  </si>
  <si>
    <t>Soybean Farming</t>
  </si>
  <si>
    <t xml:space="preserve">Oilseed (except Soybean) Farming </t>
  </si>
  <si>
    <t xml:space="preserve">Dry Pea and Bean Farming </t>
  </si>
  <si>
    <t>Wheat Farming</t>
  </si>
  <si>
    <t xml:space="preserve">Corn Farming </t>
  </si>
  <si>
    <t>Rice Farming</t>
  </si>
  <si>
    <t xml:space="preserve">Oilseed and Grain Combination Farming </t>
  </si>
  <si>
    <t xml:space="preserve">All Other Grain Farming </t>
  </si>
  <si>
    <t xml:space="preserve">Potato Farming </t>
  </si>
  <si>
    <t xml:space="preserve">Other Vegetable (except Potato) and Melon Farming </t>
  </si>
  <si>
    <t>Orange Groves</t>
  </si>
  <si>
    <t xml:space="preserve">Citrus (except Orange) Groves </t>
  </si>
  <si>
    <t xml:space="preserve">Apple Orchards </t>
  </si>
  <si>
    <t xml:space="preserve">Grape Vineyards </t>
  </si>
  <si>
    <t xml:space="preserve">Strawberry Farming </t>
  </si>
  <si>
    <t xml:space="preserve">Berry (except Strawberry) Farming </t>
  </si>
  <si>
    <t xml:space="preserve">Tree Nut Farming </t>
  </si>
  <si>
    <t xml:space="preserve">Fruit and Tree Nut Combination Farming </t>
  </si>
  <si>
    <t xml:space="preserve">Other Noncitrus Fruit Farming </t>
  </si>
  <si>
    <t xml:space="preserve">Mushroom Production </t>
  </si>
  <si>
    <t xml:space="preserve">Other Food Crops Grown Under Cover </t>
  </si>
  <si>
    <t xml:space="preserve">Nursery and Tree Production </t>
  </si>
  <si>
    <t xml:space="preserve">Floriculture Production </t>
  </si>
  <si>
    <t>Tobacco Farming</t>
  </si>
  <si>
    <t>Cotton Farming</t>
  </si>
  <si>
    <t>Sugarcane Farming</t>
  </si>
  <si>
    <t xml:space="preserve">Hay Farming </t>
  </si>
  <si>
    <t xml:space="preserve">Sugar Beet Farming </t>
  </si>
  <si>
    <t xml:space="preserve">Peanut Farming </t>
  </si>
  <si>
    <t xml:space="preserve">All Other Miscellaneous Crop Farming </t>
  </si>
  <si>
    <t xml:space="preserve">Beef Cattle Ranching and Farming </t>
  </si>
  <si>
    <t xml:space="preserve">Cattle Feedlots </t>
  </si>
  <si>
    <t>Dairy Cattle and Milk Production</t>
  </si>
  <si>
    <t xml:space="preserve">Dual-Purpose Cattle Ranching and Farming </t>
  </si>
  <si>
    <t xml:space="preserve">Hog and Pig Farming </t>
  </si>
  <si>
    <t xml:space="preserve">Chicken Egg Production </t>
  </si>
  <si>
    <r>
      <t>Broilers and Other Meat Type Chicken Production</t>
    </r>
    <r>
      <rPr>
        <sz val="10"/>
        <color indexed="8"/>
        <rFont val="Arial"/>
        <family val="2"/>
      </rPr>
      <t xml:space="preserve"> </t>
    </r>
  </si>
  <si>
    <t>Turkey Production</t>
  </si>
  <si>
    <t>Poultry Hatcheries</t>
  </si>
  <si>
    <t xml:space="preserve">Other Poultry Production </t>
  </si>
  <si>
    <t>Sheep Farming</t>
  </si>
  <si>
    <t>Goat Farming</t>
  </si>
  <si>
    <t xml:space="preserve">Finfish Farming and Fish Hatcheries </t>
  </si>
  <si>
    <t xml:space="preserve">Shellfish Farming </t>
  </si>
  <si>
    <t xml:space="preserve">Other Aquaculture </t>
  </si>
  <si>
    <t>Apiculture</t>
  </si>
  <si>
    <t>Horses and Other Equine Production</t>
  </si>
  <si>
    <t>Fur-Bearing Animal and Rabbit Production</t>
  </si>
  <si>
    <t xml:space="preserve">All Other Animal Production </t>
  </si>
  <si>
    <t>Timber Tract Operations</t>
  </si>
  <si>
    <t xml:space="preserve">Forest Nurseries and Gathering of Forest Products </t>
  </si>
  <si>
    <t xml:space="preserve">Logging </t>
  </si>
  <si>
    <t xml:space="preserve">Finfish Fishing </t>
  </si>
  <si>
    <t xml:space="preserve">Shellfish Fishing </t>
  </si>
  <si>
    <t xml:space="preserve">Other Marine Fishing </t>
  </si>
  <si>
    <t>Hunting and Trapping</t>
  </si>
  <si>
    <t xml:space="preserve">Cotton Ginning </t>
  </si>
  <si>
    <t xml:space="preserve">Soil Preparation, Planting, and Cultivating </t>
  </si>
  <si>
    <t xml:space="preserve">Crop Harvesting, Primarily by Machine </t>
  </si>
  <si>
    <t xml:space="preserve">Postharvest Crop Activities (except Cotton Ginning) </t>
  </si>
  <si>
    <t xml:space="preserve">Farm Labor Contractors and Crew Leaders </t>
  </si>
  <si>
    <t xml:space="preserve">Farm Management Services </t>
  </si>
  <si>
    <t>Support Activities for Animal Production</t>
  </si>
  <si>
    <t>Support Activities for Forestry</t>
  </si>
  <si>
    <t xml:space="preserve">Crude Petroleum and Natural Gas Extraction </t>
  </si>
  <si>
    <t xml:space="preserve">Natural Gas Liquid Extraction </t>
  </si>
  <si>
    <t xml:space="preserve">Bituminous Coal and Lignite Surface Mining </t>
  </si>
  <si>
    <t xml:space="preserve">Bituminous Coal Underground Mining </t>
  </si>
  <si>
    <t xml:space="preserve">Anthracite Mining </t>
  </si>
  <si>
    <t>Iron Ore Mining</t>
  </si>
  <si>
    <t xml:space="preserve">Gold Ore Mining </t>
  </si>
  <si>
    <t xml:space="preserve">Silver Ore Mining </t>
  </si>
  <si>
    <t xml:space="preserve">Lead Ore and Zinc Ore Mining </t>
  </si>
  <si>
    <t xml:space="preserve">Copper Ore and Nickel Ore Mining </t>
  </si>
  <si>
    <t xml:space="preserve">Uranium-Radium-Vanadium Ore Mining </t>
  </si>
  <si>
    <t xml:space="preserve">All Other Metal Ore Mining </t>
  </si>
  <si>
    <t xml:space="preserve">Dimension Stone Mining and Quarrying </t>
  </si>
  <si>
    <t xml:space="preserve">Crushed and Broken Limestone Mining and Quarrying </t>
  </si>
  <si>
    <t xml:space="preserve">Crushed and Broken Granite Mining and Quarrying </t>
  </si>
  <si>
    <t xml:space="preserve">Other Crushed and Broken Stone Mining and Quarrying </t>
  </si>
  <si>
    <t xml:space="preserve">Construction Sand and Gravel Mining </t>
  </si>
  <si>
    <t xml:space="preserve">Industrial Sand Mining </t>
  </si>
  <si>
    <t xml:space="preserve">Kaolin and Ball Clay Mining </t>
  </si>
  <si>
    <t xml:space="preserve">Clay and Ceramic and Refractory Minerals Mining </t>
  </si>
  <si>
    <t xml:space="preserve">Potash, Soda, and Borate Mineral Mining </t>
  </si>
  <si>
    <t xml:space="preserve">Phosphate Rock Mining </t>
  </si>
  <si>
    <t xml:space="preserve">Other Chemical and Fertilizer Mineral Mining </t>
  </si>
  <si>
    <t xml:space="preserve">All Other Nonmetallic Mineral Mining </t>
  </si>
  <si>
    <t>Drilling Oil and Gas Wells</t>
  </si>
  <si>
    <t xml:space="preserve">Support Activities for Oil and Gas Operations </t>
  </si>
  <si>
    <t xml:space="preserve">Support Activities for Coal Mining </t>
  </si>
  <si>
    <t xml:space="preserve">Support Activities for Metal Mining </t>
  </si>
  <si>
    <t xml:space="preserve">Support Activities for Nonmetallic Minerals (except Fuels) Mining </t>
  </si>
  <si>
    <t xml:space="preserve">Hydroelectric Power Generation </t>
  </si>
  <si>
    <t xml:space="preserve">Fossil Fuel Electric Power Generation </t>
  </si>
  <si>
    <t xml:space="preserve">Nuclear Electric Power Generation </t>
  </si>
  <si>
    <t xml:space="preserve">Solar Electric Power Generation </t>
  </si>
  <si>
    <t xml:space="preserve">Wind Electric Power Generation </t>
  </si>
  <si>
    <t xml:space="preserve">Geothermal Electric Power Generation </t>
  </si>
  <si>
    <t xml:space="preserve">Biomass Electric Power Generation </t>
  </si>
  <si>
    <t xml:space="preserve">Other Electric Power Generation </t>
  </si>
  <si>
    <t xml:space="preserve">Electric Bulk Power Transmission and Control </t>
  </si>
  <si>
    <t xml:space="preserve">Electric Power Distribution </t>
  </si>
  <si>
    <t xml:space="preserve">Natural Gas Distribution </t>
  </si>
  <si>
    <t xml:space="preserve">Water Supply and Irrigation Systems </t>
  </si>
  <si>
    <t xml:space="preserve">Sewage Treatment Facilities </t>
  </si>
  <si>
    <t xml:space="preserve">Steam and Air-Conditioning Supply </t>
  </si>
  <si>
    <t xml:space="preserve">New Single-Family Housing Construction (except For-Sale Builders) </t>
  </si>
  <si>
    <t xml:space="preserve">New Multifamily Housing Construction (except For-Sale Builders) </t>
  </si>
  <si>
    <t xml:space="preserve">New Housing For-Sale Builders </t>
  </si>
  <si>
    <t xml:space="preserve">Residential Remodelers </t>
  </si>
  <si>
    <t xml:space="preserve">Industrial Building Construction </t>
  </si>
  <si>
    <t xml:space="preserve">Commercial and Institutional Building Construction </t>
  </si>
  <si>
    <t xml:space="preserve">Water and Sewer Line and Related Structures Construction </t>
  </si>
  <si>
    <t xml:space="preserve">Oil and Gas Pipeline and Related Structures Construction </t>
  </si>
  <si>
    <t xml:space="preserve">Power and Communication Line and Related Structures Construction </t>
  </si>
  <si>
    <t xml:space="preserve">Land Subdivision </t>
  </si>
  <si>
    <t xml:space="preserve">Highway, Street, and Bridge Construction </t>
  </si>
  <si>
    <t xml:space="preserve">Other Heavy and Civil Engineering Construction </t>
  </si>
  <si>
    <t xml:space="preserve">Poured Concrete Foundation and Structure Contractors </t>
  </si>
  <si>
    <t xml:space="preserve">Structural Steel and Precast Concrete Contractors </t>
  </si>
  <si>
    <t xml:space="preserve">Framing Contractors </t>
  </si>
  <si>
    <t xml:space="preserve">Masonry Contractors </t>
  </si>
  <si>
    <t xml:space="preserve">Glass and Glazing Contractors </t>
  </si>
  <si>
    <t xml:space="preserve">Roofing Contractors </t>
  </si>
  <si>
    <t xml:space="preserve">Siding Contractors </t>
  </si>
  <si>
    <t xml:space="preserve">Other Foundation, Structure, and Building Exterior Contractors </t>
  </si>
  <si>
    <t>Electrical Contractors and Other Wiring Installation Contractors</t>
  </si>
  <si>
    <t xml:space="preserve">Plumbing, Heating, and Air-Conditioning Contractors </t>
  </si>
  <si>
    <t xml:space="preserve">Other Building Equipment Contractors </t>
  </si>
  <si>
    <t xml:space="preserve">Drywall and Insulation Contractors </t>
  </si>
  <si>
    <t>Painting and Wall Covering Contractors</t>
  </si>
  <si>
    <t>Flooring Contractors</t>
  </si>
  <si>
    <t>Tile and Terrazzo Contractors</t>
  </si>
  <si>
    <t>Finish Carpentry Contractors</t>
  </si>
  <si>
    <t>Other Building Finishing Contractors</t>
  </si>
  <si>
    <t>Site Preparation Contractors</t>
  </si>
  <si>
    <t>All Other Specialty Trade Contractors</t>
  </si>
  <si>
    <t xml:space="preserve">Dog and Cat Food Manufacturing </t>
  </si>
  <si>
    <t xml:space="preserve">Other Animal Food Manufacturing </t>
  </si>
  <si>
    <t xml:space="preserve">Flour Milling </t>
  </si>
  <si>
    <t xml:space="preserve">Rice Milling </t>
  </si>
  <si>
    <t xml:space="preserve">Malt Manufacturing </t>
  </si>
  <si>
    <t xml:space="preserve">Wet Corn Milling </t>
  </si>
  <si>
    <t xml:space="preserve">Soybean and Other Oilseed Processing </t>
  </si>
  <si>
    <t xml:space="preserve">Fats and Oils Refining and Blending </t>
  </si>
  <si>
    <t>Breakfast Cereal Manufacturing</t>
  </si>
  <si>
    <t xml:space="preserve">Beet Sugar Manufacturing </t>
  </si>
  <si>
    <t xml:space="preserve">Cane Sugar Manufacturing </t>
  </si>
  <si>
    <t>Nonchocolate Confectionery Manufacturing</t>
  </si>
  <si>
    <t xml:space="preserve">Chocolate and Confectionery Manufacturing from Cacao Beans </t>
  </si>
  <si>
    <t xml:space="preserve">Confectionery Manufacturing from Purchased Chocolate </t>
  </si>
  <si>
    <t xml:space="preserve">Frozen Fruit, Juice, and Vegetable Manufacturing </t>
  </si>
  <si>
    <t xml:space="preserve">Frozen Specialty Food Manufacturing </t>
  </si>
  <si>
    <t xml:space="preserve">Fruit and Vegetable Canning </t>
  </si>
  <si>
    <t xml:space="preserve">Specialty Canning </t>
  </si>
  <si>
    <t xml:space="preserve">Dried and Dehydrated Food Manufacturing </t>
  </si>
  <si>
    <t xml:space="preserve">Fluid Milk Manufacturing </t>
  </si>
  <si>
    <t xml:space="preserve">Creamery Butter Manufacturing </t>
  </si>
  <si>
    <t xml:space="preserve">Cheese Manufacturing </t>
  </si>
  <si>
    <t xml:space="preserve">Dry, Condensed, and Evaporated Dairy Product Manufacturing </t>
  </si>
  <si>
    <t>Ice Cream and Frozen Dessert Manufacturing</t>
  </si>
  <si>
    <t xml:space="preserve">Animal (except Poultry) Slaughtering </t>
  </si>
  <si>
    <t xml:space="preserve">Meat Processed from Carcasses </t>
  </si>
  <si>
    <t xml:space="preserve">Rendering and Meat Byproduct Processing </t>
  </si>
  <si>
    <t xml:space="preserve">Poultry Processing </t>
  </si>
  <si>
    <t>Seafood Product Preparation and Packaging</t>
  </si>
  <si>
    <t xml:space="preserve">Retail Bakeries </t>
  </si>
  <si>
    <t xml:space="preserve">Commercial Bakeries </t>
  </si>
  <si>
    <t xml:space="preserve">Frozen Cakes, Pies, and Other Pastries Manufacturing </t>
  </si>
  <si>
    <t xml:space="preserve">Cookie and Cracker Manufacturing </t>
  </si>
  <si>
    <t xml:space="preserve">Dry Pasta, Dough, and Flour Mixes Manufacturing from Purchased Flour </t>
  </si>
  <si>
    <t>Tortilla Manufacturing</t>
  </si>
  <si>
    <t xml:space="preserve">Roasted Nuts and Peanut Butter Manufacturing </t>
  </si>
  <si>
    <t xml:space="preserve">Other Snack Food Manufacturing </t>
  </si>
  <si>
    <t xml:space="preserve">Coffee and Tea Manufacturing </t>
  </si>
  <si>
    <t>Flavoring Syrup and Concentrate Manufacturing</t>
  </si>
  <si>
    <t xml:space="preserve">Mayonnaise, Dressing, and Other Prepared Sauce Manufacturing </t>
  </si>
  <si>
    <t xml:space="preserve">Spice and Extract Manufacturing </t>
  </si>
  <si>
    <t xml:space="preserve">Perishable Prepared Food Manufacturing </t>
  </si>
  <si>
    <t xml:space="preserve">All Other Miscellaneous Food Manufacturing </t>
  </si>
  <si>
    <t xml:space="preserve">Soft Drink Manufacturing </t>
  </si>
  <si>
    <t xml:space="preserve">Bottled Water Manufacturing </t>
  </si>
  <si>
    <t xml:space="preserve">Ice Manufacturing </t>
  </si>
  <si>
    <t xml:space="preserve">Wineries </t>
  </si>
  <si>
    <t xml:space="preserve">Distilleries </t>
  </si>
  <si>
    <t xml:space="preserve">Tobacco Manufacturing </t>
  </si>
  <si>
    <t xml:space="preserve">Fiber, Yarn, and Thread Mills </t>
  </si>
  <si>
    <t>Broadwoven Fabric Mills</t>
  </si>
  <si>
    <t>Narrow Fabric Mills and Schiffli Machine Embroidery</t>
  </si>
  <si>
    <t>Nonwoven Fabric Mills</t>
  </si>
  <si>
    <t>Knit Fabric Mills</t>
  </si>
  <si>
    <r>
      <t>Textile and Fabric Finishing Mills</t>
    </r>
    <r>
      <rPr>
        <sz val="10"/>
        <color indexed="8"/>
        <rFont val="Arial"/>
        <family val="2"/>
      </rPr>
      <t xml:space="preserve"> </t>
    </r>
  </si>
  <si>
    <t>Fabric Coating Mills</t>
  </si>
  <si>
    <t>Carpet and Rug Mills</t>
  </si>
  <si>
    <t>Curtain and Linen Mills</t>
  </si>
  <si>
    <t xml:space="preserve">Textile Bag and Canvas Mills </t>
  </si>
  <si>
    <t xml:space="preserve">Rope, Cordage, Twine, Tire Cord, and Tire Fabric Mills </t>
  </si>
  <si>
    <t xml:space="preserve">All Other Miscellaneous Textile Product Mills </t>
  </si>
  <si>
    <t>Hosiery and Sock Mills</t>
  </si>
  <si>
    <t xml:space="preserve">Other Apparel Knitting Mills </t>
  </si>
  <si>
    <t xml:space="preserve">Cut and Sew Apparel Contractors </t>
  </si>
  <si>
    <t xml:space="preserve">Men’s and Boys’ Cut and Sew Apparel Manufacturing </t>
  </si>
  <si>
    <t xml:space="preserve">Women’s, Girls’, and Infants’ Cut and Sew Apparel Manufacturing </t>
  </si>
  <si>
    <t xml:space="preserve">Other Cut and Sew Apparel Manufacturing </t>
  </si>
  <si>
    <t xml:space="preserve">Apparel Accessories and Other Apparel Manufacturing </t>
  </si>
  <si>
    <t>Leather and Hide Tanning and Finishing</t>
  </si>
  <si>
    <t xml:space="preserve">Footwear Manufacturing </t>
  </si>
  <si>
    <t xml:space="preserve">Women's Handbag and Purse Manufacturing </t>
  </si>
  <si>
    <t xml:space="preserve">All Other Leather Good and Allied Product Manufacturing </t>
  </si>
  <si>
    <t xml:space="preserve">Sawmills </t>
  </si>
  <si>
    <t xml:space="preserve">Wood Preservation </t>
  </si>
  <si>
    <t xml:space="preserve">Hardwood Veneer and Plywood Manufacturing </t>
  </si>
  <si>
    <t xml:space="preserve">Softwood Veneer and Plywood Manufacturing </t>
  </si>
  <si>
    <t xml:space="preserve">Engineered Wood Member (except Truss) Manufacturing </t>
  </si>
  <si>
    <t xml:space="preserve">Truss Manufacturing </t>
  </si>
  <si>
    <t xml:space="preserve">Reconstituted Wood Product Manufacturing </t>
  </si>
  <si>
    <t xml:space="preserve">Wood Window and Door Manufacturing </t>
  </si>
  <si>
    <t xml:space="preserve">Cut Stock, Resawing Lumber, and Planing </t>
  </si>
  <si>
    <t xml:space="preserve">Other Millwork (including Flooring) </t>
  </si>
  <si>
    <t>Wood Container and Pallet Manufacturing</t>
  </si>
  <si>
    <t xml:space="preserve">Manufactured Home (Mobile Home) Manufacturing </t>
  </si>
  <si>
    <t xml:space="preserve">Prefabricated Wood Building Manufacturing </t>
  </si>
  <si>
    <t xml:space="preserve">All Other Miscellaneous Wood Product Manufacturing </t>
  </si>
  <si>
    <t xml:space="preserve">Pulp Mills </t>
  </si>
  <si>
    <t xml:space="preserve">Paper (except Newsprint) Mills </t>
  </si>
  <si>
    <t xml:space="preserve">Newsprint Mills </t>
  </si>
  <si>
    <t xml:space="preserve">Paperboard Mills </t>
  </si>
  <si>
    <t xml:space="preserve">Corrugated and Solid Fiber Box Manufacturing </t>
  </si>
  <si>
    <t xml:space="preserve">Folding Paperboard Box Manufacturing </t>
  </si>
  <si>
    <t xml:space="preserve">Other Paperboard Container Manufacturing </t>
  </si>
  <si>
    <t>Paper Bag and Coated and Treated Paper Manufacturing</t>
  </si>
  <si>
    <t>Stationery Product Manufacturing</t>
  </si>
  <si>
    <t xml:space="preserve">Sanitary Paper Product Manufacturing </t>
  </si>
  <si>
    <t xml:space="preserve">All Other Converted Paper Product Manufacturing </t>
  </si>
  <si>
    <t xml:space="preserve">Commercial Printing (except Screen and Books) </t>
  </si>
  <si>
    <t xml:space="preserve">Commercial Screen Printing </t>
  </si>
  <si>
    <t xml:space="preserve">Books Printing </t>
  </si>
  <si>
    <t>Support Activities for Printing</t>
  </si>
  <si>
    <t>Petroleum Refineries</t>
  </si>
  <si>
    <t xml:space="preserve">Asphalt Paving Mixture and Block Manufacturing </t>
  </si>
  <si>
    <t xml:space="preserve">Asphalt Shingle and Coating Materials Manufacturing </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</si>
  <si>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</si>
  <si>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</si>
  <si>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</si>
  <si>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</si>
  <si>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</si>
  <si>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 xml:space="preserve">Other Basic Inorganic Chemical Manufacturing </t>
  </si>
  <si>
    <t xml:space="preserve">Ethyl Alcohol Manufacturing </t>
  </si>
  <si>
    <t xml:space="preserve">Cyclic Crude, Intermediate, and Gum and Wood Chemical Manufacturing </t>
  </si>
  <si>
    <t xml:space="preserve">All Other Basic Organic Chemical Manufacturing </t>
  </si>
  <si>
    <t xml:space="preserve">Plastics Material and Resin Manufacturing </t>
  </si>
  <si>
    <t xml:space="preserve">Synthetic Rubber Manufacturing </t>
  </si>
  <si>
    <t>Artificial and Synthetic Fibers and Filaments Manufacturing</t>
  </si>
  <si>
    <t xml:space="preserve">Nitrogenous Fertilizer Manufacturing </t>
  </si>
  <si>
    <t xml:space="preserve">Phosphatic Fertilizer Manufacturing </t>
  </si>
  <si>
    <t xml:space="preserve">Fertilizer (Mixing Only) Manufacturing </t>
  </si>
  <si>
    <t>Pesticide and Other Agricultural Chemical Manufacturing</t>
  </si>
  <si>
    <t xml:space="preserve">Medicinal and Botanical Manufacturing </t>
  </si>
  <si>
    <t xml:space="preserve">Pharmaceutical Preparation Manufacturing </t>
  </si>
  <si>
    <t xml:space="preserve">In-Vitro Diagnostic Substance Manufacturing </t>
  </si>
  <si>
    <t xml:space="preserve">Biological Product (except Diagnostic) Manufacturing </t>
  </si>
  <si>
    <t>Paint and Coating Manufacturing</t>
  </si>
  <si>
    <t>Adhesive Manufacturing</t>
  </si>
  <si>
    <t xml:space="preserve">Soap and Other Detergent Manufacturing </t>
  </si>
  <si>
    <t xml:space="preserve">Polish and Other Sanitation Good Manufacturing </t>
  </si>
  <si>
    <t xml:space="preserve">Surface Active Agent Manufacturing </t>
  </si>
  <si>
    <t>Toilet Preparation Manufacturing</t>
  </si>
  <si>
    <t>Printing Ink Manufacturing</t>
  </si>
  <si>
    <t>Explosives Manufacturing</t>
  </si>
  <si>
    <t xml:space="preserve">Custom Compounding of Purchased Resins </t>
  </si>
  <si>
    <t xml:space="preserve">Photographic Film, Paper, Plate, and Chemical Manufacturing </t>
  </si>
  <si>
    <t xml:space="preserve">All Other Miscellaneous Chemical Product and Preparation Manufacturing </t>
  </si>
  <si>
    <t xml:space="preserve">Plastics Bag and Pouch Manufacturing </t>
  </si>
  <si>
    <t xml:space="preserve">Plastics Packaging Film and Sheet (including Laminated) Manufacturing </t>
  </si>
  <si>
    <t xml:space="preserve">Unlaminated Plastics Film and Sheet (except Packaging) Manufacturing </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</si>
  <si>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</si>
  <si>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</si>
  <si>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</si>
  <si>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</si>
  <si>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</si>
  <si>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</si>
  <si>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 xml:space="preserve">Plastics Plumbing Fixture Manufacturing </t>
  </si>
  <si>
    <t xml:space="preserve">All Other Plastics Product Manufacturing </t>
  </si>
  <si>
    <t xml:space="preserve">Tire Manufacturing (except Retreading) </t>
  </si>
  <si>
    <t xml:space="preserve">Tire Retreading </t>
  </si>
  <si>
    <t>Rubber and Plastics Hoses and Belting Manufacturing</t>
  </si>
  <si>
    <t xml:space="preserve">Rubber Product Manufacturing for Mechanical Use </t>
  </si>
  <si>
    <t xml:space="preserve">All Other Rubber Product Manufacturing </t>
  </si>
  <si>
    <t xml:space="preserve">Pottery, Ceramics, and Plumbing Fixture Manufacturing </t>
  </si>
  <si>
    <t xml:space="preserve">Clay Building Material and Refractories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</si>
  <si>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</si>
  <si>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</si>
  <si>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</si>
  <si>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</si>
  <si>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</si>
  <si>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</si>
  <si>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 xml:space="preserve">Concrete Block and Brick Manufacturing </t>
  </si>
  <si>
    <t xml:space="preserve">Concrete Pipe Manufacturing </t>
  </si>
  <si>
    <t xml:space="preserve">Other Concrete Product Manufacturing </t>
  </si>
  <si>
    <t>Lime Manufacturing</t>
  </si>
  <si>
    <t>Gypsum Product Manufacturing</t>
  </si>
  <si>
    <t>Abrasive Product Manufacturing</t>
  </si>
  <si>
    <t xml:space="preserve">Cut Stone and Stone Product Manufacturing </t>
  </si>
  <si>
    <t xml:space="preserve">Ground or Treated Mineral and Earth Manufacturing </t>
  </si>
  <si>
    <t xml:space="preserve">Mineral Wool Manufacturing </t>
  </si>
  <si>
    <t xml:space="preserve">All Other Miscellaneous Nonmetallic Mineral Product Manufacturing </t>
  </si>
  <si>
    <t xml:space="preserve">Iron and Steel Mills and Ferroalloy Manufacturing </t>
  </si>
  <si>
    <t>Iron and Steel Pipe and Tube Manufacturing from Purchased Steel</t>
  </si>
  <si>
    <t xml:space="preserve">Rolled Steel Shape Manufacturing </t>
  </si>
  <si>
    <t xml:space="preserve">Steel Wire Drawing </t>
  </si>
  <si>
    <t xml:space="preserve">Alumina Refining and Primary Aluminum Production </t>
  </si>
  <si>
    <t xml:space="preserve">Secondary Smelting and Alloying of Aluminum </t>
  </si>
  <si>
    <t xml:space="preserve">Aluminum Sheet, Plate, and Foil Manufacturing </t>
  </si>
  <si>
    <t xml:space="preserve">Other Aluminum Rolling, Drawing, and Extruding </t>
  </si>
  <si>
    <t xml:space="preserve">Nonferrous Metal (except Aluminum) Smelting and Refining </t>
  </si>
  <si>
    <t>Copper Rolling, Drawing, Extruding, and Alloying</t>
  </si>
  <si>
    <t xml:space="preserve">Nonferrous Metal (except Copper and Aluminum) Rolling, Drawing, and Extruding </t>
  </si>
  <si>
    <t xml:space="preserve">Secondary Smelting, Refining, and Alloying of Nonferrous Metal (except Copper and Aluminum) </t>
  </si>
  <si>
    <t xml:space="preserve">Iron Foundries </t>
  </si>
  <si>
    <t xml:space="preserve">Steel Investment Foundries </t>
  </si>
  <si>
    <t xml:space="preserve">Steel Foundries (except Investment) </t>
  </si>
  <si>
    <t xml:space="preserve">Nonferrous Metal Die-Casting Foundries </t>
  </si>
  <si>
    <t xml:space="preserve">Aluminum Foundries (except Die-Casting) </t>
  </si>
  <si>
    <t xml:space="preserve">Other Nonferrous Metal Foundries (except Die-Casting) </t>
  </si>
  <si>
    <t xml:space="preserve">Iron and Steel Forging </t>
  </si>
  <si>
    <t xml:space="preserve">Nonferrous Forging </t>
  </si>
  <si>
    <t xml:space="preserve">Custom Roll Forming </t>
  </si>
  <si>
    <t xml:space="preserve">Powder Metallurgy Part Manufacturing </t>
  </si>
  <si>
    <t xml:space="preserve">Metal Crown, Closure, and Other Metal Stamping (except Automotive) </t>
  </si>
  <si>
    <t xml:space="preserve">Metal Kitchen Cookware, Utensil, Cutlery, and Flatware (except Precious) Manufacturing </t>
  </si>
  <si>
    <t xml:space="preserve">Saw Blade and Handtool Manufacturing </t>
  </si>
  <si>
    <t xml:space="preserve">Prefabricated Metal Building and Component Manufacturing </t>
  </si>
  <si>
    <t xml:space="preserve">Fabricated Structural Metal Manufacturing </t>
  </si>
  <si>
    <t xml:space="preserve">Plate Work Manufacturing </t>
  </si>
  <si>
    <t xml:space="preserve">Metal Window and Door Manufacturing </t>
  </si>
  <si>
    <t xml:space="preserve">Sheet Metal Work Manufacturing </t>
  </si>
  <si>
    <t xml:space="preserve">Ornamental and Architectural Metal Work Manufacturing </t>
  </si>
  <si>
    <t>Power Boiler and Heat Exchanger Manufacturing</t>
  </si>
  <si>
    <t>Metal Tank (Heavy Gauge) Manufacturing</t>
  </si>
  <si>
    <t xml:space="preserve">Metal Can Manufacturing </t>
  </si>
  <si>
    <t xml:space="preserve">Other Metal Container Manufacturing </t>
  </si>
  <si>
    <t>Hardware Manufacturing</t>
  </si>
  <si>
    <t xml:space="preserve">Spring Manufacturing </t>
  </si>
  <si>
    <t xml:space="preserve">Other Fabricated Wire Product Manufacturing </t>
  </si>
  <si>
    <t>Machine Shops</t>
  </si>
  <si>
    <t xml:space="preserve">Precision Turned Product Manufacturing </t>
  </si>
  <si>
    <t xml:space="preserve">Bolt, Nut, Screw, Rivet, and Washer Manufacturing </t>
  </si>
  <si>
    <t xml:space="preserve">Metal Heat Treating </t>
  </si>
  <si>
    <t xml:space="preserve">Metal Coating, Engraving (except Jewelry and Silverware), and Allied Services to Manufacturers </t>
  </si>
  <si>
    <t xml:space="preserve">Electroplating, Plating, Polishing, Anodizing, and Coloring </t>
  </si>
  <si>
    <t xml:space="preserve">Industrial Valve Manufacturing </t>
  </si>
  <si>
    <t xml:space="preserve">Fluid Power Valve and Hose Fitting Manufacturing </t>
  </si>
  <si>
    <t xml:space="preserve">Plumbing Fixture Fitting and Trim Manufacturing </t>
  </si>
  <si>
    <t xml:space="preserve">Other Metal Valve and Pipe Fitting Manufacturing </t>
  </si>
  <si>
    <t>Ball and Roller Bearing Manufacturing</t>
  </si>
  <si>
    <t xml:space="preserve">Small Arms Ammunition Manufacturing </t>
  </si>
  <si>
    <t xml:space="preserve">Ammunition (except Small Arms) Manufacturing </t>
  </si>
  <si>
    <t xml:space="preserve">Small Arms, Ordnance, and Ordnance Accessories Manufacturing </t>
  </si>
  <si>
    <t xml:space="preserve">Fabricated Pipe and Pipe Fitting Manufacturing </t>
  </si>
  <si>
    <t xml:space="preserve">All Other Miscellaneous Fabricated Metal Product Manufacturing </t>
  </si>
  <si>
    <t xml:space="preserve">Farm Machinery and Equipment Manufacturing </t>
  </si>
  <si>
    <t xml:space="preserve">Lawn and Garden Tractor and Home Lawn and Garden Equipment Manufacturing </t>
  </si>
  <si>
    <t>Construction Machinery Manufacturing</t>
  </si>
  <si>
    <t xml:space="preserve">Mining Machinery and Equipment Manufacturing </t>
  </si>
  <si>
    <t xml:space="preserve">Oil and Gas Field Machinery and Equipment Manufacturing </t>
  </si>
  <si>
    <t xml:space="preserve">Food Product Machinery Manufacturing </t>
  </si>
  <si>
    <t xml:space="preserve">Semiconductor Machinery Manufacturing </t>
  </si>
  <si>
    <t xml:space="preserve">Sawmill, Woodworking, and Paper Machinery Manufacturing </t>
  </si>
  <si>
    <t xml:space="preserve">Printing Machinery and Equipment Manufacturing </t>
  </si>
  <si>
    <t xml:space="preserve">Other Industrial Machinery Manufacturing </t>
  </si>
  <si>
    <t xml:space="preserve">Optical Instrument and Lens Manufacturing </t>
  </si>
  <si>
    <t xml:space="preserve">Photographic and Photocopying Equipment Manufacturing </t>
  </si>
  <si>
    <t xml:space="preserve">Other Commercial and Service Industry Machinery Manufacturing </t>
  </si>
  <si>
    <t xml:space="preserve">Industrial and Commercial Fan and Blower and Air Purification Equipment Manufacturing </t>
  </si>
  <si>
    <t xml:space="preserve">Heating Equipment (except Warm Air Furnaces) Manufacturing </t>
  </si>
  <si>
    <t xml:space="preserve">Air-Conditioning and Warm Air Heating Equipment and Commercial and Industrial Refrigeration Equipment Manufacturing </t>
  </si>
  <si>
    <t xml:space="preserve">Industrial Mold Manufacturing </t>
  </si>
  <si>
    <t xml:space="preserve">Special Die and Tool, Die Set, Jig, and Fixture Manufacturing </t>
  </si>
  <si>
    <t xml:space="preserve">Cutting Tool and Machine Tool Accessory Manufacturing </t>
  </si>
  <si>
    <t xml:space="preserve">Machine Tool Manufacturing </t>
  </si>
  <si>
    <t xml:space="preserve">Rolling Mill and Other Metalworking Machinery Manufacturing </t>
  </si>
  <si>
    <t xml:space="preserve">Turbine and Turbine Generator Set Units Manufacturing </t>
  </si>
  <si>
    <t xml:space="preserve">Speed Changer, Industrial High-Speed Drive, and Gear Manufacturing </t>
  </si>
  <si>
    <t xml:space="preserve">Mechanical Power Transmission Equipment Manufacturing </t>
  </si>
  <si>
    <t xml:space="preserve">Other Engine Equipment Manufacturing </t>
  </si>
  <si>
    <t xml:space="preserve">Pump and Pumping Equipment Manufacturing </t>
  </si>
  <si>
    <t xml:space="preserve">Air and Gas Compressor Manufacturing </t>
  </si>
  <si>
    <t xml:space="preserve">Measuring and Dispensing Pump Manufacturing </t>
  </si>
  <si>
    <t xml:space="preserve">Elevator and Moving Stairway Manufacturing </t>
  </si>
  <si>
    <t xml:space="preserve">Conveyor and Conveying Equipment Manufacturing </t>
  </si>
  <si>
    <t xml:space="preserve">Overhead Traveling Crane, Hoist, and Monorail System Manufacturing </t>
  </si>
  <si>
    <t xml:space="preserve">Industrial Truck, Tractor, Trailer, and Stacker Machinery Manufacturing </t>
  </si>
  <si>
    <t xml:space="preserve">Power-Driven Handtool Manufacturing </t>
  </si>
  <si>
    <t xml:space="preserve">Welding and Soldering Equipment Manufacturing </t>
  </si>
  <si>
    <t xml:space="preserve">Packaging Machinery Manufacturing </t>
  </si>
  <si>
    <t xml:space="preserve">Industrial Process Furnace and Oven Manufacturing </t>
  </si>
  <si>
    <t xml:space="preserve">Fluid Power Cylinder and Actuator Manufacturing </t>
  </si>
  <si>
    <t xml:space="preserve">Fluid Power Pump and Motor Manufacturing </t>
  </si>
  <si>
    <t xml:space="preserve">Scale and Balance Manufacturing </t>
  </si>
  <si>
    <t xml:space="preserve">All Other Miscellaneous General Purpose Machinery Manufacturing </t>
  </si>
  <si>
    <t xml:space="preserve">Electronic Computer Manufacturing </t>
  </si>
  <si>
    <t xml:space="preserve">Computer Storage Device Manufacturing </t>
  </si>
  <si>
    <t xml:space="preserve">Computer Terminal and Other Computer Peripheral Equipment Manufacturing </t>
  </si>
  <si>
    <t>Telephone Apparatus Manufacturing</t>
  </si>
  <si>
    <t>Radio and Television Broadcasting and Wireless Communications Equipment Manufacturing</t>
  </si>
  <si>
    <t>Other Communications Equipment Manufacturing</t>
  </si>
  <si>
    <t>Audio and Video Equipment Manufacturing</t>
  </si>
  <si>
    <t xml:space="preserve">Bare Printed Circuit Board Manufacturing  </t>
  </si>
  <si>
    <t xml:space="preserve">Semiconductor and Related Device Manufacturing </t>
  </si>
  <si>
    <t xml:space="preserve">Capacitor, Resistor, Coil, Transformer, and Other Inductor Manufacturing </t>
  </si>
  <si>
    <t xml:space="preserve">Electronic Connector Manufacturing </t>
  </si>
  <si>
    <t xml:space="preserve">Printed Circuit Assembly (Electronic Assembly) Manufacturing </t>
  </si>
  <si>
    <t xml:space="preserve">Other Electronic Component Manufacturing </t>
  </si>
  <si>
    <t xml:space="preserve">Electromedical and Electrotherapeutic Apparatus Manufacturing </t>
  </si>
  <si>
    <t xml:space="preserve">Search, Detection, Navigation, Guidance, Aeronautical, and Nautical System and Instrument Manufacturing </t>
  </si>
  <si>
    <t xml:space="preserve">Automatic Environmental Control Manufacturing for Residential, Commercial, and Appliance Use </t>
  </si>
  <si>
    <t xml:space="preserve">Instruments and Related Products Manufacturing for Measuring, Displaying, and Controlling Industrial Process Variables </t>
  </si>
  <si>
    <t xml:space="preserve">Totalizing Fluid Meter and Counting Device Manufacturing </t>
  </si>
  <si>
    <t xml:space="preserve">Instrument Manufacturing for Measuring and Testing Electricity and Electrical Signals </t>
  </si>
  <si>
    <t xml:space="preserve">Analytical Laboratory Instrument Manufacturing </t>
  </si>
  <si>
    <t xml:space="preserve">Irradiation Apparatus Manufacturing </t>
  </si>
  <si>
    <t xml:space="preserve">Other Measuring and Controlling Device Manufacturing </t>
  </si>
  <si>
    <t xml:space="preserve">Blank Magnetic and Optical Recording Media Manufacturing </t>
  </si>
  <si>
    <t xml:space="preserve">Software and Other Prerecorded Compact Disc, Tape, and Record Reproducing </t>
  </si>
  <si>
    <t>Electric Lamp Bulb and Part Manufacturing</t>
  </si>
  <si>
    <t xml:space="preserve">Residential Electric Lighting Fixture Manufacturing </t>
  </si>
  <si>
    <t xml:space="preserve">Commercial, Industrial, and Institutional Electric Lighting Fixture Manufacturing </t>
  </si>
  <si>
    <t xml:space="preserve">Other Lighting Equipment Manufacturing </t>
  </si>
  <si>
    <t>Small Electrical Appliance Manufacturing</t>
  </si>
  <si>
    <t xml:space="preserve">Household Cooking Appliance Manufacturing </t>
  </si>
  <si>
    <t xml:space="preserve">Household Refrigerator and Home Freezer Manufacturing </t>
  </si>
  <si>
    <t xml:space="preserve">Household Laundry Equipment Manufacturing </t>
  </si>
  <si>
    <t xml:space="preserve">Other Major Household Appliance Manufacturing </t>
  </si>
  <si>
    <t xml:space="preserve">Power, Distribution, and Specialty Transformer Manufacturing </t>
  </si>
  <si>
    <t xml:space="preserve">Motor and Generator Manufacturing </t>
  </si>
  <si>
    <t xml:space="preserve">Switchgear and Switchboard Apparatus Manufacturing </t>
  </si>
  <si>
    <t xml:space="preserve">Relay and Industrial Control Manufacturing </t>
  </si>
  <si>
    <t xml:space="preserve">Storage Battery Manufacturing </t>
  </si>
  <si>
    <t xml:space="preserve">Primary Battery Manufacturing </t>
  </si>
  <si>
    <t xml:space="preserve">Fiber Optic Cable Manufacturing </t>
  </si>
  <si>
    <t xml:space="preserve">Other Communication and Energy Wire Manufacturing </t>
  </si>
  <si>
    <t xml:space="preserve">Current-Carrying Wiring Device Manufacturing </t>
  </si>
  <si>
    <t xml:space="preserve">Noncurrent-Carrying Wiring Device Manufacturing </t>
  </si>
  <si>
    <t xml:space="preserve">Carbon and Graphite Product Manufacturing </t>
  </si>
  <si>
    <t xml:space="preserve">All Other Miscellaneous Electrical Equipment and Component Manufacturing </t>
  </si>
  <si>
    <t xml:space="preserve">Automobile Manufacturing </t>
  </si>
  <si>
    <t xml:space="preserve">Light Truck and Utility Vehicle Manufacturing </t>
  </si>
  <si>
    <t>Heavy Duty Truck Manufacturing</t>
  </si>
  <si>
    <t xml:space="preserve">Motor Vehicle Body Manufacturing </t>
  </si>
  <si>
    <t xml:space="preserve">Truck Trailer Manufacturing </t>
  </si>
  <si>
    <t xml:space="preserve">Motor Home Manufacturing </t>
  </si>
  <si>
    <t xml:space="preserve">Travel Trailer and Camper Manufacturing </t>
  </si>
  <si>
    <t>Motor Vehicle Gasoline Engine and Engine Parts Manufacturing</t>
  </si>
  <si>
    <t>Motor Vehicle Electrical and Electronic Equipment Manufacturing</t>
  </si>
  <si>
    <t>Motor Vehicle Steering and Suspension Components (except Spring) Manufacturing</t>
  </si>
  <si>
    <t>Motor Vehicle Brake System Manufacturing</t>
  </si>
  <si>
    <t>Motor Vehicle Transmission and Power Train Parts Manufacturing</t>
  </si>
  <si>
    <t>Motor Vehicle Seating and Interior Trim Manufacturing</t>
  </si>
  <si>
    <t>Motor Vehicle Metal Stamping</t>
  </si>
  <si>
    <t>Other Motor Vehicle Parts Manufacturing</t>
  </si>
  <si>
    <t xml:space="preserve">Aircraft Manufacturing </t>
  </si>
  <si>
    <t xml:space="preserve">Aircraft Engine and Engine Parts Manufacturing </t>
  </si>
  <si>
    <t xml:space="preserve">Other Aircraft Parts and Auxiliary Equipment Manufacturing </t>
  </si>
  <si>
    <t xml:space="preserve">Guided Missile and Space Vehicle Manufacturing </t>
  </si>
  <si>
    <t xml:space="preserve">Guided Missile and Space Vehicle Propulsion Unit and Propulsion Unit Parts Manufacturing </t>
  </si>
  <si>
    <t xml:space="preserve">Other Guided Missile and Space Vehicle Parts and Auxiliary Equipment Manufacturing </t>
  </si>
  <si>
    <t>Railroad Rolling Stock Manufacturing</t>
  </si>
  <si>
    <t xml:space="preserve">Ship Building and Repairing </t>
  </si>
  <si>
    <t xml:space="preserve">Boat Building </t>
  </si>
  <si>
    <t xml:space="preserve">Motorcycle, Bicycle, and Parts Manufacturing </t>
  </si>
  <si>
    <t xml:space="preserve">Military Armored Vehicle, Tank, and Tank Component Manufacturing </t>
  </si>
  <si>
    <t xml:space="preserve">All Other Transportation Equipment Manufacturing </t>
  </si>
  <si>
    <t>Wood Kitchen Cabinet and Countertop Manufacturing</t>
  </si>
  <si>
    <t xml:space="preserve">Upholstered Household Furniture Manufacturing </t>
  </si>
  <si>
    <t xml:space="preserve">Nonupholstered Wood Household Furniture Manufacturing </t>
  </si>
  <si>
    <t xml:space="preserve">Metal Household Furniture Manufacturing </t>
  </si>
  <si>
    <t xml:space="preserve">Household Furniture (except Wood and Metal) Manufacturing </t>
  </si>
  <si>
    <t xml:space="preserve">Institutional Furniture Manufacturing </t>
  </si>
  <si>
    <t xml:space="preserve">Wood Office Furniture Manufacturing </t>
  </si>
  <si>
    <t xml:space="preserve">Custom Architectural Woodwork and Millwork Manufacturing </t>
  </si>
  <si>
    <t xml:space="preserve">Office Furniture (except Wood) Manufacturing </t>
  </si>
  <si>
    <t xml:space="preserve">Showcase, Partition, Shelving, and Locker Manufacturing </t>
  </si>
  <si>
    <t>Mattress Manufacturing</t>
  </si>
  <si>
    <t>Blind and Shade Manufacturing</t>
  </si>
  <si>
    <t xml:space="preserve">Surgical and Medical Instrument Manufacturing </t>
  </si>
  <si>
    <t xml:space="preserve">Surgical Appliance and Supplies Manufacturing </t>
  </si>
  <si>
    <t xml:space="preserve">Dental Equipment and Supplies Manufacturing </t>
  </si>
  <si>
    <t xml:space="preserve">Ophthalmic Goods Manufacturing </t>
  </si>
  <si>
    <t xml:space="preserve">Dental Laboratories </t>
  </si>
  <si>
    <t xml:space="preserve">Jewelry and Silverware Manufacturing </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</si>
  <si>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</si>
  <si>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</si>
  <si>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</si>
  <si>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</si>
  <si>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</si>
  <si>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</si>
  <si>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 xml:space="preserve">Fastener, Button, Needle, and Pin Manufacturing </t>
  </si>
  <si>
    <t xml:space="preserve">Broom, Brush, and Mop Manufacturing </t>
  </si>
  <si>
    <t xml:space="preserve">Burial Casket Manufacturing </t>
  </si>
  <si>
    <t xml:space="preserve">All Other Miscellaneous Manufacturing </t>
  </si>
  <si>
    <t xml:space="preserve">Automobile and Other Motor Vehicle Merchant Wholesalers </t>
  </si>
  <si>
    <t xml:space="preserve">Motor Vehicle Supplies and New Parts Merchant Wholesalers </t>
  </si>
  <si>
    <t xml:space="preserve">Tire and Tube Merchant Wholesalers </t>
  </si>
  <si>
    <t xml:space="preserve">Motor Vehicle Parts (Used) Merchant Wholesalers </t>
  </si>
  <si>
    <t xml:space="preserve">Furniture Merchant Wholesalers </t>
  </si>
  <si>
    <t xml:space="preserve">Home Furnishing Merchant Wholesalers </t>
  </si>
  <si>
    <t xml:space="preserve">Lumber, Plywood, Millwork, and Wood Panel Merchant Wholesalers </t>
  </si>
  <si>
    <t xml:space="preserve">Brick, Stone, and Related Construction Material Merchant Wholesalers </t>
  </si>
  <si>
    <t xml:space="preserve">Roofing, Siding, and Insulation Material Merchant Wholesalers </t>
  </si>
  <si>
    <t xml:space="preserve">Other Construction Material Merchant Wholesalers </t>
  </si>
  <si>
    <t xml:space="preserve">Photographic Equipment and Supplies Merchant Wholesalers </t>
  </si>
  <si>
    <t xml:space="preserve">Office Equipment Merchant Wholesalers </t>
  </si>
  <si>
    <t xml:space="preserve">Computer and Computer Peripheral Equipment and Software Merchant Wholesalers </t>
  </si>
  <si>
    <t xml:space="preserve">Other Commercial Equipment Merchant Wholesalers </t>
  </si>
  <si>
    <t xml:space="preserve">Medical, Dental, and Hospital Equipment and Supplies Merchant Wholesalers </t>
  </si>
  <si>
    <t xml:space="preserve">Ophthalmic Goods Merchant Wholesalers </t>
  </si>
  <si>
    <t xml:space="preserve">Other Professional Equipment and Supplies Merchant Wholesalers </t>
  </si>
  <si>
    <t xml:space="preserve">Metal Service Centers and Other Metal Merchant Wholesalers </t>
  </si>
  <si>
    <t xml:space="preserve">Coal and Other Mineral and Ore Merchant Wholesalers </t>
  </si>
  <si>
    <t xml:space="preserve">Electrical Apparatus and Equipment, Wiring Supplies, and Related Equipment Merchant Wholesalers </t>
  </si>
  <si>
    <t xml:space="preserve">Household Appliances, Electric Housewares, and Consumer Electronics Merchant Wholesalers </t>
  </si>
  <si>
    <t xml:space="preserve">Other Electronic Parts and Equipment Merchant Wholesalers </t>
  </si>
  <si>
    <t xml:space="preserve">Hardware Merchant Wholesalers </t>
  </si>
  <si>
    <t xml:space="preserve">Plumbing and Heating Equipment and Supplies (Hydronics) Merchant Wholesalers </t>
  </si>
  <si>
    <t xml:space="preserve">Warm Air Heating and Air-Conditioning Equipment and Supplies Merchant Wholesalers </t>
  </si>
  <si>
    <t xml:space="preserve">Refrigeration Equipment and Supplies Merchant Wholesalers </t>
  </si>
  <si>
    <t xml:space="preserve">Construction and Mining (except Oil Well) Machinery and Equipment Merchant Wholesalers </t>
  </si>
  <si>
    <t xml:space="preserve">Farm and Garden Machinery and Equipment Merchant Wholesalers </t>
  </si>
  <si>
    <t xml:space="preserve">Industrial Machinery and Equipment Merchant Wholesalers </t>
  </si>
  <si>
    <t>Industrial Supplies Merchant Wholesalers</t>
  </si>
  <si>
    <t xml:space="preserve">Service Establishment Equipment and Supplies Merchant Wholesalers </t>
  </si>
  <si>
    <t xml:space="preserve">Transportation Equipment and Supplies (except Motor Vehicle) Merchant Wholesalers </t>
  </si>
  <si>
    <t xml:space="preserve">Sporting and Recreational Goods and Supplies Merchant Wholesalers </t>
  </si>
  <si>
    <t xml:space="preserve">Toy and Hobby Goods and Supplies Merchant Wholesalers </t>
  </si>
  <si>
    <t xml:space="preserve">Recyclable Material Merchant Wholesalers </t>
  </si>
  <si>
    <t xml:space="preserve">Jewelry, Watch, Precious Stone, and Precious Metal Merchant Wholesalers </t>
  </si>
  <si>
    <t xml:space="preserve">Other Miscellaneous Durable Goods Merchant Wholesalers </t>
  </si>
  <si>
    <t xml:space="preserve">Printing and Writing Paper Merchant Wholesalers </t>
  </si>
  <si>
    <t xml:space="preserve">Stationery and Office Supplies Merchant Wholesalers </t>
  </si>
  <si>
    <t xml:space="preserve">Industrial and Personal Service Paper Merchant Wholesalers </t>
  </si>
  <si>
    <t xml:space="preserve">Drugs and Druggists' Sundries Merchant Wholesalers </t>
  </si>
  <si>
    <t xml:space="preserve">Piece Goods, Notions, and Other Dry Goods Merchant Wholesalers </t>
  </si>
  <si>
    <t xml:space="preserve">Men's and Boys' Clothing and Furnishings Merchant Wholesalers </t>
  </si>
  <si>
    <t xml:space="preserve">Women's, Children's, and Infants' Clothing and Accessories Merchant Wholesalers </t>
  </si>
  <si>
    <t xml:space="preserve">Footwear Merchant Wholesalers </t>
  </si>
  <si>
    <t xml:space="preserve">General Line Grocery Merchant Wholesalers </t>
  </si>
  <si>
    <t xml:space="preserve">Packaged Frozen Food Merchant Wholesalers </t>
  </si>
  <si>
    <t xml:space="preserve">Dairy Product (except Dried or Canned) Merchant Wholesalers </t>
  </si>
  <si>
    <t xml:space="preserve">Poultry and Poultry Product Merchant Wholesalers </t>
  </si>
  <si>
    <t xml:space="preserve">Confectionery Merchant Wholesalers </t>
  </si>
  <si>
    <t xml:space="preserve">Fish and Seafood Merchant Wholesalers </t>
  </si>
  <si>
    <t xml:space="preserve">Meat and Meat Product Merchant Wholesalers </t>
  </si>
  <si>
    <t xml:space="preserve">Fresh Fruit and Vegetable Merchant Wholesalers </t>
  </si>
  <si>
    <t xml:space="preserve">Other Grocery and Related Products Merchant Wholesalers </t>
  </si>
  <si>
    <t xml:space="preserve">Grain and Field Bean Merchant Wholesalers </t>
  </si>
  <si>
    <t xml:space="preserve">Livestock Merchant Wholesalers </t>
  </si>
  <si>
    <t xml:space="preserve">Other Farm Product Raw Material Merchant Wholesalers </t>
  </si>
  <si>
    <t xml:space="preserve">Plastics Materials and Basic Forms and Shapes Merchant Wholesalers </t>
  </si>
  <si>
    <t xml:space="preserve">Other Chemical and Allied Products Merchant Wholesalers </t>
  </si>
  <si>
    <t xml:space="preserve">Petroleum Bulk Stations and Terminals </t>
  </si>
  <si>
    <t xml:space="preserve">Petroleum and Petroleum Products Merchant Wholesalers (except Bulk Stations and Terminals) </t>
  </si>
  <si>
    <t xml:space="preserve">Beer and Ale Merchant Wholesalers </t>
  </si>
  <si>
    <t xml:space="preserve">Wine and Distilled Alcoholic Beverage Merchant Wholesalers </t>
  </si>
  <si>
    <t xml:space="preserve">Farm Supplies Merchant Wholesalers </t>
  </si>
  <si>
    <t xml:space="preserve">Book, Periodical, and Newspaper Merchant Wholesalers </t>
  </si>
  <si>
    <t xml:space="preserve">Flower, Nursery Stock, and Florists' Supplies Merchant Wholesalers </t>
  </si>
  <si>
    <t xml:space="preserve">Tobacco and Tobacco Product Merchant Wholesalers </t>
  </si>
  <si>
    <t xml:space="preserve">Paint, Varnish, and Supplies Merchant Wholesalers </t>
  </si>
  <si>
    <t xml:space="preserve">Other Miscellaneous Nondurable Goods Merchant Wholesalers </t>
  </si>
  <si>
    <t xml:space="preserve">Business to Business Electronic Markets </t>
  </si>
  <si>
    <t xml:space="preserve">Wholesale Trade Agents and Brokers </t>
  </si>
  <si>
    <t xml:space="preserve">New Car Dealers </t>
  </si>
  <si>
    <t xml:space="preserve">Used Car Dealers </t>
  </si>
  <si>
    <t xml:space="preserve">Recreational Vehicle Dealers </t>
  </si>
  <si>
    <t xml:space="preserve">Boat Dealers </t>
  </si>
  <si>
    <t xml:space="preserve">Motorcycle, ATV, and All Other Motor Vehicle Dealers </t>
  </si>
  <si>
    <t xml:space="preserve">Automotive Parts and Accessories Stores </t>
  </si>
  <si>
    <t xml:space="preserve">Tire Dealers </t>
  </si>
  <si>
    <t xml:space="preserve">Furniture Stores </t>
  </si>
  <si>
    <t xml:space="preserve">Floor Covering Stores </t>
  </si>
  <si>
    <t xml:space="preserve">Window Treatment Stores </t>
  </si>
  <si>
    <t xml:space="preserve">All Other Home Furnishings Stores </t>
  </si>
  <si>
    <t xml:space="preserve">Household Appliance Stores </t>
  </si>
  <si>
    <t xml:space="preserve">Electronics Stores </t>
  </si>
  <si>
    <t xml:space="preserve">Home Centers </t>
  </si>
  <si>
    <t xml:space="preserve">Paint and Wallpaper Stores </t>
  </si>
  <si>
    <t xml:space="preserve">Hardware Stores </t>
  </si>
  <si>
    <t xml:space="preserve">Other Building Material Dealers </t>
  </si>
  <si>
    <t xml:space="preserve">Outdoor Power Equipment Stores </t>
  </si>
  <si>
    <t xml:space="preserve">Nursery, Garden Center, and Farm Supply Stores </t>
  </si>
  <si>
    <t xml:space="preserve">Supermarkets and Other Grocery (except Convenience) Stores </t>
  </si>
  <si>
    <t xml:space="preserve">Convenience Stores </t>
  </si>
  <si>
    <t xml:space="preserve">Meat Markets </t>
  </si>
  <si>
    <t xml:space="preserve">Fish and Seafood Markets </t>
  </si>
  <si>
    <t xml:space="preserve">Fruit and Vegetable Markets </t>
  </si>
  <si>
    <t xml:space="preserve">Baked Goods Stores </t>
  </si>
  <si>
    <t xml:space="preserve">Confectionery and Nut Stores </t>
  </si>
  <si>
    <t xml:space="preserve">All Other Specialty Food Stores </t>
  </si>
  <si>
    <t xml:space="preserve">Beer, Wine, and Liquor Stores </t>
  </si>
  <si>
    <t xml:space="preserve">Pharmacies and Drug Stores </t>
  </si>
  <si>
    <t xml:space="preserve">Cosmetics, Beauty Supplies, and Perfume Stores </t>
  </si>
  <si>
    <t xml:space="preserve">Optical Goods Stores </t>
  </si>
  <si>
    <t xml:space="preserve">Food (Health) Supplement Stores </t>
  </si>
  <si>
    <t xml:space="preserve">All Other Health and Personal Care Stores </t>
  </si>
  <si>
    <t xml:space="preserve">Gasoline Stations with Convenience Stores </t>
  </si>
  <si>
    <t xml:space="preserve">Other Gasoline Stations </t>
  </si>
  <si>
    <t xml:space="preserve">Men's Clothing Stores </t>
  </si>
  <si>
    <t xml:space="preserve">Women's Clothing Stores </t>
  </si>
  <si>
    <t xml:space="preserve">Children's and Infants' Clothing Stores </t>
  </si>
  <si>
    <t xml:space="preserve">Family Clothing Stores </t>
  </si>
  <si>
    <t xml:space="preserve">Clothing Accessories Stores </t>
  </si>
  <si>
    <t xml:space="preserve">Other Clothing Stores </t>
  </si>
  <si>
    <t xml:space="preserve">Shoe Stores </t>
  </si>
  <si>
    <t xml:space="preserve">Jewelry Stores </t>
  </si>
  <si>
    <t xml:space="preserve">Luggage and Leather Goods Stores </t>
  </si>
  <si>
    <t xml:space="preserve">Sporting Goods Stores </t>
  </si>
  <si>
    <t xml:space="preserve">Hobby, Toy, and Game Stores </t>
  </si>
  <si>
    <t xml:space="preserve">Sewing, Needlework, and Piece Goods Stores </t>
  </si>
  <si>
    <t xml:space="preserve">Musical Instrument and Supplies Stores </t>
  </si>
  <si>
    <t xml:space="preserve">Book Stores </t>
  </si>
  <si>
    <t xml:space="preserve">News Dealers and Newsstands </t>
  </si>
  <si>
    <t xml:space="preserve">Department Stores (except Discount Department Stores) </t>
  </si>
  <si>
    <t xml:space="preserve">Discount Department Stores </t>
  </si>
  <si>
    <t xml:space="preserve">Warehouse Clubs and Supercenters </t>
  </si>
  <si>
    <t xml:space="preserve">All Other General Merchandise Stores </t>
  </si>
  <si>
    <t xml:space="preserve">Florists </t>
  </si>
  <si>
    <t xml:space="preserve">Office Supplies and Stationery Stores </t>
  </si>
  <si>
    <t xml:space="preserve">Gift, Novelty, and Souvenir Stores </t>
  </si>
  <si>
    <t xml:space="preserve">Used Merchandise Stores </t>
  </si>
  <si>
    <t xml:space="preserve">Pet and Pet Supplies Stores </t>
  </si>
  <si>
    <t xml:space="preserve">Art Dealers </t>
  </si>
  <si>
    <t xml:space="preserve">Manufactured (Mobile) Home Dealers </t>
  </si>
  <si>
    <t xml:space="preserve">Tobacco Stores </t>
  </si>
  <si>
    <t xml:space="preserve">All Other Miscellaneous Store Retailers (except Tobacco Stores) </t>
  </si>
  <si>
    <t xml:space="preserve">Electronic Shopping </t>
  </si>
  <si>
    <t xml:space="preserve">Electronic Auctions </t>
  </si>
  <si>
    <t xml:space="preserve">Mail-Order Houses </t>
  </si>
  <si>
    <t xml:space="preserve">Vending Machine Operators </t>
  </si>
  <si>
    <t xml:space="preserve">Fuel Dealers </t>
  </si>
  <si>
    <t xml:space="preserve">Other Direct Selling Establishments </t>
  </si>
  <si>
    <t xml:space="preserve">Scheduled Passenger Air Transportation </t>
  </si>
  <si>
    <t xml:space="preserve">Scheduled Freight Air Transportation </t>
  </si>
  <si>
    <t xml:space="preserve">Nonscheduled Chartered Passenger Air Transportation </t>
  </si>
  <si>
    <t xml:space="preserve">Nonscheduled Chartered Freight Air Transportation </t>
  </si>
  <si>
    <t xml:space="preserve">Other Nonscheduled Air Transportation </t>
  </si>
  <si>
    <t xml:space="preserve">Line-Haul Railroads </t>
  </si>
  <si>
    <t xml:space="preserve">Short Line Railroads </t>
  </si>
  <si>
    <t xml:space="preserve">Deep Sea Freight Transportation </t>
  </si>
  <si>
    <t xml:space="preserve">Deep Sea Passenger Transportation </t>
  </si>
  <si>
    <t xml:space="preserve">Coastal and Great Lakes Freight Transportation </t>
  </si>
  <si>
    <t xml:space="preserve">Coastal and Great Lakes Passenger Transportation </t>
  </si>
  <si>
    <t xml:space="preserve">Inland Water Freight Transportation </t>
  </si>
  <si>
    <t xml:space="preserve">Inland Water Passenger Transportation </t>
  </si>
  <si>
    <t xml:space="preserve">General Freight Trucking, Local </t>
  </si>
  <si>
    <t xml:space="preserve">General Freight Trucking, Long-Distance, Truckload </t>
  </si>
  <si>
    <t xml:space="preserve">General Freight Trucking, Long-Distance, Less Than Truckload </t>
  </si>
  <si>
    <t>Used Household and Office Goods Moving</t>
  </si>
  <si>
    <t xml:space="preserve">Specialized Freight (except Used Goods) Trucking, Local </t>
  </si>
  <si>
    <t xml:space="preserve">Specialized Freight (except Used Goods) Trucking, Long-Distance </t>
  </si>
  <si>
    <t xml:space="preserve">Mixed Mode Transit Systems </t>
  </si>
  <si>
    <t xml:space="preserve">Commuter Rail Systems </t>
  </si>
  <si>
    <t xml:space="preserve">Bus and Other Motor Vehicle Transit Systems </t>
  </si>
  <si>
    <t xml:space="preserve">Other Urban Transit Systems </t>
  </si>
  <si>
    <t>Interurban and Rural Bus Transportation</t>
  </si>
  <si>
    <t xml:space="preserve">Taxi Service </t>
  </si>
  <si>
    <t>Limousine Service</t>
  </si>
  <si>
    <t>School and Employee Bus Transportation</t>
  </si>
  <si>
    <t>Charter Bus Industry</t>
  </si>
  <si>
    <t xml:space="preserve">Special Needs Transportation </t>
  </si>
  <si>
    <t xml:space="preserve">All Other Transit and Ground Passenger Transportation </t>
  </si>
  <si>
    <t>Pipeline Transportation of Crude Oil</t>
  </si>
  <si>
    <t>Pipeline Transportation of Natural Gas</t>
  </si>
  <si>
    <t>Pipeline Transportation of Refined Petroleum Products</t>
  </si>
  <si>
    <t>All Other Pipeline Transportation</t>
  </si>
  <si>
    <t>Scenic and Sightseeing Transportation, Land</t>
  </si>
  <si>
    <t>Scenic and Sightseeing Transportation, Water</t>
  </si>
  <si>
    <t>Scenic and Sightseeing Transportation, Other</t>
  </si>
  <si>
    <t>Air Traffic Control</t>
  </si>
  <si>
    <t xml:space="preserve">Other Airport Operations </t>
  </si>
  <si>
    <t>Other Support Activities for Air Transportation</t>
  </si>
  <si>
    <t>Support Activities for Rail Transportation</t>
  </si>
  <si>
    <t>Port and Harbor Operations</t>
  </si>
  <si>
    <t>Marine Cargo Handling</t>
  </si>
  <si>
    <t xml:space="preserve">Navigational Services to Shipping </t>
  </si>
  <si>
    <t>Other Support Activities for Water Transportation</t>
  </si>
  <si>
    <t>Motor Vehicle Towing</t>
  </si>
  <si>
    <t xml:space="preserve">Other Support Activities for Road Transportation </t>
  </si>
  <si>
    <t xml:space="preserve">Freight Transportation Arrangement </t>
  </si>
  <si>
    <t xml:space="preserve">Packing and Crating </t>
  </si>
  <si>
    <t xml:space="preserve">All Other Support Activities for Transportation </t>
  </si>
  <si>
    <t>Postal Service</t>
  </si>
  <si>
    <t>Couriers and Express Delivery Services</t>
  </si>
  <si>
    <t>Local Messengers and Local Delivery</t>
  </si>
  <si>
    <t xml:space="preserve">General Warehousing and Storage </t>
  </si>
  <si>
    <t>Refrigerated Warehousing and Storage</t>
  </si>
  <si>
    <t>Farm Product Warehousing and Storage</t>
  </si>
  <si>
    <t>Other Warehousing and Storage</t>
  </si>
  <si>
    <t xml:space="preserve">Newspaper Publishers </t>
  </si>
  <si>
    <t xml:space="preserve">Periodical Publishers </t>
  </si>
  <si>
    <t xml:space="preserve">Book Publishers </t>
  </si>
  <si>
    <t xml:space="preserve">Directory and Mailing List Publishers </t>
  </si>
  <si>
    <t xml:space="preserve">Greeting Card Publishers </t>
  </si>
  <si>
    <t xml:space="preserve">All Other Publishers </t>
  </si>
  <si>
    <t>Software Publishers</t>
  </si>
  <si>
    <t xml:space="preserve">Motion Picture and Video Production </t>
  </si>
  <si>
    <t>Motion Picture and Video Distribution</t>
  </si>
  <si>
    <t xml:space="preserve">Motion Picture Theaters (except Drive-Ins) </t>
  </si>
  <si>
    <t xml:space="preserve">Drive-In Motion Picture Theaters </t>
  </si>
  <si>
    <t xml:space="preserve">Teleproduction and Other Postproduction Services </t>
  </si>
  <si>
    <t xml:space="preserve">Other Motion Picture and Video Industries </t>
  </si>
  <si>
    <t>Record Production</t>
  </si>
  <si>
    <t>Integrated Record Production/Distribution</t>
  </si>
  <si>
    <t>Music Publishers</t>
  </si>
  <si>
    <t>Sound Recording Studios</t>
  </si>
  <si>
    <t>Other Sound Recording Industries</t>
  </si>
  <si>
    <t xml:space="preserve">Radio Networks </t>
  </si>
  <si>
    <t xml:space="preserve">Radio Stations </t>
  </si>
  <si>
    <t>Television Broadcasting</t>
  </si>
  <si>
    <t>Cable and Other Subscription Programming</t>
  </si>
  <si>
    <t xml:space="preserve">Wired Telecommunications Carriers </t>
  </si>
  <si>
    <t>Wireless Telecommunications Carriers (except Satellite)</t>
  </si>
  <si>
    <t>Satellite Telecommunications</t>
  </si>
  <si>
    <t xml:space="preserve">Telecommunications Resellers </t>
  </si>
  <si>
    <t xml:space="preserve">All Other Telecommunications </t>
  </si>
  <si>
    <t>Data Processing, Hosting, and Related Services</t>
  </si>
  <si>
    <t>News Syndicates</t>
  </si>
  <si>
    <t xml:space="preserve">Libraries and Archives </t>
  </si>
  <si>
    <t>Internet Publishing and Broadcasting and Web Search Portals</t>
  </si>
  <si>
    <t>All Other Information Services</t>
  </si>
  <si>
    <t>Monetary Authorities-Central Bank</t>
  </si>
  <si>
    <t xml:space="preserve">Commercial Banking </t>
  </si>
  <si>
    <t xml:space="preserve">Savings Institutions </t>
  </si>
  <si>
    <t xml:space="preserve">Credit Unions </t>
  </si>
  <si>
    <t xml:space="preserve">Other Depository Credit Intermediation </t>
  </si>
  <si>
    <t xml:space="preserve">Credit Card Issuing </t>
  </si>
  <si>
    <t xml:space="preserve">Sales Financing </t>
  </si>
  <si>
    <t xml:space="preserve">Consumer Lending </t>
  </si>
  <si>
    <t xml:space="preserve">Real Estate Credit </t>
  </si>
  <si>
    <t xml:space="preserve">International Trade Financing </t>
  </si>
  <si>
    <t xml:space="preserve">Secondary Market Financing </t>
  </si>
  <si>
    <t xml:space="preserve">All Other Nondepository Credit Intermediation </t>
  </si>
  <si>
    <t xml:space="preserve">Mortgage and Nonmortgage Loan Brokers </t>
  </si>
  <si>
    <t xml:space="preserve">Financial Transactions Processing, Reserve, and Clearinghouse Activities </t>
  </si>
  <si>
    <t xml:space="preserve">Other Activities Related to Credit Intermediation </t>
  </si>
  <si>
    <t xml:space="preserve">Investment Banking and Securities Dealing </t>
  </si>
  <si>
    <t xml:space="preserve">Securities Brokerage </t>
  </si>
  <si>
    <t xml:space="preserve">Commodity Contracts Dealing </t>
  </si>
  <si>
    <t xml:space="preserve">Commodity Contracts Brokerage </t>
  </si>
  <si>
    <t>Securities and Commodity Exchanges</t>
  </si>
  <si>
    <t xml:space="preserve">Miscellaneous Intermediation </t>
  </si>
  <si>
    <t xml:space="preserve">Portfolio Management </t>
  </si>
  <si>
    <t xml:space="preserve">Investment Advice </t>
  </si>
  <si>
    <t xml:space="preserve">Trust, Fiduciary, and Custody Activities </t>
  </si>
  <si>
    <t xml:space="preserve">Miscellaneous Financial Investment Activities </t>
  </si>
  <si>
    <t xml:space="preserve">Direct Life Insurance Carriers </t>
  </si>
  <si>
    <t xml:space="preserve">Direct Health and Medical Insurance Carriers </t>
  </si>
  <si>
    <t xml:space="preserve">Direct Property and Casualty Insurance Carriers </t>
  </si>
  <si>
    <t xml:space="preserve">Direct Title Insurance Carriers </t>
  </si>
  <si>
    <t xml:space="preserve">Other Direct Insurance (except Life, Health, and Medical) Carriers </t>
  </si>
  <si>
    <t xml:space="preserve">Reinsurance Carriers </t>
  </si>
  <si>
    <t xml:space="preserve">Insurance Agencies and Brokerages </t>
  </si>
  <si>
    <t xml:space="preserve">Claims Adjusting </t>
  </si>
  <si>
    <t xml:space="preserve">Third Party Administration of Insurance and Pension Funds </t>
  </si>
  <si>
    <t xml:space="preserve">All Other Insurance Related Activities </t>
  </si>
  <si>
    <t xml:space="preserve">Pension Funds </t>
  </si>
  <si>
    <t xml:space="preserve">Health and Welfare Funds </t>
  </si>
  <si>
    <t xml:space="preserve">Other Insurance Funds </t>
  </si>
  <si>
    <t xml:space="preserve">Open-End Investment Funds </t>
  </si>
  <si>
    <t xml:space="preserve">Trusts, Estates, and Agency Accounts </t>
  </si>
  <si>
    <t xml:space="preserve">Other Financial Vehicles </t>
  </si>
  <si>
    <t xml:space="preserve">Lessors of Residential Buildings and Dwellings </t>
  </si>
  <si>
    <t xml:space="preserve">Lessors of Nonresidential Buildings (except Miniwarehouses) </t>
  </si>
  <si>
    <t xml:space="preserve">Lessors of Miniwarehouses and Self-Storage Units </t>
  </si>
  <si>
    <t xml:space="preserve">Lessors of Other Real Estate Property </t>
  </si>
  <si>
    <t>Offices of Real Estate Agents and Brokers</t>
  </si>
  <si>
    <t xml:space="preserve">Residential Property Managers </t>
  </si>
  <si>
    <t xml:space="preserve">Nonresidential Property Managers </t>
  </si>
  <si>
    <t xml:space="preserve">Offices of Real Estate Appraisers </t>
  </si>
  <si>
    <t xml:space="preserve">Other Activities Related to Real Estate </t>
  </si>
  <si>
    <t xml:space="preserve">Passenger Car Rental </t>
  </si>
  <si>
    <t xml:space="preserve">Passenger Car Leasing </t>
  </si>
  <si>
    <t xml:space="preserve">Truck, Utility Trailer, and RV (Recreational Vehicle) Rental and Leasing </t>
  </si>
  <si>
    <t>Consumer Electronics and Appliances Rental</t>
  </si>
  <si>
    <t>Formal Wear and Costume Rental</t>
  </si>
  <si>
    <t>Video Tape and Disc Rental</t>
  </si>
  <si>
    <t xml:space="preserve">Home Health Equipment Rental </t>
  </si>
  <si>
    <t xml:space="preserve">Recreational Goods Rental </t>
  </si>
  <si>
    <t xml:space="preserve">All Other Consumer Goods Rental </t>
  </si>
  <si>
    <t>General Rental Centers</t>
  </si>
  <si>
    <t xml:space="preserve">Commercial Air, Rail, and Water Transportation Equipment Rental and Leasing </t>
  </si>
  <si>
    <t xml:space="preserve">Construction, Mining, and Forestry Machinery and Equipment Rental and Leasing </t>
  </si>
  <si>
    <t>Office Machinery and Equipment Rental and Leasing</t>
  </si>
  <si>
    <t xml:space="preserve">Other Commercial and Industrial Machinery and Equipment Rental and Leasing </t>
  </si>
  <si>
    <t>Lessors of Nonfinancial Intangible Assets (except Copyrighted Works)</t>
  </si>
  <si>
    <t>Offices of Lawyers</t>
  </si>
  <si>
    <t>Offices of Notaries</t>
  </si>
  <si>
    <t xml:space="preserve">Title Abstract and Settlement Offices </t>
  </si>
  <si>
    <t xml:space="preserve">All Other Legal Services </t>
  </si>
  <si>
    <t xml:space="preserve">Offices of Certified Public Accountants </t>
  </si>
  <si>
    <t xml:space="preserve">Tax Preparation Services </t>
  </si>
  <si>
    <t xml:space="preserve">Payroll Services </t>
  </si>
  <si>
    <t xml:space="preserve">Other Accounting Services </t>
  </si>
  <si>
    <t>Architectural Services</t>
  </si>
  <si>
    <t>Landscape Architectural Services</t>
  </si>
  <si>
    <t>Engineering Services</t>
  </si>
  <si>
    <t>Drafting Services</t>
  </si>
  <si>
    <t>Building Inspection Services</t>
  </si>
  <si>
    <t>Geophysical Surveying and Mapping Services</t>
  </si>
  <si>
    <t>Surveying and Mapping (except Geophysical) Services</t>
  </si>
  <si>
    <t>Testing Laboratories</t>
  </si>
  <si>
    <t>Interior Design Services</t>
  </si>
  <si>
    <t>Industrial Design Services</t>
  </si>
  <si>
    <t>Graphic Design Services</t>
  </si>
  <si>
    <t>Other Specialized Design Services</t>
  </si>
  <si>
    <t xml:space="preserve">Custom Computer Programming Services </t>
  </si>
  <si>
    <t xml:space="preserve">Computer Systems Design Services </t>
  </si>
  <si>
    <t xml:space="preserve">Computer Facilities Management Services </t>
  </si>
  <si>
    <t>Other Computer Related Services</t>
  </si>
  <si>
    <t xml:space="preserve">Administrative Management and General Management Consulting Services </t>
  </si>
  <si>
    <t xml:space="preserve">Human Resources Consulting Services </t>
  </si>
  <si>
    <t xml:space="preserve">Marketing Consulting Services </t>
  </si>
  <si>
    <t xml:space="preserve">Process, Physical Distribution, and Logistics Consulting Services </t>
  </si>
  <si>
    <t xml:space="preserve">Other Management Consulting Services </t>
  </si>
  <si>
    <t>Environmental Consulting Services</t>
  </si>
  <si>
    <t>Other Scientific and Technical Consulting Services</t>
  </si>
  <si>
    <t xml:space="preserve">Research and Development in Biotechnology </t>
  </si>
  <si>
    <t xml:space="preserve">Research and Development in the Physical, Engineering, and Life Sciences (except Biotechnology) </t>
  </si>
  <si>
    <t xml:space="preserve">Research and Development in the Social Sciences and Humanities </t>
  </si>
  <si>
    <t>Advertising Agencies</t>
  </si>
  <si>
    <t>Public Relations Agencies</t>
  </si>
  <si>
    <t>Media Buying Agencies</t>
  </si>
  <si>
    <t>Media Representatives</t>
  </si>
  <si>
    <t>Outdoor Advertising</t>
  </si>
  <si>
    <t>Direct Mail Advertising</t>
  </si>
  <si>
    <t>Advertising Material Distribution Services</t>
  </si>
  <si>
    <t xml:space="preserve">Other Services Related to Advertising </t>
  </si>
  <si>
    <t>Marketing Research and Public Opinion Polling</t>
  </si>
  <si>
    <t xml:space="preserve">Photography Studios, Portrait </t>
  </si>
  <si>
    <t xml:space="preserve">Commercial Photography </t>
  </si>
  <si>
    <t>Translation and Interpretation Services</t>
  </si>
  <si>
    <t xml:space="preserve">Veterinary Services </t>
  </si>
  <si>
    <t>All Other Professional, Scientific, and Technical Services</t>
  </si>
  <si>
    <t xml:space="preserve">Offices of Bank Holding Companies </t>
  </si>
  <si>
    <t xml:space="preserve">Offices of Other Holding Companies </t>
  </si>
  <si>
    <t xml:space="preserve">Corporate, Subsidiary, and Regional Managing Offices </t>
  </si>
  <si>
    <t>Office Administrative Services</t>
  </si>
  <si>
    <t>Facilities Support Services</t>
  </si>
  <si>
    <t xml:space="preserve">Employment Placement Agencies </t>
  </si>
  <si>
    <r>
      <t>Executive Search Services</t>
    </r>
    <r>
      <rPr>
        <sz val="10"/>
        <color indexed="8"/>
        <rFont val="Arial"/>
        <family val="2"/>
      </rPr>
      <t xml:space="preserve"> </t>
    </r>
  </si>
  <si>
    <t>Temporary Help Services</t>
  </si>
  <si>
    <t>Professional Employer Organizations</t>
  </si>
  <si>
    <t>Document Preparation Services</t>
  </si>
  <si>
    <r>
      <t>Telephone Answering Services</t>
    </r>
    <r>
      <rPr>
        <sz val="10"/>
        <color indexed="8"/>
        <rFont val="Arial"/>
        <family val="2"/>
      </rPr>
      <t xml:space="preserve"> </t>
    </r>
  </si>
  <si>
    <t xml:space="preserve">Telemarketing Bureaus and Other Contact Centers </t>
  </si>
  <si>
    <t xml:space="preserve">Private Mail Centers </t>
  </si>
  <si>
    <t xml:space="preserve">Other Business Service Centers (including Copy Shops) </t>
  </si>
  <si>
    <t>Collection Agencies</t>
  </si>
  <si>
    <t>Credit Bureaus</t>
  </si>
  <si>
    <t xml:space="preserve">Repossession Services </t>
  </si>
  <si>
    <t xml:space="preserve">Court Reporting and Stenotype Services </t>
  </si>
  <si>
    <t xml:space="preserve">All Other Business Support Services </t>
  </si>
  <si>
    <t>Travel Agencies</t>
  </si>
  <si>
    <t>Tour Operators</t>
  </si>
  <si>
    <t xml:space="preserve">Convention and Visitors Bureaus </t>
  </si>
  <si>
    <t xml:space="preserve">All Other Travel Arrangement and Reservation Services </t>
  </si>
  <si>
    <t xml:space="preserve">Investigation Services </t>
  </si>
  <si>
    <t xml:space="preserve">Security Guards and Patrol Services </t>
  </si>
  <si>
    <t xml:space="preserve">Armored Car Services </t>
  </si>
  <si>
    <t xml:space="preserve">Security Systems Services (except Locksmiths) </t>
  </si>
  <si>
    <t xml:space="preserve">Locksmiths </t>
  </si>
  <si>
    <t>Exterminating and Pest Control Services</t>
  </si>
  <si>
    <t xml:space="preserve">Janitorial Services </t>
  </si>
  <si>
    <t>Landscaping Services</t>
  </si>
  <si>
    <t>Carpet and Upholstery Cleaning Services</t>
  </si>
  <si>
    <t xml:space="preserve">Other Services to Buildings and Dwellings </t>
  </si>
  <si>
    <t>Packaging and Labeling Services</t>
  </si>
  <si>
    <t>Convention and Trade Show Organizers</t>
  </si>
  <si>
    <t>All Other Support Services</t>
  </si>
  <si>
    <t xml:space="preserve">Solid Waste Collection </t>
  </si>
  <si>
    <t xml:space="preserve">Hazardous Waste Collection </t>
  </si>
  <si>
    <t xml:space="preserve">Other Waste Collection </t>
  </si>
  <si>
    <t xml:space="preserve">Hazardous Waste Treatment and Disposal </t>
  </si>
  <si>
    <t xml:space="preserve">Solid Waste Landfill </t>
  </si>
  <si>
    <t xml:space="preserve">Solid Waste Combustors and Incinerators </t>
  </si>
  <si>
    <t xml:space="preserve">Other Nonhazardous Waste Treatment and Disposal </t>
  </si>
  <si>
    <t xml:space="preserve">Remediation Services </t>
  </si>
  <si>
    <t xml:space="preserve">Materials Recovery Facilities </t>
  </si>
  <si>
    <t xml:space="preserve">Septic Tank and Related Services </t>
  </si>
  <si>
    <t xml:space="preserve">All Other Miscellaneous Waste Management Services </t>
  </si>
  <si>
    <t xml:space="preserve">Elementary and Secondary Schools </t>
  </si>
  <si>
    <t xml:space="preserve">Junior Colleges </t>
  </si>
  <si>
    <t xml:space="preserve">Colleges, Universities, and Professional Schools </t>
  </si>
  <si>
    <t xml:space="preserve">Business and Secretarial Schools </t>
  </si>
  <si>
    <t xml:space="preserve">Computer Training </t>
  </si>
  <si>
    <t xml:space="preserve">Professional and Management Development Training </t>
  </si>
  <si>
    <t xml:space="preserve">Cosmetology and Barber Schools </t>
  </si>
  <si>
    <t xml:space="preserve">Flight Training </t>
  </si>
  <si>
    <t xml:space="preserve">Apprenticeship Training </t>
  </si>
  <si>
    <t xml:space="preserve">Other Technical and Trade Schools </t>
  </si>
  <si>
    <t xml:space="preserve">Fine Arts Schools </t>
  </si>
  <si>
    <t xml:space="preserve">Sports and Recreation Instruction </t>
  </si>
  <si>
    <t xml:space="preserve">Language Schools </t>
  </si>
  <si>
    <t xml:space="preserve">Exam Preparation and Tutoring </t>
  </si>
  <si>
    <t xml:space="preserve">Automobile Driving Schools </t>
  </si>
  <si>
    <t xml:space="preserve">All Other Miscellaneous Schools and Instruction </t>
  </si>
  <si>
    <t>Educational Support Services</t>
  </si>
  <si>
    <t xml:space="preserve">Offices of Physicians (except Mental Health Specialists) </t>
  </si>
  <si>
    <t xml:space="preserve">Offices of Physicians, Mental Health Specialists </t>
  </si>
  <si>
    <t xml:space="preserve">Offices of Dentists </t>
  </si>
  <si>
    <t xml:space="preserve">Offices of Chiropractors </t>
  </si>
  <si>
    <t>Offices of Optometrists</t>
  </si>
  <si>
    <t xml:space="preserve">Offices of Mental Health Practitioners (except Physicians) </t>
  </si>
  <si>
    <t xml:space="preserve">Offices of Physical, Occupational and Speech Therapists, and Audiologists </t>
  </si>
  <si>
    <t xml:space="preserve">Offices of Podiatrists </t>
  </si>
  <si>
    <t xml:space="preserve">Offices of All Other Miscellaneous Health Practitioners </t>
  </si>
  <si>
    <t xml:space="preserve">Family Planning Centers </t>
  </si>
  <si>
    <t xml:space="preserve">Outpatient Mental Health and Substance Abuse Centers </t>
  </si>
  <si>
    <t xml:space="preserve">HMO Medical Centers </t>
  </si>
  <si>
    <t xml:space="preserve">Kidney Dialysis Centers </t>
  </si>
  <si>
    <t xml:space="preserve">Freestanding Ambulatory Surgical and Emergency Centers </t>
  </si>
  <si>
    <t xml:space="preserve">All Other Outpatient Care Centers </t>
  </si>
  <si>
    <t xml:space="preserve">Medical Laboratories </t>
  </si>
  <si>
    <t xml:space="preserve">Diagnostic Imaging Centers </t>
  </si>
  <si>
    <t>Home Health Care Services</t>
  </si>
  <si>
    <t xml:space="preserve">Ambulance Services </t>
  </si>
  <si>
    <t xml:space="preserve">Blood and Organ Banks </t>
  </si>
  <si>
    <t xml:space="preserve">All Other Miscellaneous Ambulatory Health Care Services </t>
  </si>
  <si>
    <t xml:space="preserve">General Medical and Surgical Hospitals </t>
  </si>
  <si>
    <t xml:space="preserve">Psychiatric and Substance Abuse Hospitals </t>
  </si>
  <si>
    <t xml:space="preserve">Specialty (except Psychiatric and Substance Abuse) Hospitals </t>
  </si>
  <si>
    <t xml:space="preserve">Nursing Care Facilities (Skilled Nursing Facilities) </t>
  </si>
  <si>
    <t xml:space="preserve">Residential Intellectual and Developmental Disability Facilities </t>
  </si>
  <si>
    <t xml:space="preserve">Residential Mental Health and Substance Abuse Facilities </t>
  </si>
  <si>
    <t xml:space="preserve">Continuing Care Retirement Communities </t>
  </si>
  <si>
    <t xml:space="preserve">Assisted Living Facilities for the Elderly </t>
  </si>
  <si>
    <t xml:space="preserve">Other Residential Care Facilities </t>
  </si>
  <si>
    <t xml:space="preserve">Child and Youth Services </t>
  </si>
  <si>
    <t xml:space="preserve">Services for the Elderly and Persons with Disabilities </t>
  </si>
  <si>
    <t xml:space="preserve">Other Individual and Family Services </t>
  </si>
  <si>
    <t xml:space="preserve">Community Food Services </t>
  </si>
  <si>
    <t xml:space="preserve">Temporary Shelters </t>
  </si>
  <si>
    <t xml:space="preserve">Other Community Housing Services </t>
  </si>
  <si>
    <t xml:space="preserve">Emergency and Other Relief Services </t>
  </si>
  <si>
    <t xml:space="preserve">Vocational Rehabilitation Services </t>
  </si>
  <si>
    <t xml:space="preserve">Child Day Care Services </t>
  </si>
  <si>
    <t xml:space="preserve">Theater Companies and Dinner Theaters </t>
  </si>
  <si>
    <t xml:space="preserve">Dance Companies </t>
  </si>
  <si>
    <t xml:space="preserve">Musical Groups and Artists </t>
  </si>
  <si>
    <t xml:space="preserve">Other Performing Arts Companies </t>
  </si>
  <si>
    <t xml:space="preserve">Sports Teams and Clubs </t>
  </si>
  <si>
    <t xml:space="preserve">Racetracks </t>
  </si>
  <si>
    <t xml:space="preserve">Other Spectator Sports </t>
  </si>
  <si>
    <t xml:space="preserve">Promoters of Performing Arts, Sports, and Similar Events with Facilities </t>
  </si>
  <si>
    <t xml:space="preserve">Promoters of Performing Arts, Sports, and Similar Events without Facilities </t>
  </si>
  <si>
    <t>Agents and Managers for Artists, Athletes, Entertainers, and Other Public Figures</t>
  </si>
  <si>
    <t xml:space="preserve">Independent Artists, Writers, and Performers </t>
  </si>
  <si>
    <t xml:space="preserve">Museums </t>
  </si>
  <si>
    <t>Historical Sites</t>
  </si>
  <si>
    <t xml:space="preserve">Zoos and Botanical Gardens </t>
  </si>
  <si>
    <t>Nature Parks and Other Similar Institutions</t>
  </si>
  <si>
    <t xml:space="preserve">Amusement and Theme Parks </t>
  </si>
  <si>
    <t>Amusement Arcades</t>
  </si>
  <si>
    <t>Casinos (except Casino Hotels)</t>
  </si>
  <si>
    <t xml:space="preserve">Other Gambling Industries </t>
  </si>
  <si>
    <t>Golf Courses and Country Clubs</t>
  </si>
  <si>
    <t>Skiing Facilities</t>
  </si>
  <si>
    <t xml:space="preserve">Fitness and Recreational Sports Centers </t>
  </si>
  <si>
    <t>Bowling Centers</t>
  </si>
  <si>
    <t xml:space="preserve">All Other Amusement and Recreation Industries </t>
  </si>
  <si>
    <t xml:space="preserve">Hotels (except Casino Hotels) and Motels </t>
  </si>
  <si>
    <t>Casino Hotels</t>
  </si>
  <si>
    <t xml:space="preserve">Bed-and-Breakfast Inns </t>
  </si>
  <si>
    <t xml:space="preserve">All Other Traveler Accommodation </t>
  </si>
  <si>
    <t xml:space="preserve">RV (Recreational Vehicle) Parks and Campgrounds </t>
  </si>
  <si>
    <t xml:space="preserve">Recreational and Vacation Camps (except Campgrounds) </t>
  </si>
  <si>
    <t xml:space="preserve">Rooming and Boarding Houses </t>
  </si>
  <si>
    <t>Food Service Contractors</t>
  </si>
  <si>
    <t>Mobile Food Services</t>
  </si>
  <si>
    <t xml:space="preserve">Drinking Places (Alcoholic Beverages) </t>
  </si>
  <si>
    <t xml:space="preserve">Full-Service Restaurants </t>
  </si>
  <si>
    <t xml:space="preserve">Limited-Service Restaurants </t>
  </si>
  <si>
    <t xml:space="preserve">Cafeterias, Grill Buffets, and Buffets </t>
  </si>
  <si>
    <t xml:space="preserve">Snack and Nonalcoholic Beverage Bars </t>
  </si>
  <si>
    <t xml:space="preserve">General Automotive Repair </t>
  </si>
  <si>
    <t xml:space="preserve">Automotive Exhaust System Repair </t>
  </si>
  <si>
    <t xml:space="preserve">Automotive Transmission Repair </t>
  </si>
  <si>
    <t xml:space="preserve">Other Automotive Mechanical and Electrical Repair and Maintenance </t>
  </si>
  <si>
    <t xml:space="preserve">Automotive Body, Paint, and Interior Repair and Maintenance </t>
  </si>
  <si>
    <t xml:space="preserve">Automotive Glass Replacement Shops </t>
  </si>
  <si>
    <t xml:space="preserve">Automotive Oil Change and Lubrication Shops </t>
  </si>
  <si>
    <t xml:space="preserve">Car Washes </t>
  </si>
  <si>
    <t xml:space="preserve">All Other Automotive Repair and Maintenance </t>
  </si>
  <si>
    <t xml:space="preserve">Consumer Electronics Repair and Maintenance </t>
  </si>
  <si>
    <t xml:space="preserve">Computer and Office Machine Repair and Maintenance </t>
  </si>
  <si>
    <t xml:space="preserve">Communication Equipment Repair and Maintenance </t>
  </si>
  <si>
    <t xml:space="preserve">Other Electronic and Precision Equipment Repair and Maintenance </t>
  </si>
  <si>
    <t xml:space="preserve">Commercial and Industrial Machinery and Equipment (except Automotive and Electronic) Repair and Maintenance </t>
  </si>
  <si>
    <t xml:space="preserve">Home and Garden Equipment Repair and Maintenance </t>
  </si>
  <si>
    <t xml:space="preserve">Appliance Repair and Maintenance </t>
  </si>
  <si>
    <t>Reupholstery and Furniture Repair</t>
  </si>
  <si>
    <t>Footwear and Leather Goods Repair</t>
  </si>
  <si>
    <t xml:space="preserve">Other Personal and Household Goods Repair and Maintenance </t>
  </si>
  <si>
    <t xml:space="preserve">Barber Shops </t>
  </si>
  <si>
    <t xml:space="preserve">Beauty Salons </t>
  </si>
  <si>
    <t xml:space="preserve">Nail Salons </t>
  </si>
  <si>
    <t xml:space="preserve">Diet and Weight Reducing Centers </t>
  </si>
  <si>
    <t xml:space="preserve">Other Personal Care Services </t>
  </si>
  <si>
    <t xml:space="preserve">Funeral Homes and Funeral Services </t>
  </si>
  <si>
    <t xml:space="preserve">Cemeteries and Crematories </t>
  </si>
  <si>
    <t xml:space="preserve">Coin-Operated Laundries and Drycleaners </t>
  </si>
  <si>
    <t xml:space="preserve">Drycleaning and Laundry Services (except Coin-Operated) </t>
  </si>
  <si>
    <t xml:space="preserve">Linen Supply </t>
  </si>
  <si>
    <t xml:space="preserve">Industrial Launderers </t>
  </si>
  <si>
    <t xml:space="preserve">Pet Care (except Veterinary) Services </t>
  </si>
  <si>
    <t xml:space="preserve">Photofinishing Laboratories (except One-Hour) </t>
  </si>
  <si>
    <t xml:space="preserve">One-Hour Photofinishing </t>
  </si>
  <si>
    <t xml:space="preserve">Parking Lots and Garages </t>
  </si>
  <si>
    <t xml:space="preserve">All Other Personal Services </t>
  </si>
  <si>
    <t xml:space="preserve">Religious Organizations </t>
  </si>
  <si>
    <t xml:space="preserve">Grantmaking Foundations </t>
  </si>
  <si>
    <t xml:space="preserve">Voluntary Health Organizations </t>
  </si>
  <si>
    <t xml:space="preserve">Other Grantmaking and Giving Services </t>
  </si>
  <si>
    <t xml:space="preserve">Human Rights Organizations </t>
  </si>
  <si>
    <t xml:space="preserve">Environment, Conservation and Wildlife Organizations </t>
  </si>
  <si>
    <t xml:space="preserve">Other Social Advocacy Organizations </t>
  </si>
  <si>
    <t xml:space="preserve">Civic and Social Organizations </t>
  </si>
  <si>
    <t xml:space="preserve">Business Associations </t>
  </si>
  <si>
    <t xml:space="preserve">Professional Organizations </t>
  </si>
  <si>
    <t xml:space="preserve">Labor Unions and Similar Labor Organizations </t>
  </si>
  <si>
    <t xml:space="preserve">Political Organizations </t>
  </si>
  <si>
    <t xml:space="preserve">Other Similar Organizations (except Business, Professional, Labor, and Political Organizations) </t>
  </si>
  <si>
    <t>Private Households</t>
  </si>
  <si>
    <t xml:space="preserve">Executive Offices </t>
  </si>
  <si>
    <t xml:space="preserve">Legislative Bodies </t>
  </si>
  <si>
    <t xml:space="preserve">Public Finance Activities </t>
  </si>
  <si>
    <t xml:space="preserve">Executive and Legislative Offices, Combined </t>
  </si>
  <si>
    <t xml:space="preserve">American Indian and Alaska Native Tribal Governments </t>
  </si>
  <si>
    <t xml:space="preserve">Other General Government Support </t>
  </si>
  <si>
    <t xml:space="preserve">Courts </t>
  </si>
  <si>
    <t xml:space="preserve">Police Protection </t>
  </si>
  <si>
    <t xml:space="preserve">Legal Counsel and Prosecution </t>
  </si>
  <si>
    <t xml:space="preserve">Correctional Institutions </t>
  </si>
  <si>
    <t xml:space="preserve">Parole Offices and Probation Offices </t>
  </si>
  <si>
    <t xml:space="preserve">Fire Protection </t>
  </si>
  <si>
    <t xml:space="preserve">Other Justice, Public Order, and Safety Activities </t>
  </si>
  <si>
    <t xml:space="preserve">Administration of Education Programs </t>
  </si>
  <si>
    <t xml:space="preserve">Administration of Public Health Programs </t>
  </si>
  <si>
    <t xml:space="preserve">Administration of Human Resource Programs (except Education, Public Health, and Veterans' Affairs Programs) </t>
  </si>
  <si>
    <t xml:space="preserve">Administration of Veterans' Affairs </t>
  </si>
  <si>
    <t xml:space="preserve">Administration of Air and Water Resource and Solid Waste Management Programs </t>
  </si>
  <si>
    <t xml:space="preserve">Administration of Conservation Programs </t>
  </si>
  <si>
    <t xml:space="preserve">Administration of Housing Programs </t>
  </si>
  <si>
    <t xml:space="preserve">Administration of Urban Planning and Community and Rural Development </t>
  </si>
  <si>
    <t xml:space="preserve">Administration of General Economic Programs </t>
  </si>
  <si>
    <t xml:space="preserve">Regulation and Administration of Transportation Programs </t>
  </si>
  <si>
    <t xml:space="preserve">Regulation and Administration of Communications, Electric, Gas, and Other Utilities </t>
  </si>
  <si>
    <t xml:space="preserve">Regulation of Agricultural Marketing and Commodities </t>
  </si>
  <si>
    <t xml:space="preserve">Regulation, Licensing, and Inspection of Miscellaneous Commercial Sectors </t>
  </si>
  <si>
    <t xml:space="preserve">Space Research and Technology </t>
  </si>
  <si>
    <t xml:space="preserve">National Security </t>
  </si>
  <si>
    <t xml:space="preserve">International Affairs </t>
  </si>
  <si>
    <t>Is the facility located on leased property?</t>
  </si>
  <si>
    <t>Company Name:</t>
  </si>
  <si>
    <t>Company City:</t>
  </si>
  <si>
    <t>Company State:</t>
  </si>
  <si>
    <t>Company ZIP:</t>
  </si>
  <si>
    <t>Company Address:</t>
  </si>
  <si>
    <t>Is the business incorporated?</t>
  </si>
  <si>
    <t>Facility Contact Person:</t>
  </si>
  <si>
    <t>E-Mail:</t>
  </si>
  <si>
    <t>Phone Number:</t>
  </si>
  <si>
    <t>Who is the primary contact for questions regarding this application?</t>
  </si>
  <si>
    <t>Facility Contact Person Title or Responsibility:</t>
  </si>
  <si>
    <t>Purpose of Application:</t>
  </si>
  <si>
    <t>Does this facility currently hold an operating permit issued by the LLCHD?</t>
  </si>
  <si>
    <t>Is the facility located within 50 miles of another state?</t>
  </si>
  <si>
    <t>Does this facility currently hold one or more construction permits issued by the LLCHD?</t>
  </si>
  <si>
    <t>If you know what type of permit you are applying for, check the appropriate box:</t>
  </si>
  <si>
    <t>2. Will continue to comply with all applicable requirements for which compliance has been achieved; and,</t>
  </si>
  <si>
    <t>3. Will comply with all applicable requirements for which compliance is not currently achieved</t>
  </si>
  <si>
    <t>Compliance Certification</t>
  </si>
  <si>
    <t>Truth and Accuracy Certification</t>
  </si>
  <si>
    <t>Electronic Copy Certification</t>
  </si>
  <si>
    <t>Only 'Agree' when an electronic copy is submitted with the hard copy application.  If not submitting an electronic copy, select "N/A".</t>
  </si>
  <si>
    <r>
      <t xml:space="preserve">Responsible Official Name: </t>
    </r>
    <r>
      <rPr>
        <sz val="11"/>
        <color theme="1"/>
        <rFont val="Arial"/>
        <family val="2"/>
      </rPr>
      <t>(printed or typed)</t>
    </r>
  </si>
  <si>
    <t>Responsible Official Title:</t>
  </si>
  <si>
    <t>Responsible Official Signature:</t>
  </si>
  <si>
    <t>Date:</t>
  </si>
  <si>
    <t>^^^^^</t>
  </si>
  <si>
    <t>See the instructions included below to determine what qualifies as a 'Responsible Official'.</t>
  </si>
  <si>
    <t>Requirements for a 'Responsible Official':</t>
  </si>
  <si>
    <t>Each application must include a certification statement indicating that the information contained in the application is true, accurate and complete and be signed by a Responsible Official of the organization that will operate the source, or by a Responsible Official of the organization which owns the source.  A Responsible Official can be:</t>
  </si>
  <si>
    <t>For a Corporation:</t>
  </si>
  <si>
    <t xml:space="preserve">1.  </t>
  </si>
  <si>
    <t xml:space="preserve">a.  </t>
  </si>
  <si>
    <t>A president, secretary, treasurer, or vice-president of the corporation in charge of a principal business function; or,</t>
  </si>
  <si>
    <t xml:space="preserve">b.  </t>
  </si>
  <si>
    <t>Any other person who performs similar policy or decision-making functions for the corporation; or,</t>
  </si>
  <si>
    <t xml:space="preserve">c.  </t>
  </si>
  <si>
    <t>A duly authorized representative of such person if the representative is responsible for the overall operation of one or more manufacturing, production, or operating facilities applying for or subject to a permit and either:</t>
  </si>
  <si>
    <t xml:space="preserve">i.  </t>
  </si>
  <si>
    <t>The facilities employ more than 250 persons or have gross annual sales or expenditures exceeding $25 million (in second quarter 1980 dollars); or,</t>
  </si>
  <si>
    <t xml:space="preserve">ii.  </t>
  </si>
  <si>
    <t>The delegation of authority to such representatives is approved in advance by the LLCHD.</t>
  </si>
  <si>
    <t xml:space="preserve">2.  </t>
  </si>
  <si>
    <t>For a partnership of sole proprietorship:</t>
  </si>
  <si>
    <t>A general partner or the proprietor, respectively;</t>
  </si>
  <si>
    <t xml:space="preserve">3.  </t>
  </si>
  <si>
    <t>For a municipality, State, Federal, or other public agency:</t>
  </si>
  <si>
    <t>Either a principal executive officer or ranking elected official.  For the proposes of this application, the principal executive officer of a Federal agency included the chief executive officer having responsibility for the overall operations of a principal geographic unit of the agency (e.g., a Regional Administrator of EPA); or,</t>
  </si>
  <si>
    <t xml:space="preserve">4.  </t>
  </si>
  <si>
    <t>For affected sources:</t>
  </si>
  <si>
    <t>The designated representative in so far as actions, standards, requirements, or prohibitions under Article 2, Section 26 of the LLCAPCPRS are concerned; and,</t>
  </si>
  <si>
    <t>The designated representative for any other purpose under the Title V program.</t>
  </si>
  <si>
    <t>http://www.census.gov/eos/www/naics/</t>
  </si>
  <si>
    <t>SECTION 2:  DETAILED SOURCE INFORMATION</t>
  </si>
  <si>
    <t>SECTION 1:  ADMINISTRATIVE INFORMATION AND RESPONSIBLE OFFICIAL CERTIFICATION</t>
  </si>
  <si>
    <t>Is this source operated seasonally, or year-round?</t>
  </si>
  <si>
    <t>Provide the normal operating schedule:</t>
  </si>
  <si>
    <t>Hours per Day:</t>
  </si>
  <si>
    <t>Days per Week:</t>
  </si>
  <si>
    <t>Weeks per Year:</t>
  </si>
  <si>
    <t>Does the source operate under an alternative schedule on a regular basis?</t>
  </si>
  <si>
    <t>SECTION 4 – INSIGNIFICANT ACTIVITIES</t>
  </si>
  <si>
    <t>Storage ID</t>
  </si>
  <si>
    <t>Installation Date</t>
  </si>
  <si>
    <t>Tank/Vessel Contents</t>
  </si>
  <si>
    <t>Maximum Capacity (gallons)</t>
  </si>
  <si>
    <t>Vapor Pressure @ Standard Conditions (psi)</t>
  </si>
  <si>
    <t>SECTION 5 – MAXIMUM POTENTIAL TO EMIT (MPTE)</t>
  </si>
  <si>
    <t>HAP CAS #</t>
  </si>
  <si>
    <t>Emission Unit #</t>
  </si>
  <si>
    <t>SECTION 7 – ACTUAL POTENTIAL TO EMIT (APTE)</t>
  </si>
  <si>
    <t>Natural Gas</t>
  </si>
  <si>
    <t>Associated Emission Unit</t>
  </si>
  <si>
    <t>Fugitive</t>
  </si>
  <si>
    <t>Vertical, Horizontal, or Fugitive</t>
  </si>
  <si>
    <r>
      <t xml:space="preserve">Alternate Phone Number: </t>
    </r>
    <r>
      <rPr>
        <i/>
        <sz val="11"/>
        <color theme="1"/>
        <rFont val="Arial"/>
        <family val="2"/>
      </rPr>
      <t>(optional)</t>
    </r>
  </si>
  <si>
    <r>
      <t xml:space="preserve">Fax Number: </t>
    </r>
    <r>
      <rPr>
        <i/>
        <sz val="11"/>
        <color theme="1"/>
        <rFont val="Arial"/>
        <family val="2"/>
      </rPr>
      <t>(optional)</t>
    </r>
  </si>
  <si>
    <t>INTRODUCTION &amp; GENERAL INSTRUCTIONS</t>
  </si>
  <si>
    <t>Once you've entered information into the box, the formatting will change, and the yellow highlighting will disappear, as shown below:</t>
  </si>
  <si>
    <t>XYZ Manufacturing Co.</t>
  </si>
  <si>
    <t>If you make an invalid entry, a message describing the reason for the invalid entry will appear in a box highlighted in orange, as shown below:</t>
  </si>
  <si>
    <t>Too many boxes checked.</t>
  </si>
  <si>
    <t>If you select an option in this sheet that renders other information irrelevant, cells containing irrelevant information will automatically format to a 'crosshatch' pattern, indicating that you do not need to enter any information or make any selections in that cell.  An example of this is shown below:</t>
  </si>
  <si>
    <t>Many of the sheets in this workbook will have specific instructions associated with them.  These instructions will often be displayed either at the top of each sheet, or in cells located to the right of the form.  Please be sure to read and follow all instructions provided with each respective sheet.</t>
  </si>
  <si>
    <t>This spreadsheet allows for up to 300 rows of emission unit #'s.  When printing, be sure to specify printing only of pages that contain emission units.</t>
  </si>
  <si>
    <t>End of Instructions.  Complete the table below.</t>
  </si>
  <si>
    <t>When printing, be sure to specify printing only of pages that contain stack data.</t>
  </si>
  <si>
    <t>Latitude Conversion:</t>
  </si>
  <si>
    <t>Longitude Conversion:</t>
  </si>
  <si>
    <t>Meters to Feet:</t>
  </si>
  <si>
    <t>Exhaust Flow Rate to Exhaust Exit Velocity:</t>
  </si>
  <si>
    <t>degrees North</t>
  </si>
  <si>
    <t>minutes</t>
  </si>
  <si>
    <t>seconds</t>
  </si>
  <si>
    <t>Decimal Degrees:</t>
  </si>
  <si>
    <t>degrees West</t>
  </si>
  <si>
    <t>meters</t>
  </si>
  <si>
    <t>Feet:</t>
  </si>
  <si>
    <t>feet wide</t>
  </si>
  <si>
    <t>Equivalent Diameter (opening dimensions):</t>
  </si>
  <si>
    <r>
      <t>Degrees Fahrenheit (</t>
    </r>
    <r>
      <rPr>
        <b/>
        <sz val="11"/>
        <color theme="1"/>
        <rFont val="Calibri"/>
        <family val="2"/>
      </rPr>
      <t>°F)</t>
    </r>
  </si>
  <si>
    <t>Exhaust Exit Velocity (ft/sec):</t>
  </si>
  <si>
    <t>Equivalent Diameter (feet):</t>
  </si>
  <si>
    <t>cubic feet per second, OR</t>
  </si>
  <si>
    <t>cubic feet per minute</t>
  </si>
  <si>
    <t xml:space="preserve">diameter (or equivalent diameter) in feet </t>
  </si>
  <si>
    <t>Conversion Tools</t>
  </si>
  <si>
    <t>Portable generators are still considered Insignificant Activities, and do not need to be included in Table 4-A.</t>
  </si>
  <si>
    <t>Stationary compression ignition internal combustion engines constructed, reconstructed, or modified after July 11, 2005, and stationary spark ignition internal combustion engines constructed, reconstructed, or modified after June 12, 2006, may be subject to 'New Source Performance Standards' (NSPS) set forth in 40 CFR 60 Subparts IIII and JJJJ.  These NSPS Subparts do not have minimum horsepower ratings, so engines of any size may be affected.</t>
  </si>
  <si>
    <t>Janitorial activities, services, and consumer use of janitorial products.</t>
  </si>
  <si>
    <t>Maintenance of processing equipment, machinery and/or control devices, buildings, grounds or facilities to maintain appearance or condition provided these activities are not conducted as part of a manufacturing process and do not trigger a permit modification.</t>
  </si>
  <si>
    <t>Portable, sealed storage containers that are not connected to a process unit or line by piping, transfer hoses, lines or valves, etc.</t>
  </si>
  <si>
    <t>Air condition units used for human comfort.</t>
  </si>
  <si>
    <t>Ventilating units used for human comfort that do not exhaust air pollutants into the ambient air from any manufacturing, industrial, or commercial process.</t>
  </si>
  <si>
    <t>Non-commercial food preparation.</t>
  </si>
  <si>
    <t>Laundry activities, except for dry-cleaning and steam boilers.</t>
  </si>
  <si>
    <t>Tobacco smoking rooms and areas.</t>
  </si>
  <si>
    <t>Forges and drop hammers or hydraulic presses used for forging or metal working.</t>
  </si>
  <si>
    <t>Hand-held equipment for buffing, polishing, cutting, drilling, sawing, grinding, turning or machining wood, metal, or plastic.</t>
  </si>
  <si>
    <t>Brazing, soldering, and welding equipment, and cutting torches related to manufacturing and construction activities that do not result in emission of HAP metals.</t>
  </si>
  <si>
    <t>Air compressors and pneumatically operated equipment, including hand tools.</t>
  </si>
  <si>
    <t>Batteries and battery charging stations, except at battery manufacturing plants.</t>
  </si>
  <si>
    <t>Equipment used to mix and package items such as soaps, vegetable oil, grease, animal fat, and nonvolatile aqueous salt solutions, provided appropriate lids and covers are utilized.</t>
  </si>
  <si>
    <t>Equipment used exclusively to slaughter animals.</t>
  </si>
  <si>
    <t>Vents from continuous emissions monitors and other analyzers.</t>
  </si>
  <si>
    <t>Hot melt adhesives with no VOC or HAP in the formulation.</t>
  </si>
  <si>
    <r>
      <t>CO</t>
    </r>
    <r>
      <rPr>
        <b/>
        <vertAlign val="subscript"/>
        <sz val="11"/>
        <color theme="1"/>
        <rFont val="Calibri"/>
        <family val="2"/>
        <scheme val="minor"/>
      </rPr>
      <t>2</t>
    </r>
    <r>
      <rPr>
        <b/>
        <sz val="11"/>
        <color theme="1"/>
        <rFont val="Calibri"/>
        <family val="2"/>
        <scheme val="minor"/>
      </rPr>
      <t xml:space="preserve"> lasers, used only on metals and other materials which do not emit HAP in the process.</t>
    </r>
  </si>
  <si>
    <t>Electric or steam-heated drying ovens and autoclaves, but not the emissions from the articles or substances being processed in the ovens or autoclaves or the boilers delivering the steam.</t>
  </si>
  <si>
    <t>Salt baths using nonvolatile salts that do not result in emissions of any regulated air pollutants.</t>
  </si>
  <si>
    <t>Laser trimmers using dust collection that do not result in emissions of HAP metals.</t>
  </si>
  <si>
    <t>Laboratory equipment used for physical or chemical analysis but not lab fume hoods or vents.</t>
  </si>
  <si>
    <t>Routine calibration and maintenance of laboratory equipment or other analytical instruments.</t>
  </si>
  <si>
    <t>Equipment used for quality control/assurance or inspection purposes, including sampling equipment used to withdraw materials for analysis.</t>
  </si>
  <si>
    <t>Hydraulic and hydrostatic testing equipment.</t>
  </si>
  <si>
    <t>Environmental chambers not using HAP gases.</t>
  </si>
  <si>
    <t>Shock chambers, humidity chambers, and solar simulators.</t>
  </si>
  <si>
    <t>Fugitive emissions related to movement of passenger vehicles, provided the emissions are not counted for applicability purposes and any required fugitive dust control plan or its equivalent is submitted.</t>
  </si>
  <si>
    <t>Process water filtration, deionization, and demineralization systems, demineralizer water tanks, and demineralizer vents.</t>
  </si>
  <si>
    <t>Boiler water treatment operations, not including cooling towers.</t>
  </si>
  <si>
    <t>Oxygen scavenging (de-aeration) of water.</t>
  </si>
  <si>
    <t>Ozone generators.</t>
  </si>
  <si>
    <t>Emergency road flares.</t>
  </si>
  <si>
    <t>Steam vents and safety relief valves.</t>
  </si>
  <si>
    <t>Steam leaks.</t>
  </si>
  <si>
    <t>Steam cleaning and sterilizer operations.</t>
  </si>
  <si>
    <t>Employee support activities such as cafeteria and recreational facilities.</t>
  </si>
  <si>
    <t>Laboratory and Research and Development Activities conducted exclusively in the non-processing areas of the facility.</t>
  </si>
  <si>
    <t>Office activities, including operation of standard office equipment when such activities are conducted solely in support of the principal business activity, not including printers or businesses primarily involved in photographic reproduction.</t>
  </si>
  <si>
    <t>Water heaters, provided such heaters do not supply heated water for material processing.</t>
  </si>
  <si>
    <t>Fuel Type</t>
  </si>
  <si>
    <t>Maximum Heat Input Rating</t>
  </si>
  <si>
    <t>10.0 MMBtu/hr</t>
  </si>
  <si>
    <t>Propane</t>
  </si>
  <si>
    <t>8.0 MMBtu/hr</t>
  </si>
  <si>
    <t>A.  Insignificant Activities List For ALL Class I and Class II Sources</t>
  </si>
  <si>
    <t>NOTE:   Click here for the 'Important Note Regarding Boilers'.</t>
  </si>
  <si>
    <t>IMPORTANT NOTE REGARDING BOILERS</t>
  </si>
  <si>
    <t>IMPORTANT NOTE REGARDING RECIPROCATING INTERNAL COMBUSTION ENGINES (RICE)</t>
  </si>
  <si>
    <t>Cooling Tower ID</t>
  </si>
  <si>
    <t>Total Dissolved Solids Conc. (ppmv)</t>
  </si>
  <si>
    <t>Average Days in Service / Year</t>
  </si>
  <si>
    <t>Estimated Drift Loss (%)</t>
  </si>
  <si>
    <t>Induced Draft or Natural Draft?</t>
  </si>
  <si>
    <t>Remember that lubricating and heavy oil storage should be provided in Table 4-B, and cooling tower data should be provided in Table 4-C.</t>
  </si>
  <si>
    <t>For 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</si>
  <si>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t>For fuel storage and distribution equipment, include the storage capacity (in gallons) of each fuel storage vessel, as well as the type of fuel being stored.</t>
  </si>
  <si>
    <t>For natural-gas fired turbines, include the peak brake horsepower rating (peak bhp).</t>
  </si>
  <si>
    <t>Information on maximum circulating flow rate  and estimated drift loss should be available from the unit manufacturer.  If you are unable to obtain estimated drift loss, then you may use a default value of 0.02% for 'induced draft' cooling towers, and a default value of 0.00088% for natural draft cooling towers. (source: EPA's AP-42 Section 13.4)</t>
  </si>
  <si>
    <t>MMcf</t>
  </si>
  <si>
    <t>Mgal</t>
  </si>
  <si>
    <t>gals</t>
  </si>
  <si>
    <t>For 'Process Rate Units' (Column D), enter the unit of measure that the 'Process Rate' is provided in.  When entering 'Process Rate Units', please use the following abbreviations, as applicable:</t>
  </si>
  <si>
    <t>Million cubic feet = MMcf</t>
  </si>
  <si>
    <t>Thousand gallons = Mgal</t>
  </si>
  <si>
    <t>Vehicle Miles Traveled = VMT</t>
  </si>
  <si>
    <t>Please list maximum potential emissions of all pollutants for each emission unit in pounds per year.</t>
  </si>
  <si>
    <t>For 'Material Name' (Column A), enter the name of the material as it appears on the associated Material Safety Data Sheet (MSDS).</t>
  </si>
  <si>
    <t>For 'Manufacturer Name' (Column B), enter the name of the material manufacturer.</t>
  </si>
  <si>
    <r>
      <t xml:space="preserve">For 'VOC Content', enter either the VOC by weight percent (weight %), or in pounds of VOC per gallon of material.  </t>
    </r>
    <r>
      <rPr>
        <b/>
        <u/>
        <sz val="11"/>
        <rFont val="Calibri"/>
        <family val="2"/>
        <scheme val="minor"/>
      </rPr>
      <t>Do not enter both.</t>
    </r>
  </si>
  <si>
    <t>Blaster 10000</t>
  </si>
  <si>
    <t>XYZ Solvent Co.</t>
  </si>
  <si>
    <t>Solvent</t>
  </si>
  <si>
    <t>Adhesive</t>
  </si>
  <si>
    <t>Triple Crown Adhesive</t>
  </si>
  <si>
    <t>Trojan Ponies, Inc.</t>
  </si>
  <si>
    <t>For 'HAP Name' (Column B), enter the name of the hazardous air pollutant (HAP) constituent.</t>
  </si>
  <si>
    <t>Xylenes</t>
  </si>
  <si>
    <t>For 'HAP CAS #' (Column C), enter the Chemical Abstracts Service (CAS) number for the corresponding HAP.  These can be found at the link provided below.  Only enter numbers in this cell, do not enter any hyphens or other characters.</t>
  </si>
  <si>
    <t>Specific Gravity to Density:</t>
  </si>
  <si>
    <t>For 'Product Density', enter the density of the material in units of 'pounds per gallon'.  If your MSDS provides density in the form of 'Specific Gravity' compared to water, use the appropriate conversion tool below to convert specific gravity into pounds/gallon.</t>
  </si>
  <si>
    <t>Density (lbs/gallon):</t>
  </si>
  <si>
    <t>Pounds to Gallons:</t>
  </si>
  <si>
    <t>&lt; Enter Density (lbs/gal)</t>
  </si>
  <si>
    <t>&lt; Enter Specific Gravity</t>
  </si>
  <si>
    <t>&lt; Enter Pounds Used per Year</t>
  </si>
  <si>
    <t>Gallons per Year:</t>
  </si>
  <si>
    <t>Cans to Gallons:</t>
  </si>
  <si>
    <t>&lt; Enter # of Cans Used per Year</t>
  </si>
  <si>
    <t>&lt; Enter Capacity (fl oz.)</t>
  </si>
  <si>
    <r>
      <t xml:space="preserve">For 'Material Name' (Column A), enter the name of the material as it appears on the associated Material Safety Data Sheet (MSDS).  If a material contains multiple HAP components, </t>
    </r>
    <r>
      <rPr>
        <b/>
        <u/>
        <sz val="11"/>
        <rFont val="Calibri"/>
        <family val="2"/>
        <scheme val="minor"/>
      </rPr>
      <t>only enter the material name ONCE for each material.</t>
    </r>
  </si>
  <si>
    <t>End of Instructions.  Once application is completed, print the table below.</t>
  </si>
  <si>
    <t>In the table below, indicate which emission units you will either accept throughput limits on, or to which you will agree to apply control equipment.</t>
  </si>
  <si>
    <t>Hourly Process Rate</t>
  </si>
  <si>
    <t>Max Annual Throughput</t>
  </si>
  <si>
    <t>Thousand Ampere-Hours = M-A-Hrs</t>
  </si>
  <si>
    <t>Enter Combustion Unit Rating in MMBtu/hr:</t>
  </si>
  <si>
    <t>Natural Gas Hourly fuel use (MMcf / hr):</t>
  </si>
  <si>
    <t>No. 2 Fuel Oil / Diesel Hourly fuel use (Mgal / hr):</t>
  </si>
  <si>
    <t>Kerosene Hourly fuel use (Mgal / hr):</t>
  </si>
  <si>
    <t>Gasoline Hourly fuel use (Mgal / hr):</t>
  </si>
  <si>
    <t>Propane Hourly fuel use (Mgal / hr):</t>
  </si>
  <si>
    <t>Residual Fuel Oil Hourly fuel use (Mgal / hr):</t>
  </si>
  <si>
    <t>Coal Hourly fuel use (tons / hr):</t>
  </si>
  <si>
    <t>For Coal-Burning Units, provide the average Btu content per pound of coal:</t>
  </si>
  <si>
    <t>Agree to Throughput Limit?</t>
  </si>
  <si>
    <t>Annual Throughput Limit</t>
  </si>
  <si>
    <t>Maximum Annual Throughput</t>
  </si>
  <si>
    <t>Limit?</t>
  </si>
  <si>
    <t>Throughput Units</t>
  </si>
  <si>
    <t>Agree to Emission Controls?</t>
  </si>
  <si>
    <t>Controls?</t>
  </si>
  <si>
    <t>Control Code</t>
  </si>
  <si>
    <t>Steam or Water Injection</t>
  </si>
  <si>
    <t>Control Device</t>
  </si>
  <si>
    <t>Control Efficiency %</t>
  </si>
  <si>
    <r>
      <t>PM</t>
    </r>
    <r>
      <rPr>
        <b/>
        <vertAlign val="subscript"/>
        <sz val="11"/>
        <color theme="1"/>
        <rFont val="Calibri"/>
        <family val="2"/>
        <scheme val="minor"/>
      </rPr>
      <t>10</t>
    </r>
  </si>
  <si>
    <r>
      <t>PM</t>
    </r>
    <r>
      <rPr>
        <b/>
        <vertAlign val="subscript"/>
        <sz val="11"/>
        <color theme="1"/>
        <rFont val="Calibri"/>
        <family val="2"/>
        <scheme val="minor"/>
      </rPr>
      <t>2.5</t>
    </r>
  </si>
  <si>
    <t>Fabric Filter</t>
  </si>
  <si>
    <t>Thermal Oxidizer</t>
  </si>
  <si>
    <t>Cyclone</t>
  </si>
  <si>
    <t>Water Spray (Dust)</t>
  </si>
  <si>
    <t>Other</t>
  </si>
  <si>
    <t>Control Type</t>
  </si>
  <si>
    <t>If 'Other', Specify Type</t>
  </si>
  <si>
    <t>Control Device ID</t>
  </si>
  <si>
    <t>Annual Throughput</t>
  </si>
  <si>
    <t>Flare</t>
  </si>
  <si>
    <t>Fabric Filter + Cyclone</t>
  </si>
  <si>
    <t>HEPA Filter</t>
  </si>
  <si>
    <t>Chemical Stabilizer (Roads)</t>
  </si>
  <si>
    <t>2x/Week Sweeping (Roads)</t>
  </si>
  <si>
    <t>Process Fully Enclosed</t>
  </si>
  <si>
    <t>Process Partial Enclosed</t>
  </si>
  <si>
    <t>Oil Spray (Grain Dust)</t>
  </si>
  <si>
    <t>In Columns D and F, the maximum annual throughput calculated in Table 5-A, as well as the throughput units, have been imported so that you can easily compare the maximum throughput to a throughput limit, should you choose to accept one.</t>
  </si>
  <si>
    <t>If you agree to accept a throughput limit for the emission unit on that row, the corresponding cell in Column E will be highlighted in yellow to indicate a required entry.  If you do not agree to accept a throughput limit, the cell will fill with a cross-hatch pattern, and you can continue to Column G.</t>
  </si>
  <si>
    <t>In Column G, which will be highlighted in yellow, indicate whether you will agree to apply emission controls to the emission unit in that row.  When you click on the cells under Column G, a drop-down box will give you two options, "Yes" or "No".   Choose the appropriate answer.  If you answer "No", the cells in Columns H, I, and J will fill with a cross-hatch pattern, and you can move on to the next emission unit.</t>
  </si>
  <si>
    <t>In Column C, indicate whether you will agree to a throughput limit for the emission unit in that row.  When you click on the cells under Column C, a drop-down box will give you two options, "Yes" or "No".   Choose the appropriate answer.</t>
  </si>
  <si>
    <t>Once you've entered the control device/method, the corresponding cell in Column I will be highlighted in yellow.  When you click on the cells under Column G, a drop-down box will give you several options.  Choose the option that applies to the corresponding control device/method.  If none of the control device/method options fit the control for that emission unit, select "Other".  You will then be prompted to specify what type of control device/method you are using in Column J.</t>
  </si>
  <si>
    <r>
      <t xml:space="preserve">If you do select "Other" for a control device/method, </t>
    </r>
    <r>
      <rPr>
        <b/>
        <u/>
        <sz val="11"/>
        <rFont val="Calibri"/>
        <family val="2"/>
        <scheme val="minor"/>
      </rPr>
      <t>you must contact the Department</t>
    </r>
    <r>
      <rPr>
        <b/>
        <sz val="11"/>
        <rFont val="Calibri"/>
        <family val="2"/>
        <scheme val="minor"/>
      </rPr>
      <t>.  Department personnel will work with you to apply the appropriate control efficiencies for your control device.</t>
    </r>
  </si>
  <si>
    <t>When you have completed Table 6-A, proceed to Section 7.  Data that you enter in Table 6-A will be used to calculate your facility's actual potential to emit (potential emissions with control devices/methods and throughput limits).</t>
  </si>
  <si>
    <r>
      <rPr>
        <b/>
        <u/>
        <sz val="11"/>
        <color theme="1"/>
        <rFont val="Calibri"/>
        <family val="2"/>
        <scheme val="minor"/>
      </rPr>
      <t>Unless you elected to apply a control device categorized as "Other" in Table 6-A,</t>
    </r>
    <r>
      <rPr>
        <b/>
        <sz val="11"/>
        <color theme="1"/>
        <rFont val="Calibri"/>
        <family val="2"/>
        <scheme val="minor"/>
      </rPr>
      <t xml:space="preserve"> you do not need to enter any information into this table.  Your facility's 'Actual Potential to Emit' (APTE), or the facility's potential to emit after applying control devices/methods and throughput limits has been calculated automatically.  Please review the information presented in Table 7-A for accuracy.  If you find errors or inconsistent data, please contact the Department for assistance.</t>
    </r>
  </si>
  <si>
    <r>
      <t>If you did elect to apply a control device categorized as "Other" in Table 6-A,</t>
    </r>
    <r>
      <rPr>
        <b/>
        <sz val="11"/>
        <rFont val="Calibri"/>
        <family val="2"/>
        <scheme val="minor"/>
      </rPr>
      <t xml:space="preserve"> contact the Department and staff will assist you in applying the appropriate control efficiencies to your emission units.</t>
    </r>
  </si>
  <si>
    <t>Shown below is your source's potential emissions after applying any operational limits or control equipment you elected in Section 6.  Emissions are in units of pounds.</t>
  </si>
  <si>
    <t>(Yes or No)</t>
  </si>
  <si>
    <t>LIMIT OR CONTROL?</t>
  </si>
  <si>
    <r>
      <t xml:space="preserve">Material Name </t>
    </r>
    <r>
      <rPr>
        <b/>
        <sz val="11"/>
        <color theme="1"/>
        <rFont val="Calibri"/>
        <family val="2"/>
      </rPr>
      <t>–</t>
    </r>
    <r>
      <rPr>
        <b/>
        <sz val="11"/>
        <color theme="1"/>
        <rFont val="Arial"/>
        <family val="2"/>
      </rPr>
      <t xml:space="preserve"> Manufacturer: Purpose</t>
    </r>
  </si>
  <si>
    <t>Control Device Type</t>
  </si>
  <si>
    <t>Agree to Control Emissions?</t>
  </si>
  <si>
    <t>CONTROL DEVICE</t>
  </si>
  <si>
    <t>Blaster 10000 - XYZ Solvent Co.: Solvent</t>
  </si>
  <si>
    <t>As seen in the example table below, the material name, manufacturer, purpose, and maximum annual throughput entered on Table 5-B have been automatically imported into Table 7-B.  In addition, the associated release factors have been imported as well.  Proceed with completing Table 7-B as follows:</t>
  </si>
  <si>
    <t>In Column E, indicate whether you will agree to a throughput limit for the material in that row.  When you click on the cells under Column E, a drop-down box will give you two options, "Yes" or "No".   Choose the appropriate answer.</t>
  </si>
  <si>
    <t>If you select "No" in Column E, the associated cell in Column F will fill with a crosshatch pattern, and the cell should be left blank.  If you select "Yes" in Column E, then you will be prompted to enter a throughput limit in Column F.  Be sure to use the same throughput limit as you used in Table 6-A.  A preliminary VOC total will calculate automatically.</t>
  </si>
  <si>
    <t>In Column I, indicate whether you will agree to control emissions from the material listed in that row.  When you click on the cells under Column I, a drop-down box will give you two options, "Yes" or "No".   Choose the appropriate answer.</t>
  </si>
  <si>
    <t>If you select "No" in Column I, the associated cell in Column J will fill with a crosshatch pattern, and the cell should be left blank.  If you select "Yes" in Column I, then you will be prompted to enter a control device in Column J.  When you click on the cells under Column J, a drop-down box will give you three control options.   Choose the appropriate option.</t>
  </si>
  <si>
    <t>Once all required entries in each row are completed, a Total VOC Emission figure, which incorporates any throughput limits or control devices you elected to use, will be calculated in Column K.</t>
  </si>
  <si>
    <t>Please review the information presented in Table 7-B for accuracy.  If you find errors or inconsistent data, please contact the Department for assistance.</t>
  </si>
  <si>
    <t>As seen in the example table below, the material name, HAP names, and maximum annual throughput entered on Table 5-C have been automatically imported into Table 7-C.  In addition, the associated release factors have been imported as well.  Proceed with completing Table 7-C as follows:</t>
  </si>
  <si>
    <t>Please review the information presented in Table 7-C for accuracy.  If you find errors or inconsistent data, please contact the Department for assistance.</t>
  </si>
  <si>
    <t>Individual HAP Emissions</t>
  </si>
  <si>
    <r>
      <t>Material Name</t>
    </r>
    <r>
      <rPr>
        <b/>
        <sz val="11"/>
        <color theme="1"/>
        <rFont val="Calibri"/>
        <family val="2"/>
      </rPr>
      <t/>
    </r>
  </si>
  <si>
    <t>Triple Crown Adhesive - Trojan Ponies, Inc.: Adhesive</t>
  </si>
  <si>
    <t>Material Throughput Units</t>
  </si>
  <si>
    <t>Maximum Annual Material Throughput</t>
  </si>
  <si>
    <r>
      <t>Material Throughput</t>
    </r>
    <r>
      <rPr>
        <i/>
        <sz val="10"/>
        <color theme="1"/>
        <rFont val="Arial"/>
        <family val="2"/>
      </rPr>
      <t xml:space="preserve">          </t>
    </r>
  </si>
  <si>
    <t>HAP Content Units</t>
  </si>
  <si>
    <t>HAP Units</t>
  </si>
  <si>
    <t>pounds</t>
  </si>
  <si>
    <t>gallons</t>
  </si>
  <si>
    <t>weight %</t>
  </si>
  <si>
    <t>lbs/gallon</t>
  </si>
  <si>
    <t xml:space="preserve">Individual HAP Content          </t>
  </si>
  <si>
    <t>Density</t>
  </si>
  <si>
    <t>% Release</t>
  </si>
  <si>
    <t>Control %</t>
  </si>
  <si>
    <t>Control?</t>
  </si>
  <si>
    <t>Max Throughput</t>
  </si>
  <si>
    <t>Limited Throughput</t>
  </si>
  <si>
    <t/>
  </si>
  <si>
    <t>Cells that are filled in with dark gray do not require data.  Do not enter any information in these cells.</t>
  </si>
  <si>
    <t xml:space="preserve">Table 7-D does not require any user inputs.  This table serves to compare your facility's actual potential to emit (APTE) to the operating permit thresholds established in the LLCAPCPRS.  </t>
  </si>
  <si>
    <t>If your facility's Actual Potential to Emit (APTE) meets or exceeds any of the Class I permit thresholds, then your source will be required to obtain a Class I operating permit.</t>
  </si>
  <si>
    <t xml:space="preserve">If you met or exceeded any of the Class II permit thresholds in Table 5-D, then your source will be required to obtain a Class II operating permit, regardless of your facility's APTE.  </t>
  </si>
  <si>
    <t xml:space="preserve">Complete and submit the remainder of this application.  </t>
  </si>
  <si>
    <t>If you elected to accept throughput limits or emission control requirements in Section 6 to maintain your facility as a Class II 'Synthetic Minor Source', or as a Class I 'Synthetic Area Source' of HAP emissions then make sure that the limits and control requirements you have accepted will maintain actual emissions at levels that are lower than the applicable thresholds.</t>
  </si>
  <si>
    <t>This application form is designed to be user-friendly by alerting the user as to which inputs are needed, as well as when the user has entered too much information, or invalid information.  The formatting of this application is designed to guide you step-by-step through the process of completing this application.  For example, if an entry is required, the box will be highlighted in yellow, as shown below:</t>
  </si>
  <si>
    <t>As shown in the example above, because the operating schedule is 'year round', the individual months of operation are irrelevant, and the cell is filled with a crosshatch pattern.</t>
  </si>
  <si>
    <t>Celsius to Fahrenheit:</t>
  </si>
  <si>
    <t>Sorted by Pollutant Name</t>
  </si>
  <si>
    <t>Sorted by CAS Number</t>
  </si>
  <si>
    <t>Regulation Citation</t>
  </si>
  <si>
    <t>Regulation Name</t>
  </si>
  <si>
    <t>(e.g. General Provisions)</t>
  </si>
  <si>
    <t>(e.g. 40 CFR 63 Subpart A)</t>
  </si>
  <si>
    <t>Requirement Citation &amp; Name</t>
  </si>
  <si>
    <t>LLCAPCPRS Article 2, Section 18:  New Source Performance Standards (40 CFR Part 60)</t>
  </si>
  <si>
    <t>If "Yes", describe compliance method.  If "No", explain reason it does not apply.</t>
  </si>
  <si>
    <t>Does standard apply?</t>
  </si>
  <si>
    <t>LLCAPCPRS Article 2, Section 19:  Prevention of Significant Deterioration (PSD) of Air Quality</t>
  </si>
  <si>
    <t>LLCAPCPRS Article 2, Section 20, paragraph (E):  &lt;20% Opacity of Visible Emissions</t>
  </si>
  <si>
    <t>LLCAPCPRS Article 2, Section 23:  Hazardous Air Pollutants - Emission Standards (40 CFR Part 61)</t>
  </si>
  <si>
    <t>LLCAPCPRS Article 2, Section 24:  Sulfur Compound Emissions - Existing Sources - Emission Standards</t>
  </si>
  <si>
    <t>LLCAPCPRS Article 2, Section 25:  Nitrogen Oxides - Emission Standards for Existing Stationary Sources</t>
  </si>
  <si>
    <t>LLCAPCPRS Article 2, Section 26:  Acid Rain (40 CFR Parts 72 through 78)</t>
  </si>
  <si>
    <t xml:space="preserve">LLCAPCPRS Article 2, Section 27:  Hazardous Air Pollutants - Maximum Achievable Control Technology (MACT) </t>
  </si>
  <si>
    <t>LLCAPCPRS Article 2, Section 28:  MACT Emission Standards (40 CFR Part 63)</t>
  </si>
  <si>
    <t>LLCAPCPRS Article 2, Section 32:  Dust - Duty to Prevent the Escape Of</t>
  </si>
  <si>
    <t>Applicable requirements for your source may include maintaining allowable stack opacity, maintaining allowable particulate emissions for the total given heat input, adhering to fugitive dust regulations, adhering to the process weight/particulate emissions rates, adhering to all construction permit conditions, etc.  In the boxes below, check all of those requirements in the LLCAPCPRS that may apply to your source, and identify the method by which you intend to demonstrate compliance with the requirement.  If a requirement does not apply to your source, briefly explain the reason it does not apply.</t>
  </si>
  <si>
    <t>PART A:  Applicable Requirements of the LLCAPCPRS</t>
  </si>
  <si>
    <t>(e.g. NSPS for Grain Elevators)</t>
  </si>
  <si>
    <t>(e.g. 40 CFR 60 Subpart DD)</t>
  </si>
  <si>
    <t>Emission unit(s) covered by this regulation.</t>
  </si>
  <si>
    <t>PART B:  Applicable NSPS, NESHAPs, MACT Standards, and Acid Rain Requirements (continued)</t>
  </si>
  <si>
    <t>PART C: Non-Applicable LLCAPCPRS Regulations &amp; Non-Applicable Federal Regulations</t>
  </si>
  <si>
    <t>Provide the reason(s) the regulation does not apply to your source.</t>
  </si>
  <si>
    <t>If supplying compliance explanations for multiple rules, you do not need to submit each explanation on its own piece of paper.</t>
  </si>
  <si>
    <t>PART B:  Applicable Federal Regulations and Additional Applicable LLCAPCPRS</t>
  </si>
  <si>
    <t>In this section, you must identify the applicable regulations set forth under the Lincoln-Lancaster County Air Pollution Control Program Regulations and Standards (LLCAPCPRS), as well as any federal air regulations that apply to your source.  This section should be completed as follows:</t>
  </si>
  <si>
    <t>In Part A of this section, indicate whether the provided regulations of the LLCAPCPRS apply to your source.  For those rules that do apply to your source, provide a brief description (5-10 words) of how your source will demonstrate compliance with the regulation.  Otherwise, provide a brief explanation of why the rule does not apply.</t>
  </si>
  <si>
    <r>
      <t xml:space="preserve">For those regulations that would appear to apply to your source, but do not actually apply to your source, use the spaces provided below to provide the citation of the regulation, as well as the reason(s) that the regulation does not apply to your source. </t>
    </r>
    <r>
      <rPr>
        <sz val="11"/>
        <color theme="1"/>
        <rFont val="Arial"/>
        <family val="2"/>
      </rPr>
      <t xml:space="preserve"> </t>
    </r>
  </si>
  <si>
    <t>The following links have been provided to help you identify which rules may apply to your source.  Department personnel can provide you with technical assistance regarding specific applicability of some rules.  However, if you need a facility-wide analysis of what rules may apply to your source, it is recommended that you contact an environmental consulting firm.</t>
  </si>
  <si>
    <t>Lincoln-Lancaster County Air Pollution Control Program Regulations &amp; Standards (LLCAPCPRS)</t>
  </si>
  <si>
    <t>For 'Stack Inside Diameter', provide the distance across the inside of the stack.  For stacks that are square or rectangular, use the conversion tool below to calculate the 'Equivalent Diameter'.    Once you have calculated the equivalent diameter, enter that figure for the 'Stack Inside Diameter'.</t>
  </si>
  <si>
    <t xml:space="preserve">For 'Exhaust Exit Velocity', enter the velocity of the exhaust gases as they exit the stack.  'Exhaust Flow Rate' will calculate automatically based on exit velocity and stack diameter.  If you only have the exhaust flow rate (in cubic feet/second or cubic feet/minute) use the appropriate conversion tool provided below to calculate exit velocity.  </t>
  </si>
  <si>
    <t>For 'Raincap Present?', a drop-down list of options is available.  Select "Yes" if the stack has a raincap.  Select "No" if no raincap is present.</t>
  </si>
  <si>
    <t>For 'Latitude' and 'Longitude', provide information in 'decimal degrees'.  You do not need to enter the "-" to the longitude to denote 'degrees West', it will be added automatically.  If you enter a value and the cell is highlighted in red, you have entered a value that is outside of the boundary of Lancaster County.</t>
  </si>
  <si>
    <t>For 'Elevation', provide the elevation of the base of the stack (ground level).  If the stack, vent, or release point is on the roof of a building, see the instructions for 'Stack Height'.</t>
  </si>
  <si>
    <t>For 'Vertical, Horizontal, or Fugitive', a drop-down list of options is available.  Select the appropriate option that describes the direction of the exhaust gas as it exits the stack.  If an emission unit does not have a stack, vent, or similar release point associated with it, select "Fugitive".  Doing this will format all other cells in that row (except emission unit # and description) with a cross-hatch pattern.</t>
  </si>
  <si>
    <t>gallons = gals                pounds = lbs</t>
  </si>
  <si>
    <r>
      <t>In Part C of this section, identify all rules that would appear to apply to your source (or to equipment located at your source), but that do not actually apply.  For example, if you own a 10,000 gallon petroleum storage vessel built in 1975, it would appear that 40 CFR Part 60 Subpart K "</t>
    </r>
    <r>
      <rPr>
        <b/>
        <i/>
        <sz val="11"/>
        <color theme="1"/>
        <rFont val="Calibri"/>
        <family val="2"/>
        <scheme val="minor"/>
      </rPr>
      <t>Standards of Performance for Storage Vessels for Petroleum Liquids for which Construction, Reconstruction, or Modification Commenced after June 11, 1973, and prior To May 19, 1978</t>
    </r>
    <r>
      <rPr>
        <b/>
        <sz val="11"/>
        <color theme="1"/>
        <rFont val="Calibri"/>
        <family val="2"/>
        <scheme val="minor"/>
      </rPr>
      <t>" applies to this storage tank.  However, the size of the tank is smaller than the 40,000 gallon applicability threshold set forth in the rule.  Therefore, you would cite the regulation as "40 CFR Part 60, Subpart K", and list the reason for non-applicability as "Tank capacity is less than 40,000 gallon threshold."  You do not need to include rules that clearly do not apply to any equipment or emission units located at your source in Part C.</t>
    </r>
  </si>
  <si>
    <t>Please indicate whether you are accepting throughput limits or emission control requirements for VOC-containing materials.  Emissions will be calculated in units of pounds.</t>
  </si>
  <si>
    <t>Please indicate whether you are accepting throughput limits or emission control requirements for HAP-containing materials.  Emissions will be calculated in units of pounds.</t>
  </si>
  <si>
    <t>Instructions for Section 7 - Table 7-C:  Facility Wide APTE - HAP Emissions from HAP-Containing Materials</t>
  </si>
  <si>
    <t>Instructions for Section 7 - Table 7-B:  Facility-Wide APTE - VOC Emissions from VOC-Containing Materials</t>
  </si>
  <si>
    <t>Instructions for Section 7 - Table 7-A:  Facility-Wide APTE - Regulated Air Pollutant Emissions</t>
  </si>
  <si>
    <t>Instructions for Section 6 - Table 6-A:  Source-Elected Throughput Limits and Emission Control Requirements</t>
  </si>
  <si>
    <t>Part A:  Operating Schedule</t>
  </si>
  <si>
    <t>Part A:  Company Information</t>
  </si>
  <si>
    <t>Part B:  General Facility Information</t>
  </si>
  <si>
    <t>Part C:  Contact Information</t>
  </si>
  <si>
    <t>Part D:  Permit Information</t>
  </si>
  <si>
    <t>Part E:  Responsible Official Certification</t>
  </si>
  <si>
    <t>Part A:  Compliance Status for Applicable Rules and Requirements</t>
  </si>
  <si>
    <r>
      <t xml:space="preserve">In Part B of this section, identify all federal air regulations that apply specifically to your source, </t>
    </r>
    <r>
      <rPr>
        <b/>
        <u/>
        <sz val="11"/>
        <color theme="1"/>
        <rFont val="Calibri"/>
        <family val="2"/>
        <scheme val="minor"/>
      </rPr>
      <t>including those rules with compliance dates set to take place after issuance of the permit</t>
    </r>
    <r>
      <rPr>
        <b/>
        <sz val="11"/>
        <color theme="1"/>
        <rFont val="Calibri"/>
        <family val="2"/>
        <scheme val="minor"/>
      </rPr>
      <t>.  Do not identify federal rules pertaining to permitting programs or enforcement.  In addition, if there are any regulations set forth under the LLCAPCPRS not identified in Part A that apply specifically to your source, provide a citation of the regulation and the name of the section the rule is found in.  For all rules identified in Part B, attach a brief description (1-2 paragraphs) detailing how your source will achieve and maintain compliance with the stated rule.  The description should include the types of parameters that are monitored, the types of records kept, the required reporting, and the test methods used (as applicable) to demonstrate compliance.</t>
    </r>
  </si>
  <si>
    <t xml:space="preserve">If your source is subject to any federal air regulations set forth under 40 CFR Parts 60, 61, 63, 64, 68, 82, or Parts 72-78, or to additional regulations set forth in the LLCAPCPRS not included in Part A, then in the spaces provided below, list all of those regulations that apply to your source.  For each regulation that applies to your source, list which emission unit(s) the rule applies to, and attach a brief explanation of how you intend to comply with the rule.  </t>
  </si>
  <si>
    <t>Reason(s) why source will not be in compliance.</t>
  </si>
  <si>
    <t>Will your source be in compliance with all applicable rules and requirements identified in Section 9 of this application, including those that with compliance dates set to take place during the term of the permit?</t>
  </si>
  <si>
    <t>Part B:  Applicable Rules and Requirements for Which Compliance Is Not Achieved or Will Not Be Achieved</t>
  </si>
  <si>
    <t>Parts B and C of this spreadsheet allow for multiple pages.  When printing, be sure to specify printing only of pages that contain data.</t>
  </si>
  <si>
    <t>End of Instructions.  Complete the form below.</t>
  </si>
  <si>
    <t>End of Instructions.  Complete the form below, if necessary.</t>
  </si>
  <si>
    <t>Applicable Requirement Name:</t>
  </si>
  <si>
    <t>Requirement Citation:</t>
  </si>
  <si>
    <t>Provide a narrative description of how compliance with this requirement will be achieved.</t>
  </si>
  <si>
    <t>Provide a detailed schedule for achieving compliance.</t>
  </si>
  <si>
    <t>Remedial Measures/Milestones</t>
  </si>
  <si>
    <t>Date Expected</t>
  </si>
  <si>
    <t>Part B of this spreadsheet allows for up to 15 rules.  If you require additional space, contact the Department.</t>
  </si>
  <si>
    <t>This spreadsheet allows for 5 pages.  When printing, be sure to specify printing only of pages that contain data.</t>
  </si>
  <si>
    <t>Be aware that the Department will require periodic reports of progress until compliance is acheived.  These reports will be required at least once every six (6) months following issuance of the permit, and may be required more frequently if the Department deems more frequent reporting necessary.</t>
  </si>
  <si>
    <t>I hereby certify that, based on information and belief formed after reasonable inquiry, the facility that emits air pollutants, which is identified in this application and that is subject to the applicable requirements identified in Section 9:</t>
  </si>
  <si>
    <t>1. Is in compliance with all applicable requirements, except as described in Section 9;</t>
  </si>
  <si>
    <t>Instructions for Section 3 - Table 3-A:  Emission Unit Identification</t>
  </si>
  <si>
    <t>Instructions for Section 4:  Insignificant Activities</t>
  </si>
  <si>
    <t>Instructions for Section 4 - Table 4-A:  Insignificant Activities List</t>
  </si>
  <si>
    <t>Instructions for Section 4 - Table 4-B:  Insignificant Lubricating &amp; Heavy Oil Storage Information</t>
  </si>
  <si>
    <t>Instructions for Section 4 - Table 4-C:  Insignificant Cooling Towers</t>
  </si>
  <si>
    <t>Part E:  Emission Calculations</t>
  </si>
  <si>
    <t xml:space="preserve">        AP-42 or WebFIRE Emission Factors</t>
  </si>
  <si>
    <t xml:space="preserve">        Seasonal</t>
  </si>
  <si>
    <t xml:space="preserve">        Year-Round</t>
  </si>
  <si>
    <t>Indicate how material and/or fuel use will be substantiated:</t>
  </si>
  <si>
    <r>
      <t xml:space="preserve">Indicate which method(s) will be used to calculate emissions: </t>
    </r>
    <r>
      <rPr>
        <sz val="11"/>
        <color theme="1"/>
        <rFont val="Arial"/>
        <family val="2"/>
      </rPr>
      <t>(check all that apply)</t>
    </r>
  </si>
  <si>
    <r>
      <t xml:space="preserve">        Other </t>
    </r>
    <r>
      <rPr>
        <sz val="11"/>
        <color theme="1"/>
        <rFont val="Calibri"/>
        <family val="2"/>
        <scheme val="minor"/>
      </rPr>
      <t>(specify &gt;&gt;&gt;&gt;)</t>
    </r>
  </si>
  <si>
    <t xml:space="preserve">        Material / Fuel Use Logbook(s)</t>
  </si>
  <si>
    <t xml:space="preserve">        Material / Fuel Supplier Record(s)</t>
  </si>
  <si>
    <t xml:space="preserve">        Receiving / Load-Out Scale Tickets</t>
  </si>
  <si>
    <t>&lt;&lt;&lt; TRUE IF PART A IS COMPLETE</t>
  </si>
  <si>
    <t>&lt;&lt;&lt; TRUE IF PARTS A THROUGH D ARE COMPLETE</t>
  </si>
  <si>
    <t>&lt;&lt;&lt;TRUE if Part A is complete</t>
  </si>
  <si>
    <t>&lt;&lt;&lt;TRUE if Facility Contact is complete</t>
  </si>
  <si>
    <t>&lt;&lt;&lt;TRUE if Application Contact is complete</t>
  </si>
  <si>
    <t>&lt;&lt;&lt;TRUE if Parts A &amp; B are complete</t>
  </si>
  <si>
    <t>&lt;&lt;&lt;TRUE if Parts A, B, &amp; C are complete</t>
  </si>
  <si>
    <t>&lt;&lt;&lt;TRUE if permit boxes correctly checked</t>
  </si>
  <si>
    <t>&lt;&lt;&lt;TRUE if current op permit data complete</t>
  </si>
  <si>
    <t>&lt;&lt;&lt;TRUE if construction permit data complete</t>
  </si>
  <si>
    <t>&lt;&lt;&lt;TRUE if permit application boxes checked</t>
  </si>
  <si>
    <t>&lt;&lt;&lt;TRUE if Parts A, B, C, and D complete</t>
  </si>
  <si>
    <t>&lt;&lt;&lt;TRUE if Compliance Certification complete</t>
  </si>
  <si>
    <t>&lt;&lt;&lt;TRUE if Truth &amp; Accuracy Cert complete</t>
  </si>
  <si>
    <t>&lt;&lt;&lt;TRUE if Electronic Copy Cert complete</t>
  </si>
  <si>
    <t>&lt;&lt;&lt;TRUE if Citizenship Attestation complete</t>
  </si>
  <si>
    <t>^</t>
  </si>
  <si>
    <t>If unknown or unavailable, enter "Unknown".</t>
  </si>
  <si>
    <t>APPLICATION COMPLETENESS CHECKLIST</t>
  </si>
  <si>
    <t>Instructions for Application Completeness Checklist</t>
  </si>
  <si>
    <t>Separate instructions are provided for individual sections in this application package.</t>
  </si>
  <si>
    <t>We regularly update our application forms, so please check the LLCHD website frequently for the latest application forms.</t>
  </si>
  <si>
    <t>Section Number &amp; Name</t>
  </si>
  <si>
    <t>Included With Application?</t>
  </si>
  <si>
    <t>If not included, provide reason.</t>
  </si>
  <si>
    <r>
      <t>Table 4-A:</t>
    </r>
    <r>
      <rPr>
        <b/>
        <sz val="11"/>
        <color indexed="8"/>
        <rFont val="Arial"/>
        <family val="2"/>
      </rPr>
      <t xml:space="preserve">  Insignificant Activities List</t>
    </r>
  </si>
  <si>
    <r>
      <t>Table 4-B:</t>
    </r>
    <r>
      <rPr>
        <b/>
        <sz val="11"/>
        <color indexed="8"/>
        <rFont val="Arial"/>
        <family val="2"/>
      </rPr>
      <t xml:space="preserve">  Insignificant Lubricating and Heavy Oil Storage Information</t>
    </r>
  </si>
  <si>
    <r>
      <t>Table 4-C:</t>
    </r>
    <r>
      <rPr>
        <b/>
        <sz val="11"/>
        <color indexed="8"/>
        <rFont val="Arial"/>
        <family val="2"/>
      </rPr>
      <t xml:space="preserve">  Insignificant Cooling Towers</t>
    </r>
  </si>
  <si>
    <r>
      <t xml:space="preserve">Table 7-A:  Facility-Wide APTE </t>
    </r>
    <r>
      <rPr>
        <b/>
        <sz val="11"/>
        <color theme="1"/>
        <rFont val="Calibri"/>
        <family val="2"/>
      </rPr>
      <t>–</t>
    </r>
    <r>
      <rPr>
        <b/>
        <sz val="11"/>
        <color theme="1"/>
        <rFont val="Arial"/>
        <family val="2"/>
      </rPr>
      <t xml:space="preserve"> Regulated Air Pollutant Emissions</t>
    </r>
  </si>
  <si>
    <r>
      <t xml:space="preserve">Table 7-B:  Facility-Wide APTE </t>
    </r>
    <r>
      <rPr>
        <b/>
        <sz val="11"/>
        <color theme="1"/>
        <rFont val="Calibri"/>
        <family val="2"/>
      </rPr>
      <t>–</t>
    </r>
    <r>
      <rPr>
        <b/>
        <sz val="11"/>
        <color theme="1"/>
        <rFont val="Arial"/>
        <family val="2"/>
      </rPr>
      <t xml:space="preserve"> VOC Emissions from VOC-Containing Materials</t>
    </r>
  </si>
  <si>
    <r>
      <t xml:space="preserve">Table 7-C:  Facility-Wide APTE </t>
    </r>
    <r>
      <rPr>
        <b/>
        <sz val="11"/>
        <color theme="1"/>
        <rFont val="Calibri"/>
        <family val="2"/>
      </rPr>
      <t>–</t>
    </r>
    <r>
      <rPr>
        <b/>
        <sz val="11"/>
        <color theme="1"/>
        <rFont val="Arial"/>
        <family val="2"/>
      </rPr>
      <t xml:space="preserve"> HAP Emissions from HAP-Containing Materials</t>
    </r>
  </si>
  <si>
    <t>Hyperlinks to each section / table provided below.</t>
  </si>
  <si>
    <t>Does this application contain confidential information?</t>
  </si>
  <si>
    <t>If "Yes" are application pages containing confidential data clearly marked?</t>
  </si>
  <si>
    <t>Nebraska</t>
  </si>
  <si>
    <t xml:space="preserve">                      Agree</t>
  </si>
  <si>
    <t xml:space="preserve">                      Disagree</t>
  </si>
  <si>
    <t xml:space="preserve">                      Not Applicable</t>
  </si>
  <si>
    <t>Citizenship Attestation</t>
  </si>
  <si>
    <t xml:space="preserve">          Yes</t>
  </si>
  <si>
    <t xml:space="preserve">          No</t>
  </si>
  <si>
    <t xml:space="preserve">          Facility Contact Person</t>
  </si>
  <si>
    <t xml:space="preserve">          Other</t>
  </si>
  <si>
    <r>
      <t xml:space="preserve">For the purpose of complying with Neb. Rev. Stat. </t>
    </r>
    <r>
      <rPr>
        <sz val="11"/>
        <color theme="1"/>
        <rFont val="Calibri"/>
        <family val="2"/>
      </rPr>
      <t>§§</t>
    </r>
    <r>
      <rPr>
        <sz val="11"/>
        <color theme="1"/>
        <rFont val="Arial"/>
        <family val="2"/>
      </rPr>
      <t xml:space="preserve">4-108 through 4-114, I attest as follows </t>
    </r>
    <r>
      <rPr>
        <i/>
        <sz val="11"/>
        <color theme="1"/>
        <rFont val="Arial"/>
        <family val="2"/>
      </rPr>
      <t>(</t>
    </r>
    <r>
      <rPr>
        <i/>
        <u/>
        <sz val="11"/>
        <color theme="1"/>
        <rFont val="Arial"/>
        <family val="2"/>
      </rPr>
      <t>check one</t>
    </r>
    <r>
      <rPr>
        <i/>
        <sz val="11"/>
        <color theme="1"/>
        <rFont val="Arial"/>
        <family val="2"/>
      </rPr>
      <t>)</t>
    </r>
    <r>
      <rPr>
        <sz val="11"/>
        <color theme="1"/>
        <rFont val="Arial"/>
        <family val="2"/>
      </rPr>
      <t xml:space="preserve">:
      </t>
    </r>
    <r>
      <rPr>
        <b/>
        <sz val="11"/>
        <color theme="1"/>
        <rFont val="Calibri"/>
        <family val="2"/>
        <scheme val="minor"/>
      </rPr>
      <t xml:space="preserve">I am a citizen of the United States.
            </t>
    </r>
    <r>
      <rPr>
        <sz val="11"/>
        <color theme="1"/>
        <rFont val="Calibri"/>
        <family val="2"/>
        <scheme val="minor"/>
      </rPr>
      <t xml:space="preserve">OR
        </t>
    </r>
    <r>
      <rPr>
        <b/>
        <sz val="11"/>
        <color theme="1"/>
        <rFont val="Calibri"/>
        <family val="2"/>
        <scheme val="minor"/>
      </rPr>
      <t>I am a qualified alien under the federal Immigration and Nationality Act, and will 
        provide my immigration status, alien number, and USCIS documentation upon request.</t>
    </r>
    <r>
      <rPr>
        <b/>
        <sz val="8"/>
        <color theme="1"/>
        <rFont val="Calibri"/>
        <family val="2"/>
        <scheme val="minor"/>
      </rPr>
      <t xml:space="preserve">
</t>
    </r>
    <r>
      <rPr>
        <sz val="11"/>
        <color theme="1"/>
        <rFont val="Arial"/>
        <family val="2"/>
      </rPr>
      <t>I hereby attest that my responses and the information provided on this form and any related application for public benefits are true, complete, and accurate, and I understand that this information may be used to verify my lawful presence in the United States.</t>
    </r>
  </si>
  <si>
    <t xml:space="preserve">       No</t>
  </si>
  <si>
    <t xml:space="preserve">       Yes</t>
  </si>
  <si>
    <r>
      <t>Maximum Circulating H</t>
    </r>
    <r>
      <rPr>
        <b/>
        <vertAlign val="subscript"/>
        <sz val="10"/>
        <color theme="1"/>
        <rFont val="Arial"/>
        <family val="2"/>
      </rPr>
      <t>2</t>
    </r>
    <r>
      <rPr>
        <b/>
        <sz val="10"/>
        <color theme="1"/>
        <rFont val="Arial"/>
        <family val="2"/>
      </rPr>
      <t>O Flow Rate (gpm)</t>
    </r>
  </si>
  <si>
    <t xml:space="preserve">       Yes
       No</t>
  </si>
  <si>
    <r>
      <t xml:space="preserve">                           Yes</t>
    </r>
    <r>
      <rPr>
        <b/>
        <sz val="5"/>
        <color theme="1"/>
        <rFont val="Calibri"/>
        <family val="2"/>
        <scheme val="minor"/>
      </rPr>
      <t xml:space="preserve">
</t>
    </r>
    <r>
      <rPr>
        <b/>
        <sz val="11"/>
        <color theme="1"/>
        <rFont val="Calibri"/>
        <family val="2"/>
        <scheme val="minor"/>
      </rPr>
      <t xml:space="preserve">                           No</t>
    </r>
  </si>
  <si>
    <t xml:space="preserve">        Yes
        No</t>
  </si>
  <si>
    <r>
      <t xml:space="preserve">For 'Stack Height', provide the distance from </t>
    </r>
    <r>
      <rPr>
        <b/>
        <u/>
        <sz val="11"/>
        <color theme="1"/>
        <rFont val="Calibri"/>
        <family val="2"/>
        <scheme val="minor"/>
      </rPr>
      <t>ground level to the top of the stack</t>
    </r>
    <r>
      <rPr>
        <b/>
        <sz val="11"/>
        <color theme="1"/>
        <rFont val="Calibri"/>
        <family val="2"/>
        <scheme val="minor"/>
      </rPr>
      <t>.  For stacks, vents, or release points on the roof of a building, add the height of the building to the stack height.</t>
    </r>
  </si>
  <si>
    <t>feet long</t>
  </si>
  <si>
    <t>degrees Celsius (°C)</t>
  </si>
  <si>
    <t>All emission units that are subject to a NSPS, NESHAP, and/or construction permit requirements are not insignificant activities. This includes all types of emissions units listed in this document. For those units subject to a NSPS, NESHAP, and/or construction permit requirements, you must assign an emission unit identification number, complete the appropriate emission unit application forms, and calculate and submit emissions as part of the Annual Emission Inventory Report to the LLCHD.</t>
  </si>
  <si>
    <r>
      <t xml:space="preserve">Any existing, new, or reconstructed stationary reciprocating internal combustion engine (RICE) located at a major or area source of hazardous air pollutant emissions, excluding stationary RICE being tested at a stationary RICE test cell/stand, is an affected source under the National Emission Standards for Hazardous Air Pollutants Maximum Achievable Control Technology (NESHAP MACT) requirements set forth under 40 CFR 63 Subpart ZZZZ.  </t>
    </r>
    <r>
      <rPr>
        <b/>
        <u/>
        <sz val="11"/>
        <color theme="1"/>
        <rFont val="Calibri"/>
        <family val="2"/>
        <scheme val="minor"/>
      </rPr>
      <t>Please note that any RICE subject to this NESHAP MACT subpart, whether or not it has applicable requirements, cannot be an insignificant activity.</t>
    </r>
  </si>
  <si>
    <t>CLICK HERE FOR EPA'S LIST OF HAZARDOUS AIR POLLUTANTS (HAP).</t>
  </si>
  <si>
    <t>For 'Release Factor', enter the amount of VOC that is actually emitted into the atmosphere as a result of material use.  For most materials, this will be 100% unless you have supporting data that shows a lower release factor.</t>
  </si>
  <si>
    <t xml:space="preserve">If you answered "Yes" in Column G, then the corresponding cell in Column H will be highlighted in yellow.  Here you must identify the control device/method associated with that emission unit.  Please use a description that will allow you to clearly identify the control device/method. </t>
  </si>
  <si>
    <t xml:space="preserve">Please note that many sheets have up to 300 rows. Please either print only the required number of pages or set the 'Print Area' on each sheet by going to the 'Page Layout' tab at the top, click 'Print Area' then 'Set Print Area'. You will then be able to drag a blue box around the cells you will to print. </t>
  </si>
  <si>
    <t xml:space="preserve">       Initial Construction Permit</t>
  </si>
  <si>
    <t xml:space="preserve">       PSD Construction Permit</t>
  </si>
  <si>
    <t>I certify under penalty of law that, based on information and belief formed after reasonable inquiry, the statements and information contained in this Air Quality Construction Permit application are true, complete, and accurate.  I certify that all hard copies of this application are identical in content.</t>
  </si>
  <si>
    <t>I certify under penalty of law that, based on information and belief formed after reasonable inquiry, the statements and information contained in the electronic copy of the Air Quality Construction Permit application are identical in content to the hard copy submittal.</t>
  </si>
  <si>
    <t>Part B:  New Process Description</t>
  </si>
  <si>
    <t>On separate sheet(s) of paper, provide a detailed narrative description of the process or equipmen you are planning to construct/reconstruct/modify. Explain the stages in each process that may result in the discharge of an air pollutant. Include all emission points, emission units, pollution control equipment, and identification numbers. The narrative should complement the facility layout and process flow diagrams.</t>
  </si>
  <si>
    <t>Part C:  Process Layout Diagram</t>
  </si>
  <si>
    <t>On a separate sheet(s) of paper, provide a detailed diagram or drawing that includes all processes and/or equipment identified in this application. Make sure all elements in the drawing are properly identified, drawn to scale, and consistent with other sections of this application. The diagram should show the location of all new/modified buildings, structures, stacks, and property boundaries. Fences or other public access restrictions should be shown or identified and described. Be sure to identify adjacent roads and include a north arrow.  Include an effective date for the diagram.</t>
  </si>
  <si>
    <t>Part D:  Facility Description</t>
  </si>
  <si>
    <t>On separate sheet(s) of paper, provide a brief narrative description of the facility. Explain the stages in each process that may result in the discharge of an air pollutant. Include all emission points, emission units, pollution control equipment, and identification numbers. The narrative should complement the facility layout and process flow diagrams.</t>
  </si>
  <si>
    <t xml:space="preserve">Is a New Process Description attached to your application? </t>
  </si>
  <si>
    <t xml:space="preserve">Is a Process Layout Diagram included with your application? </t>
  </si>
  <si>
    <t xml:space="preserve">Is a Facility Description included with your application? </t>
  </si>
  <si>
    <t>SECTION 3  –  EMISSION UNIT SUMMARY</t>
  </si>
  <si>
    <t>Table 3-B:  New/Modified/Reconstructed Stack / Release Point Information</t>
  </si>
  <si>
    <t>Table 5-C:  New/Modified/Reconstructed Emission Units - HAP Emissions from HAP-Containing Materials</t>
  </si>
  <si>
    <r>
      <t xml:space="preserve">Table 5-B:  New/Modified/Reconstructed Emission Units MPTE </t>
    </r>
    <r>
      <rPr>
        <b/>
        <sz val="11"/>
        <color theme="1"/>
        <rFont val="Calibri"/>
        <family val="2"/>
      </rPr>
      <t>–</t>
    </r>
    <r>
      <rPr>
        <b/>
        <sz val="11"/>
        <color theme="1"/>
        <rFont val="Arial"/>
        <family val="2"/>
      </rPr>
      <t xml:space="preserve"> VOC Emissions from VOC-Containing Materials</t>
    </r>
  </si>
  <si>
    <t>PM</t>
  </si>
  <si>
    <t>Criteria Air Pollutants</t>
  </si>
  <si>
    <t>Hazardous Air Pollutants</t>
  </si>
  <si>
    <t xml:space="preserve">Table 5-D does not require any user inputs.  This table serves to compare your facility's maximum potential to emit (MPTE) to the construction permit thresholds established in the LLCAPCPRS.  </t>
  </si>
  <si>
    <t>Additionally, if your source is a major source for PSD purposes, and the MPTE meets or exceeds any of the PSD permit thresholds, your source will be required to obtain a PSD construction permit unless you accept enforceable requirements in your  permit to limit emissions to levels that are below PSD construction permit thresholds.</t>
  </si>
  <si>
    <t>If you require a construction permit (either PSD or non-PSD), complete and submit the remainder of this application.</t>
  </si>
  <si>
    <t>Part C:  Toxic 'Best Available Control Technology' (T-BACT) Determination</t>
  </si>
  <si>
    <t>Avoid T-BACT</t>
  </si>
  <si>
    <t>Not Avoid T-BACT</t>
  </si>
  <si>
    <t>Part D:  Toxic 'Maximum Achievable Control Technology' (MACT) Determination</t>
  </si>
  <si>
    <t>Part E:  Source Elected Requirements for Actual Emission Reductions</t>
  </si>
  <si>
    <t>Continue entering data in a similar manner as prescribed.  Information entered in this table will be used to populate data in Table 5-E of this application.</t>
  </si>
  <si>
    <t>Emission
Unit #</t>
  </si>
  <si>
    <t>For each HAP-containing material used in the new/modified/reconstructed emission units, enter the requested information in Table 5-C in the manner shown in the example table below.  Do not include HAP emissions from materials that are used in an 'Insignificant Activity', as prescribed in the Instructions for Section 4.</t>
  </si>
  <si>
    <t>Individual
HAP</t>
  </si>
  <si>
    <t>Instructions for Section 6 - Table 6-B:  Source-Elected Emission Limits</t>
  </si>
  <si>
    <t xml:space="preserve">         Yes</t>
  </si>
  <si>
    <t xml:space="preserve">         No</t>
  </si>
  <si>
    <t>Agree to emission limit?</t>
  </si>
  <si>
    <t>Agreed to throughput limits or controls?</t>
  </si>
  <si>
    <t>For each emission unit that you agree to limit, be sure to enter either a limit or a zero for every pollutant.  Failure to do so will result in un-completed cells appearing yellow.</t>
  </si>
  <si>
    <t>Next, you are given the opportunity to take an emission 'cap' for this specific project.  Doing so may allow you to avoid requirements such as 'Best Available Control Technology' for Hazardous Air Pollutants, or avoid requirements to conduct pre-construction modeling.  If you wish to take a project-specific limit for any pollutants, click the drop-down and select "Yes".  If not, select "No".   If you select "Yes", you will be prompted to enter the desired emission limit in units of pounds.</t>
  </si>
  <si>
    <r>
      <t xml:space="preserve">Prior to Table 6-B, you are given the opportunity to take an emission 'cap' for the entire facility.  Doing so may allow you to avoid major source designations for the purposes of Title V permitting, PSD permitting, or for Hazardous Air Pollutants.  If you wish to take a major source-avoidance limit for any pollutants, click the drop-down and select "Yes".  If not, select "No".   If you select "Yes", you will be prompted to enter the desired emission limit in units of </t>
    </r>
    <r>
      <rPr>
        <b/>
        <u/>
        <sz val="11"/>
        <rFont val="Calibri"/>
        <family val="2"/>
        <scheme val="minor"/>
      </rPr>
      <t>pounds</t>
    </r>
    <r>
      <rPr>
        <b/>
        <sz val="11"/>
        <rFont val="Calibri"/>
        <family val="2"/>
        <scheme val="minor"/>
      </rPr>
      <t>.</t>
    </r>
  </si>
  <si>
    <t>Proceeding to Table 6-B, if you wish to agree to a pollutant-specific emission limit for a particular emission unit, click the drop-down and select "Yes".  If you do not wish to agree to any emission limits for that emission unit, select "No".</t>
  </si>
  <si>
    <t>Enter the pollutant-specific emission limit(s) you wish to agree to for each emission unit.  If you only wish to agree to a limit for one pollutant, and do not wish to limit the emissions of other pollutants for a given emission unit, then for those pollutants you do not wish to limit, enter a zero (0).  Zeros will appear as a dash (-).</t>
  </si>
  <si>
    <t>As seen in the example table below, the emission unit numbers and SCC codes entered on Table 3-A, as well as the responses provided in Table 6-A, have been automatically imported into Table 6-B.  In each row than contains an emission unit, the cell under "Agree to emission limit?" is highlighted in yellow, indicating a required entry.  The following items will offer a further explanation of what is requested in each column.</t>
  </si>
  <si>
    <t>If you meet or exceed any of the construction permit thresholds, your source may be required to obtain a construction permit.  If you do not meet or exceed the construction permit thresholds, your source does not require a construction permit.  Complete Section 6 of this application.  If your source will not require a construction permit, print and submit Sections 1 through 6 of this  permit application as evidence that your source does not require a construction permit.</t>
  </si>
  <si>
    <t>Instructions for Section 8:  Applicable Rules and Requirements</t>
  </si>
  <si>
    <t>SECTION 8:  APPLICABLE RULES AND REQUIREMENTS</t>
  </si>
  <si>
    <t>Instructions for Section 9:  Compliance Plan</t>
  </si>
  <si>
    <t>SECTION 9:  COMPLIANCE PLAN</t>
  </si>
  <si>
    <t>In the form below, indicate whether your source will be in compliance with all applicable rules and regulations identified in Section 8.  If there are regulations that your source will not be in compliance with, either at the time that the permit is issued, or when the compliance date of the regulation is reached, then indicate which rules the source will be out of compliance with, and describe why compliance cannot or will not be acheived.</t>
  </si>
  <si>
    <t>For those rules that your source will not be in compliance with, complete one of the provided forms in the worksheet labeled Table 9-A - Compliance Schedule.</t>
  </si>
  <si>
    <t>When you have completed Parts A, B, and Table 9-A (if necessary) continue to the "Application Checklist".</t>
  </si>
  <si>
    <t>Instructions for Table 9-A:  Compliance Schedule</t>
  </si>
  <si>
    <t xml:space="preserve">The regulations you indicated your source would not be in compliance with, as indicated in the Section 9 form, have been automatically imported into this form.  For each rule that your source will not be in compliance with, provide a narrative description of how compliance with the requirement will be acheived, and provide a detailed schedule of how your source will acheive compliance.  </t>
  </si>
  <si>
    <t>TABLE 9-A:  COMPLIANCE SCHEDULE</t>
  </si>
  <si>
    <t>Will your source require a PSD construction permit?</t>
  </si>
  <si>
    <r>
      <t xml:space="preserve">All applications must include this completeness checklist.  </t>
    </r>
    <r>
      <rPr>
        <b/>
        <u/>
        <sz val="11"/>
        <rFont val="Calibri"/>
        <family val="2"/>
        <scheme val="minor"/>
      </rPr>
      <t>On the form provided below, please indicate which application forms and sections are included with your Air Quality Construction Permit Application packet.</t>
    </r>
    <r>
      <rPr>
        <b/>
        <sz val="11"/>
        <rFont val="Calibri"/>
        <family val="2"/>
        <scheme val="minor"/>
      </rPr>
      <t xml:space="preserve">  The LLCHD recommends including a cover letter identifying additional attachments and supplemental information.</t>
    </r>
  </si>
  <si>
    <t>All applications must include a completeness checklist.  The following are general instructions for the completion and submittal of an Air Quality Construction Permit Application. These instructions do not cover the individual Sections in this Application.</t>
  </si>
  <si>
    <t>Applications are incomplete unless all information requested herein is supplied.  Failure to supply any additional information requested by the Department to enable it to act on the application may result in denial of a construction permit.  Enclosed forms may be copied as needed.</t>
  </si>
  <si>
    <t>Largest HAP Calculation Array</t>
  </si>
  <si>
    <t>Information entered in this sheet will be used to populate cells in other tables in this application.</t>
  </si>
  <si>
    <r>
      <t xml:space="preserve">In Table 4-A, below, you must list all insignificant activities at your facility, except for those included in items </t>
    </r>
    <r>
      <rPr>
        <b/>
        <u/>
        <sz val="11"/>
        <color theme="1"/>
        <rFont val="Calibri"/>
        <family val="2"/>
        <scheme val="minor"/>
      </rPr>
      <t>A.1 through A.42</t>
    </r>
    <r>
      <rPr>
        <b/>
        <sz val="11"/>
        <color theme="1"/>
        <rFont val="Calibri"/>
        <family val="2"/>
        <scheme val="minor"/>
      </rPr>
      <t xml:space="preserve"> in the 'Instructions for Section 4'. </t>
    </r>
  </si>
  <si>
    <t>For stationary external combustion units, include the heat input rating, the type of fuel (or fuels) burned, and the average annual days in service.</t>
  </si>
  <si>
    <t xml:space="preserve">In Table 4-B below, provide the requested information for lubricating and heavy oil storage vessels. </t>
  </si>
  <si>
    <t xml:space="preserve">In Table 4-C below, provide the requested information for wet cooling towers. </t>
  </si>
  <si>
    <t>If you elect to take emission limits on VOC or HAP in Section 6 of this application, lubricating and heavy oil storage cannot be considered an insignificant activity.  If you accept a VOC or HAP emission limit, or accept throughput limits or control requirements to reduce VOC/HAP emissions below an applicable threshold, you will need to remove the equipment from this table and add the equipment as emission units in Table 3-A of this application.</t>
  </si>
  <si>
    <r>
      <t>If you elect to accept limits on emissions of PM or  PM</t>
    </r>
    <r>
      <rPr>
        <b/>
        <vertAlign val="subscript"/>
        <sz val="11"/>
        <color theme="1"/>
        <rFont val="Calibri"/>
        <family val="2"/>
        <scheme val="minor"/>
      </rPr>
      <t>10</t>
    </r>
    <r>
      <rPr>
        <b/>
        <sz val="11"/>
        <color theme="1"/>
        <rFont val="Calibri"/>
        <family val="2"/>
        <scheme val="minor"/>
      </rPr>
      <t xml:space="preserve"> in Section 6 of this application, cooling towers cannot be considered insignificant activities.  If you accept a PM or PM</t>
    </r>
    <r>
      <rPr>
        <b/>
        <vertAlign val="subscript"/>
        <sz val="11"/>
        <color theme="1"/>
        <rFont val="Calibri"/>
        <family val="2"/>
        <scheme val="minor"/>
      </rPr>
      <t>10</t>
    </r>
    <r>
      <rPr>
        <b/>
        <sz val="11"/>
        <color theme="1"/>
        <rFont val="Calibri"/>
        <family val="2"/>
        <scheme val="minor"/>
      </rPr>
      <t xml:space="preserve"> emission limit, or accept a throughput limit or control requirements to reduce PM or PM</t>
    </r>
    <r>
      <rPr>
        <b/>
        <vertAlign val="subscript"/>
        <sz val="11"/>
        <color theme="1"/>
        <rFont val="Calibri"/>
        <family val="2"/>
        <scheme val="minor"/>
      </rPr>
      <t>10</t>
    </r>
    <r>
      <rPr>
        <b/>
        <sz val="11"/>
        <color theme="1"/>
        <rFont val="Calibri"/>
        <family val="2"/>
        <scheme val="minor"/>
      </rPr>
      <t xml:space="preserve"> emissions below an applicable threshold, you will need to remove the cooling towers from this table and add them to Table 3-A of this application.</t>
    </r>
  </si>
  <si>
    <t>B.  Conditionally Insignificant Equipment/Activities</t>
  </si>
  <si>
    <t>Fire suppression systems, excluding Reciprocating Interal Combustion Engines (RICE) emergency pumps at a fixed site.</t>
  </si>
  <si>
    <t>C.  Insignificant Equipment/Activities</t>
  </si>
  <si>
    <t>The Department has determined that the following insignificant activities must be included in the Section 4 of this application.  The emissions associated with the following activities do not need to be included in Section 5 of this application, nor in the Annual Emissions Inventory reports unless the emissions data is requested by LLCHD.</t>
  </si>
  <si>
    <r>
      <t xml:space="preserve">Process cooling towers with a circulating water flow rate less than 2,000 gallons per minute.  In Table 4-C, include the circulating water flow rate, total dissolved solids concentration, estimated drift loss, and average annual days in service.  </t>
    </r>
    <r>
      <rPr>
        <b/>
        <u/>
        <sz val="11"/>
        <color theme="1"/>
        <rFont val="Calibri"/>
        <family val="2"/>
        <scheme val="minor"/>
      </rPr>
      <t/>
    </r>
  </si>
  <si>
    <t>Space heaters.  In the Description column of Table 4-A, include the heat input rating and fuel type.  If you have several space heaters with the same heat input rating &amp; fuel type, you may group them together and indicate the number of heaters with the same rating and fuel type.</t>
  </si>
  <si>
    <r>
      <t xml:space="preserve">Fuel storage and distribution equipment, including storage vessels (tanks) with aggregate annual throughput of less than 1 million gallons for the entire facility.  Records verifying aggregate annual fuel throughput must be maintained for 5 years and made available to LLCHD or U.S. EPA within 48 hours of a request for documentation of annual throughput.
</t>
    </r>
    <r>
      <rPr>
        <b/>
        <u/>
        <sz val="11"/>
        <color theme="1"/>
        <rFont val="Calibri"/>
        <family val="2"/>
        <scheme val="minor"/>
      </rPr>
      <t>Please note that gasoline storage tanks at area sources of HAPs cannot be considered insignificant activities, as these tanks are subject to NESHAP Subpart CCCCCC (§63.11111).  These tanks must be included as emission units in Section 3.</t>
    </r>
  </si>
  <si>
    <t>Comfort cooling towers.</t>
  </si>
  <si>
    <t xml:space="preserve">Storage and handling of lubricating and heavy oils with a vapor pressure less than 0.5 pounds per square inch (psi) under standard conditions, when held for source use only. </t>
  </si>
  <si>
    <r>
      <t xml:space="preserve">The following activities are considered insignificant for all Class I and Class II sources, and </t>
    </r>
    <r>
      <rPr>
        <b/>
        <u/>
        <sz val="11"/>
        <color theme="1"/>
        <rFont val="Calibri"/>
        <family val="2"/>
        <scheme val="minor"/>
      </rPr>
      <t>are exempt from inclusion</t>
    </r>
    <r>
      <rPr>
        <b/>
        <sz val="11"/>
        <color theme="1"/>
        <rFont val="Calibri"/>
        <family val="2"/>
        <scheme val="minor"/>
      </rPr>
      <t xml:space="preserve"> in Tables 4-A, 4-B, or 4-C.  Emissions from these activities are exempt from inclusion in the annual emission inventory report.</t>
    </r>
  </si>
  <si>
    <t>The Department has determined that the following activities are conditionally exempt from inclusion in the Construction Permit Application and Annual Emissions Inventory Reports. The following activities are exempt from inclusion in the Construction Permit Application and the Annual Emissions Inventory unless the activity emits a pollutant(s) subject to an emissions limitation elected herein. If the activity emits a pollutant subject to a emissions limitation agreed to in this application, the activity must be included in the Construction Permit Application on the appropriate emission unit form and in the Annual Emissions Inventory Report.</t>
  </si>
  <si>
    <t>Many boilers are now subject to requirements under the NESHAP MACT requirements set forth under 40 CFR Part 63 Subparts DDDDD and JJJJJJ.  All boilers and process heaters at 'major sources' of Hazardous Air Pollutants (HAPs) are subject to Subpart DDDDD, and must be included as an emission unit in Section 3.</t>
  </si>
  <si>
    <r>
      <t xml:space="preserve">Boilers at 'area sources' of HAPs that meet the definition of a "gas-fired boiler" set forth in Subpart JJJJJJ </t>
    </r>
    <r>
      <rPr>
        <b/>
        <u/>
        <sz val="11"/>
        <color theme="1"/>
        <rFont val="Calibri"/>
        <family val="2"/>
        <scheme val="minor"/>
      </rPr>
      <t>are not subject</t>
    </r>
    <r>
      <rPr>
        <b/>
        <sz val="11"/>
        <color theme="1"/>
        <rFont val="Calibri"/>
        <family val="2"/>
        <scheme val="minor"/>
      </rPr>
      <t xml:space="preserve"> to Subpart JJJJJJ.  In addition, process heaters at 'area sources' of HAPs </t>
    </r>
    <r>
      <rPr>
        <b/>
        <u/>
        <sz val="11"/>
        <color theme="1"/>
        <rFont val="Calibri"/>
        <family val="2"/>
        <scheme val="minor"/>
      </rPr>
      <t>are not subject</t>
    </r>
    <r>
      <rPr>
        <b/>
        <sz val="11"/>
        <color theme="1"/>
        <rFont val="Calibri"/>
        <family val="2"/>
        <scheme val="minor"/>
      </rPr>
      <t xml:space="preserve"> to Subpart JJJJJJ.  As such, any boilers meeting this definition that are lower than the applicable heat-input thresholds in Parts B, C, and D of these instructions may be considered insignificant activities. However, if you accept a NOx, SOx, or CO emission limit, or accept throughput limits or control requirements to reduce NOx/SOx/CO emissions below an applicable threshold, you will need to include new boilers as emission units in Table 3-A of this application.  Part B of these instructions provides additional detail about which boilers can be considered insignificant.   </t>
    </r>
    <r>
      <rPr>
        <b/>
        <u/>
        <sz val="11"/>
        <color theme="1"/>
        <rFont val="Calibri"/>
        <family val="2"/>
        <scheme val="minor"/>
      </rPr>
      <t>When listing boilers as insignificant activities on Table 4-A, the applicant must indicate whether the boiler has the ability to operate on a liquid or solid fuel as a back-up.</t>
    </r>
  </si>
  <si>
    <r>
      <t xml:space="preserve">Stationary internal combustion turbines at </t>
    </r>
    <r>
      <rPr>
        <b/>
        <u/>
        <sz val="11"/>
        <color theme="1"/>
        <rFont val="Calibri"/>
        <family val="2"/>
        <scheme val="minor"/>
      </rPr>
      <t>area sources of HAPs,</t>
    </r>
    <r>
      <rPr>
        <b/>
        <sz val="11"/>
        <color theme="1"/>
        <rFont val="Calibri"/>
        <family val="2"/>
        <scheme val="minor"/>
      </rPr>
      <t xml:space="preserve"> provided the following also apply:
  - Your source is not accepting any emission limits or fuel use limits to reduce emissions of NOx, SOx, or CO;
  - The turbine(s) </t>
    </r>
    <r>
      <rPr>
        <b/>
        <u/>
        <sz val="11"/>
        <color theme="1"/>
        <rFont val="Calibri"/>
        <family val="2"/>
        <scheme val="minor"/>
      </rPr>
      <t>is not</t>
    </r>
    <r>
      <rPr>
        <b/>
        <sz val="11"/>
        <color theme="1"/>
        <rFont val="Calibri"/>
        <family val="2"/>
        <scheme val="minor"/>
      </rPr>
      <t xml:space="preserve"> subject to a NSPS or NESHAP;
  - Only natural gas is used as a fuel source; and
  - Rating must be below 1,630 horsepower. 
In the Description column of Table 4-A, please include the size of the unit, the fuel used, and average hours or days of service.</t>
    </r>
  </si>
  <si>
    <r>
      <t xml:space="preserve">Stationary external combustion units using the listed fuel type and rated below the corresponding heat input rating are insignificant, unless one of the following statements applies to your facility:
  - Your source is accepting emission limits or fuel use limits to reduce emissions of NOx, SOx, or CO as a part of this application; or
  - Your source is currently a major source of HAPs.
</t>
    </r>
    <r>
      <rPr>
        <b/>
        <u/>
        <sz val="11"/>
        <color theme="1"/>
        <rFont val="Calibri"/>
        <family val="2"/>
        <scheme val="minor"/>
      </rPr>
      <t>Units producing heat (including steam heat) for processing are not considered insignificant activities.</t>
    </r>
    <r>
      <rPr>
        <b/>
        <sz val="11"/>
        <color theme="1"/>
        <rFont val="Calibri"/>
        <family val="2"/>
        <scheme val="minor"/>
      </rPr>
      <t xml:space="preserve">  In the Description column of Table 4-A, include heat input rating of the unit, fuel(s) fired, and average hours or days of service per year.  </t>
    </r>
    <r>
      <rPr>
        <b/>
        <u/>
        <sz val="11"/>
        <color theme="1"/>
        <rFont val="Calibri"/>
        <family val="2"/>
        <scheme val="minor"/>
      </rPr>
      <t>If you are accepting limits to reduce NOx, SOx, or CO, you must include all stationary external combustion units in the emission unit list in Table 3-A, and must also report emissions with the annual emission inventory report.</t>
    </r>
  </si>
  <si>
    <t>Insignificant activities are those activities and/or emission units that may be excluded from a construction permit application or, if included, listed in the application with a limited amount of support information.</t>
  </si>
  <si>
    <t>Emission Unit #(s)</t>
  </si>
  <si>
    <t>For each VOC-containing material used at your source, enter the requested information in Table 5-B in the manner shown in the example table below.  Do not include VOC emissions from materials that are used in an 'Insignificant Activity', as prescribed in the Instructions for Section 4.</t>
  </si>
  <si>
    <t>For 'Emission Unit #(s) (Column C), enter the number of the emission unit (or units) with which the material used is associated.  For example, if you utilize the same adhesive in emission units 3-2, and 5-1, then simply enter, "3-2, 5-1" as shown below.</t>
  </si>
  <si>
    <t>For 'Material Purpose' (Column D), provide a 1-word description of what the material used for, (e.g. adhesive, cleaner, stripper, lubricant, etc.)</t>
  </si>
  <si>
    <t>For 'Material Throughput' (Column E), enter the maximum annual throughput (in gallons) of the material at your source.  If you keep records of material use for certain materials in units other than gallons, use the appropriate Conversion Tool below to convert throughput to gallons.</t>
  </si>
  <si>
    <t>AP-42</t>
  </si>
  <si>
    <t>WebFire</t>
  </si>
  <si>
    <t>Stack Test</t>
  </si>
  <si>
    <t>Mass Balance</t>
  </si>
  <si>
    <t>Emission Factor Source</t>
  </si>
  <si>
    <t>WebFIRE</t>
  </si>
  <si>
    <r>
      <t xml:space="preserve">For 'Material Throughput' (Column E), enter the maximum annual throughput either in gallons, or in pounds.  </t>
    </r>
    <r>
      <rPr>
        <b/>
        <u/>
        <sz val="11"/>
        <rFont val="Calibri"/>
        <family val="2"/>
        <scheme val="minor"/>
      </rPr>
      <t>Only enter material throughput ONCE for each material.</t>
    </r>
    <r>
      <rPr>
        <b/>
        <sz val="11"/>
        <rFont val="Calibri"/>
        <family val="2"/>
        <scheme val="minor"/>
      </rPr>
      <t xml:space="preserve">  If you keep records of material use for certain materials in units other than gallons or pounds, use the appropriate Conversion Tool below to convert throughput to the appropriate unit.</t>
    </r>
  </si>
  <si>
    <t>For 'Throughput Units' (Column F), specify which units you have supplied material throughput data in.  Your only options are 'pounds' or 'gallons'.</t>
  </si>
  <si>
    <t>For 'HAP Content' (Column G), enter either the amount of each HAP by weight percent (weight %), or in pounds of HAP per gallon of material.  If you enter the weight percent, do not add the '%' sign…simply enter the number.  E.g.  If the HAP is 15% by weight, simply enter '15'.</t>
  </si>
  <si>
    <t>For 'HAP Content Units' (Column H), specify which units you have supplied the individual HAP content in.  Your only options are weight percent (weight %), or in pounds of HAP per gallon of material (lbs/gallon).</t>
  </si>
  <si>
    <r>
      <t xml:space="preserve">For 'Product Density' (Column I), </t>
    </r>
    <r>
      <rPr>
        <b/>
        <u/>
        <sz val="11"/>
        <rFont val="Calibri"/>
        <family val="2"/>
        <scheme val="minor"/>
      </rPr>
      <t>you are only required to enter density if the cell is highlighted in yellow.</t>
    </r>
    <r>
      <rPr>
        <b/>
        <sz val="11"/>
        <rFont val="Calibri"/>
        <family val="2"/>
        <scheme val="minor"/>
      </rPr>
      <t xml:space="preserve">  If prompted, provide the density of the material in units of 'pounds per gallon'.  If your MSDS provides density in the form of 'Specific Gravity', use the appropriate conversion tool below to convert specific gravity into pounds/gallon.  </t>
    </r>
    <r>
      <rPr>
        <b/>
        <u/>
        <sz val="11"/>
        <rFont val="Calibri"/>
        <family val="2"/>
        <scheme val="minor"/>
      </rPr>
      <t>Only enter product density ONCE for each material.</t>
    </r>
  </si>
  <si>
    <r>
      <t xml:space="preserve">For 'Release Factor' (Column K), enter the amount of HAP that is actually emitted into the atmosphere as a result of material use.  For most materials, this will be 100% unless you have supporting data that shows a lower release factor.  </t>
    </r>
    <r>
      <rPr>
        <b/>
        <u/>
        <sz val="11"/>
        <rFont val="Calibri"/>
        <family val="2"/>
        <scheme val="minor"/>
      </rPr>
      <t>Only enter the release factor ONCE for each material.</t>
    </r>
  </si>
  <si>
    <t>For 'Emission Unit #(s) (Column D), enter the number of the emission unit (or units) with which the material used is associated.  For example, if you utilize the same adhesive in emission units 3-2, and 5-1, then simply enter, "3-2, 5-1" as shown below.</t>
  </si>
  <si>
    <t>HAP Throughput</t>
  </si>
  <si>
    <t>In Column F, indicate whether you will agree to control emissions from the material listed in that row.  When you click on the cells under Column F, a drop-down box will give you two options, "Yes" or "No".   Choose the appropriate answer.</t>
  </si>
  <si>
    <t xml:space="preserve">If you select "No" in Column E, the associated cell in Column I will fill in dark gray, and the cell should be left blank.  If you select "Yes" in Column E, then you will be prompted to enter a throughput limit in Column I.  Be sure to use the same throughput limit as you used in Table 6-A. </t>
  </si>
  <si>
    <r>
      <t xml:space="preserve">If you select "No" in Column F, the associated cell in Column J will fill in dark gray and the cell should be left blank.  If you select "Yes" in Column F, then you will be prompted to enter a control device in Column J.  When you click on the cells under Column J, a drop-down box will give you three control options.   Choose the appropriate option.  </t>
    </r>
    <r>
      <rPr>
        <b/>
        <u/>
        <sz val="11"/>
        <rFont val="Calibri"/>
        <family val="2"/>
        <scheme val="minor"/>
      </rPr>
      <t>If you choose 'Other' as your control device, contact the Department.</t>
    </r>
    <r>
      <rPr>
        <b/>
        <sz val="11"/>
        <rFont val="Calibri"/>
        <family val="2"/>
        <scheme val="minor"/>
      </rPr>
      <t xml:space="preserve">  Staff will assist you with incorporating the proper control efficiency.</t>
    </r>
  </si>
  <si>
    <t>Once all required entries in each row are completed, an emission figure for each HAP will appear in Column L.  These figures incorporate any throughput limits or control devices you elected to use.</t>
  </si>
  <si>
    <t>If using emission factors or calculation methods other than those provided in AP-42 or WebFIRE, attach a copy of any alternate emission factors (including stack test results) and/or emission calculations as an attachment to this application.</t>
  </si>
  <si>
    <t xml:space="preserve">        Emission Factors from Stack Testing *</t>
  </si>
  <si>
    <t xml:space="preserve">        Material Mass-Balance Calculations *</t>
  </si>
  <si>
    <r>
      <t xml:space="preserve">        Other </t>
    </r>
    <r>
      <rPr>
        <sz val="11"/>
        <color theme="1"/>
        <rFont val="Calibri"/>
        <family val="2"/>
        <scheme val="minor"/>
      </rPr>
      <t>(specify &gt;&gt;&gt;&gt;) *</t>
    </r>
  </si>
  <si>
    <t xml:space="preserve">       Initial Operating Permit</t>
  </si>
  <si>
    <t xml:space="preserve">       Operating Permit Renewal</t>
  </si>
  <si>
    <t xml:space="preserve">       Modify Existing Operating or Construction Permit</t>
  </si>
  <si>
    <t>For reference, please note the following:
 - Facilities east of NW/SW 48th St. are likely within 50 miles of Iowa.
 - Facilities south of Rokeby Rd. / Hwy 2 are within 50 miles of Kansas.
 - Facilities within the following are likely within 50 miles of Missouri:
    - south and east of SW 2nd St. &amp; Saltillo Rd.
    - south and east of S 14th St. &amp; Pioneers Blvd.
    - south and east of N 33rd St. &amp; Holdrege St.
    - south and east of N 48th St. &amp; Fletcher Ave.
    - south and east of N 70th St. &amp; Bluff Rd.
    - south and east of N 98th St. &amp; Raymond Rd.
    - south and east of N 134th St. &amp; Rock Creek Rd.
    - south and east of N 162nd St. &amp; Ashland Rd.</t>
  </si>
  <si>
    <t xml:space="preserve">       I do not know the permit type.</t>
  </si>
  <si>
    <t xml:space="preserve">       Class II Operating Permit</t>
  </si>
  <si>
    <t xml:space="preserve">       Class I Operating Permit</t>
  </si>
  <si>
    <t xml:space="preserve">       Minor Source Construction Permit (most common const. permit)</t>
  </si>
  <si>
    <t>GRAIN ELEVATOR &amp; FEED MILLING GENERAL SOURCE PERMIT APPLICATION</t>
  </si>
  <si>
    <t>This form is intended for use by sources that fit any the 'general source' category for grain elevators and feed milling operations.  If your source does not fit either of these categories, contact the LLCHD Air Quality Program at (402) 441-8040 to obtain an application that is more suitable to your facility.</t>
  </si>
  <si>
    <r>
      <t xml:space="preserve">Sources required to obtain a construction permit under Article 2, Sections 17 and/or 19 of the Lincoln-Lancaster County Air Pollution Control Program Regulations and Standards (LLCAPCPRS), </t>
    </r>
    <r>
      <rPr>
        <b/>
        <u/>
        <sz val="11"/>
        <color theme="1"/>
        <rFont val="Calibri"/>
        <family val="2"/>
        <scheme val="minor"/>
      </rPr>
      <t>or</t>
    </r>
    <r>
      <rPr>
        <b/>
        <sz val="11"/>
        <color theme="1"/>
        <rFont val="Calibri"/>
        <family val="2"/>
        <scheme val="minor"/>
      </rPr>
      <t xml:space="preserve"> required to obtain an operating permit under Article 2, Section 8 of the LLCAPCPRS must complete and return a permit application.  This application will determine whether or not your source requires a construction permit and/or operating permit, as well as what type of permit is appropriate for your source.</t>
    </r>
  </si>
  <si>
    <t>This sheet is designed to automatically populate emission unit numbers and Source Classification Code (SCC) information based on entries you provide.  Please answer the following questions:</t>
  </si>
  <si>
    <t>Does your facility have paved haul roads, unpaved haul roads, or both?</t>
  </si>
  <si>
    <t>Paved Roads</t>
  </si>
  <si>
    <t>Unpaved Roads</t>
  </si>
  <si>
    <t>Both Paved &amp; Unpaved Roads</t>
  </si>
  <si>
    <t>Grain Receiving Emission Units</t>
  </si>
  <si>
    <t>Elevator Leg Emission Units</t>
  </si>
  <si>
    <t>Grain Shipping Emission Units</t>
  </si>
  <si>
    <t>Haul Road Emission Units</t>
  </si>
  <si>
    <t>Grain Storage Emission Units</t>
  </si>
  <si>
    <t>Grain Cleaning Emission Units</t>
  </si>
  <si>
    <t>Grain Drying Emission Units</t>
  </si>
  <si>
    <t>Grain Milling - Grain Cracking Emission Units</t>
  </si>
  <si>
    <t>Grain Milling - Grain Grinding Emission Units</t>
  </si>
  <si>
    <t>Grain Milling - Hammermilling Emission Units</t>
  </si>
  <si>
    <t>Grain Milling - Grain Flaking Emission Units</t>
  </si>
  <si>
    <t>Grain Milling - Pellet Cooling Emission Units</t>
  </si>
  <si>
    <t>Miscellaneous Emission Units</t>
  </si>
  <si>
    <t>Does your facility perform any grain or feed milling?..............................................................      Yes             No</t>
  </si>
  <si>
    <t>Elevator Leg (Headhouse &amp; Grain Handling)</t>
  </si>
  <si>
    <t>Straight Truck Grain Receiving</t>
  </si>
  <si>
    <t>Hopper Truck Grain Receiving</t>
  </si>
  <si>
    <t>Railcar Grain Receiving</t>
  </si>
  <si>
    <t>Railcar Grain Shipping</t>
  </si>
  <si>
    <t>Hopper Truck Grain Shipping</t>
  </si>
  <si>
    <t>Paved Haul Roads</t>
  </si>
  <si>
    <t>Unpaved Haul Roads</t>
  </si>
  <si>
    <t>Grain Cleaning</t>
  </si>
  <si>
    <t>Rack Grain Dryer</t>
  </si>
  <si>
    <t>Column Grain Dryer</t>
  </si>
  <si>
    <t>Grain Truck Traffic</t>
  </si>
  <si>
    <t>Grain Cracking</t>
  </si>
  <si>
    <t>Grain Grinding</t>
  </si>
  <si>
    <t>Hammermilling</t>
  </si>
  <si>
    <t>Grain Flaking</t>
  </si>
  <si>
    <t>Pellet Cooling</t>
  </si>
  <si>
    <t>For the purposes of this permit application, all grain receiving, handling, shipping, feed milling, and truck traffic emissions are considered "fugitive" sources, for which stack information is not required.  Stack information for any 'Miscellaneous' emission units is provided below.</t>
  </si>
  <si>
    <r>
      <t>In Table 3-B below,  emission unit numbers  and descriptions for any "</t>
    </r>
    <r>
      <rPr>
        <b/>
        <u/>
        <sz val="11"/>
        <color theme="1"/>
        <rFont val="Calibri"/>
        <family val="2"/>
        <scheme val="minor"/>
      </rPr>
      <t>Miscellaneous Emission Units</t>
    </r>
    <r>
      <rPr>
        <b/>
        <sz val="11"/>
        <color theme="1"/>
        <rFont val="Calibri"/>
        <family val="2"/>
        <scheme val="minor"/>
      </rPr>
      <t xml:space="preserve">" that you entered in Table 3-A have been automatically imported into Table 3-B.  If the emission unit description is too long to display in the box, you do not need to change the emission unit description.  </t>
    </r>
    <r>
      <rPr>
        <b/>
        <u/>
        <sz val="11"/>
        <color theme="1"/>
        <rFont val="Calibri"/>
        <family val="2"/>
        <scheme val="minor"/>
      </rPr>
      <t>You need not enter any stack/release point information for any grain receiving, handling, shipping, feed milling, and truck traffic emissions, as these are considered "fugitive" sources for which stack information is not required.</t>
    </r>
  </si>
  <si>
    <t>As shown in the example table below, you are required to enter several different stack parameters for each miscellaneous emission unit.   Please be sure to provide information in the specified units of measurement.  If you have information in units that are different than those required here, conversion tools have been provided to convert your data to the required units.  For emission units that release 'Fugitive' emissions, skip to item #6.</t>
  </si>
  <si>
    <t xml:space="preserve">After completing all of the questions above for your facility, you will find in Table 3-A below that some emission unit numbers, SCC codes, and emission unit descriptions have already been populated, and that some remain blank and highlighted in yellow.  The yellow highlighting indicates that additional information is needed.  If any cell in a row is highlighted yellow, specific instructions will appear in the cell to the right of the 'Emission Segment Description'.  Once the required entries have been made, the cell will fill in white, and the instructions will disappear.  For some cells, additional instructions are provided in 'drop-down' cells in which you must select from a provided list of entries. </t>
  </si>
  <si>
    <t>CAS No.</t>
  </si>
  <si>
    <t>100-yr GWP</t>
  </si>
  <si>
    <t>HFC-152</t>
  </si>
  <si>
    <t>HFC-161</t>
  </si>
  <si>
    <t>HFC-236cb</t>
  </si>
  <si>
    <t>HFC-236ea</t>
  </si>
  <si>
    <r>
      <t>CHF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</si>
  <si>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CHF</t>
    </r>
    <r>
      <rPr>
        <vertAlign val="subscript"/>
        <sz val="11"/>
        <rFont val="Calibri"/>
        <family val="2"/>
        <scheme val="minor"/>
      </rPr>
      <t>3</t>
    </r>
  </si>
  <si>
    <r>
      <t>CH</t>
    </r>
    <r>
      <rPr>
        <vertAlign val="subscript"/>
        <sz val="11"/>
        <rFont val="Calibri"/>
        <family val="2"/>
        <scheme val="minor"/>
      </rPr>
      <t>2</t>
    </r>
    <r>
      <rPr>
        <sz val="11"/>
        <rFont val="Calibri"/>
        <family val="2"/>
        <scheme val="minor"/>
      </rPr>
      <t>F</t>
    </r>
    <r>
      <rPr>
        <vertAlign val="subscript"/>
        <sz val="11"/>
        <rFont val="Calibri"/>
        <family val="2"/>
        <scheme val="minor"/>
      </rPr>
      <t>2</t>
    </r>
  </si>
  <si>
    <r>
      <t>CH</t>
    </r>
    <r>
      <rPr>
        <vertAlign val="subscript"/>
        <sz val="11"/>
        <rFont val="Calibri"/>
        <family val="2"/>
        <scheme val="minor"/>
      </rPr>
      <t>3</t>
    </r>
    <r>
      <rPr>
        <sz val="11"/>
        <rFont val="Calibri"/>
        <family val="2"/>
        <scheme val="minor"/>
      </rPr>
      <t>F</t>
    </r>
  </si>
  <si>
    <r>
      <t>C</t>
    </r>
    <r>
      <rPr>
        <vertAlign val="subscript"/>
        <sz val="11"/>
        <rFont val="Calibri"/>
        <family val="2"/>
        <scheme val="minor"/>
      </rPr>
      <t>2</t>
    </r>
    <r>
      <rPr>
        <sz val="11"/>
        <rFont val="Calibri"/>
        <family val="2"/>
        <scheme val="minor"/>
      </rPr>
      <t>HF</t>
    </r>
    <r>
      <rPr>
        <vertAlign val="subscript"/>
        <sz val="11"/>
        <rFont val="Calibri"/>
        <family val="2"/>
        <scheme val="minor"/>
      </rPr>
      <t>5</t>
    </r>
  </si>
  <si>
    <r>
      <t>C</t>
    </r>
    <r>
      <rPr>
        <vertAlign val="subscript"/>
        <sz val="11"/>
        <rFont val="Calibri"/>
        <family val="2"/>
        <scheme val="minor"/>
      </rPr>
      <t>2</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4</t>
    </r>
  </si>
  <si>
    <r>
      <t>CH</t>
    </r>
    <r>
      <rPr>
        <vertAlign val="subscript"/>
        <sz val="11"/>
        <rFont val="Calibri"/>
        <family val="2"/>
        <scheme val="minor"/>
      </rPr>
      <t>2</t>
    </r>
    <r>
      <rPr>
        <sz val="11"/>
        <rFont val="Calibri"/>
        <family val="2"/>
        <scheme val="minor"/>
      </rPr>
      <t>FCF</t>
    </r>
    <r>
      <rPr>
        <vertAlign val="subscript"/>
        <sz val="11"/>
        <rFont val="Calibri"/>
        <family val="2"/>
        <scheme val="minor"/>
      </rPr>
      <t>3</t>
    </r>
  </si>
  <si>
    <r>
      <t>C</t>
    </r>
    <r>
      <rPr>
        <vertAlign val="subscript"/>
        <sz val="11"/>
        <rFont val="Calibri"/>
        <family val="2"/>
        <scheme val="minor"/>
      </rPr>
      <t>2</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3</t>
    </r>
  </si>
  <si>
    <r>
      <t>CH</t>
    </r>
    <r>
      <rPr>
        <vertAlign val="subscript"/>
        <sz val="11"/>
        <rFont val="Calibri"/>
        <family val="2"/>
        <scheme val="minor"/>
      </rPr>
      <t>2</t>
    </r>
    <r>
      <rPr>
        <sz val="11"/>
        <rFont val="Calibri"/>
        <family val="2"/>
        <scheme val="minor"/>
      </rPr>
      <t>FCH</t>
    </r>
    <r>
      <rPr>
        <vertAlign val="subscript"/>
        <sz val="11"/>
        <rFont val="Calibri"/>
        <family val="2"/>
        <scheme val="minor"/>
      </rPr>
      <t>2</t>
    </r>
    <r>
      <rPr>
        <sz val="11"/>
        <rFont val="Calibri"/>
        <family val="2"/>
        <scheme val="minor"/>
      </rPr>
      <t>F</t>
    </r>
  </si>
  <si>
    <r>
      <t>CH</t>
    </r>
    <r>
      <rPr>
        <vertAlign val="subscript"/>
        <sz val="11"/>
        <rFont val="Calibri"/>
        <family val="2"/>
        <scheme val="minor"/>
      </rPr>
      <t>3</t>
    </r>
    <r>
      <rPr>
        <sz val="11"/>
        <rFont val="Calibri"/>
        <family val="2"/>
        <scheme val="minor"/>
      </rPr>
      <t>CHF</t>
    </r>
    <r>
      <rPr>
        <vertAlign val="subscript"/>
        <sz val="11"/>
        <rFont val="Calibri"/>
        <family val="2"/>
        <scheme val="minor"/>
      </rPr>
      <t>2</t>
    </r>
  </si>
  <si>
    <r>
      <t>CH</t>
    </r>
    <r>
      <rPr>
        <vertAlign val="subscript"/>
        <sz val="11"/>
        <rFont val="Calibri"/>
        <family val="2"/>
        <scheme val="minor"/>
      </rPr>
      <t>3</t>
    </r>
    <r>
      <rPr>
        <sz val="11"/>
        <rFont val="Calibri"/>
        <family val="2"/>
        <scheme val="minor"/>
      </rPr>
      <t>CH</t>
    </r>
    <r>
      <rPr>
        <vertAlign val="subscript"/>
        <sz val="11"/>
        <rFont val="Calibri"/>
        <family val="2"/>
        <scheme val="minor"/>
      </rPr>
      <t>2</t>
    </r>
    <r>
      <rPr>
        <sz val="11"/>
        <rFont val="Calibri"/>
        <family val="2"/>
        <scheme val="minor"/>
      </rPr>
      <t>F</t>
    </r>
  </si>
  <si>
    <r>
      <t>C</t>
    </r>
    <r>
      <rPr>
        <vertAlign val="subscript"/>
        <sz val="11"/>
        <rFont val="Calibri"/>
        <family val="2"/>
        <scheme val="minor"/>
      </rPr>
      <t>3</t>
    </r>
    <r>
      <rPr>
        <sz val="11"/>
        <rFont val="Calibri"/>
        <family val="2"/>
        <scheme val="minor"/>
      </rPr>
      <t>HF</t>
    </r>
    <r>
      <rPr>
        <vertAlign val="subscript"/>
        <sz val="11"/>
        <rFont val="Calibri"/>
        <family val="2"/>
        <scheme val="minor"/>
      </rPr>
      <t>7</t>
    </r>
  </si>
  <si>
    <r>
      <t>CH</t>
    </r>
    <r>
      <rPr>
        <vertAlign val="subscript"/>
        <sz val="11"/>
        <color theme="1"/>
        <rFont val="Calibri"/>
        <family val="2"/>
        <scheme val="minor"/>
      </rPr>
      <t>2</t>
    </r>
    <r>
      <rPr>
        <sz val="11"/>
        <color theme="1"/>
        <rFont val="Calibri"/>
        <family val="2"/>
        <scheme val="minor"/>
      </rPr>
      <t>FCF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</si>
  <si>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t>
    </r>
    <r>
      <rPr>
        <vertAlign val="subscript"/>
        <sz val="11"/>
        <rFont val="Calibri"/>
        <family val="2"/>
        <scheme val="minor"/>
      </rPr>
      <t>3</t>
    </r>
    <r>
      <rPr>
        <sz val="11"/>
        <rFont val="Calibri"/>
        <family val="2"/>
        <scheme val="minor"/>
      </rPr>
      <t>H</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</si>
  <si>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H</t>
    </r>
    <r>
      <rPr>
        <vertAlign val="subscript"/>
        <sz val="11"/>
        <rFont val="Calibri"/>
        <family val="2"/>
        <scheme val="minor"/>
      </rPr>
      <t>3</t>
    </r>
    <r>
      <rPr>
        <sz val="11"/>
        <rFont val="Calibri"/>
        <family val="2"/>
        <scheme val="minor"/>
      </rPr>
      <t>F</t>
    </r>
    <r>
      <rPr>
        <vertAlign val="subscript"/>
        <sz val="11"/>
        <rFont val="Calibri"/>
        <family val="2"/>
        <scheme val="minor"/>
      </rPr>
      <t>5</t>
    </r>
  </si>
  <si>
    <r>
      <t>CF</t>
    </r>
    <r>
      <rPr>
        <vertAlign val="subscript"/>
        <sz val="11"/>
        <rFont val="Calibri"/>
        <family val="2"/>
        <scheme val="minor"/>
      </rPr>
      <t>4</t>
    </r>
  </si>
  <si>
    <r>
      <t>C</t>
    </r>
    <r>
      <rPr>
        <vertAlign val="subscript"/>
        <sz val="11"/>
        <rFont val="Calibri"/>
        <family val="2"/>
        <scheme val="minor"/>
      </rPr>
      <t>2</t>
    </r>
    <r>
      <rPr>
        <sz val="11"/>
        <rFont val="Calibri"/>
        <family val="2"/>
        <scheme val="minor"/>
      </rPr>
      <t>F</t>
    </r>
    <r>
      <rPr>
        <vertAlign val="subscript"/>
        <sz val="11"/>
        <rFont val="Calibri"/>
        <family val="2"/>
        <scheme val="minor"/>
      </rPr>
      <t>6</t>
    </r>
  </si>
  <si>
    <r>
      <t>C</t>
    </r>
    <r>
      <rPr>
        <vertAlign val="subscript"/>
        <sz val="11"/>
        <rFont val="Calibri"/>
        <family val="2"/>
        <scheme val="minor"/>
      </rPr>
      <t>3</t>
    </r>
    <r>
      <rPr>
        <sz val="11"/>
        <rFont val="Calibri"/>
        <family val="2"/>
        <scheme val="minor"/>
      </rPr>
      <t>F</t>
    </r>
    <r>
      <rPr>
        <vertAlign val="subscript"/>
        <sz val="11"/>
        <rFont val="Calibri"/>
        <family val="2"/>
        <scheme val="minor"/>
      </rPr>
      <t>8</t>
    </r>
  </si>
  <si>
    <r>
      <t>C</t>
    </r>
    <r>
      <rPr>
        <vertAlign val="subscript"/>
        <sz val="11"/>
        <rFont val="Calibri"/>
        <family val="2"/>
        <scheme val="minor"/>
      </rPr>
      <t>4</t>
    </r>
    <r>
      <rPr>
        <sz val="11"/>
        <rFont val="Calibri"/>
        <family val="2"/>
        <scheme val="minor"/>
      </rPr>
      <t>F</t>
    </r>
    <r>
      <rPr>
        <vertAlign val="subscript"/>
        <sz val="11"/>
        <rFont val="Calibri"/>
        <family val="2"/>
        <scheme val="minor"/>
      </rPr>
      <t>10</t>
    </r>
  </si>
  <si>
    <r>
      <t>C</t>
    </r>
    <r>
      <rPr>
        <vertAlign val="subscript"/>
        <sz val="11"/>
        <rFont val="Calibri"/>
        <family val="2"/>
        <scheme val="minor"/>
      </rPr>
      <t>5</t>
    </r>
    <r>
      <rPr>
        <sz val="11"/>
        <rFont val="Calibri"/>
        <family val="2"/>
        <scheme val="minor"/>
      </rPr>
      <t>F</t>
    </r>
    <r>
      <rPr>
        <vertAlign val="subscript"/>
        <sz val="11"/>
        <rFont val="Calibri"/>
        <family val="2"/>
        <scheme val="minor"/>
      </rPr>
      <t>12</t>
    </r>
  </si>
  <si>
    <r>
      <t>C</t>
    </r>
    <r>
      <rPr>
        <vertAlign val="subscript"/>
        <sz val="11"/>
        <rFont val="Calibri"/>
        <family val="2"/>
        <scheme val="minor"/>
      </rPr>
      <t>6</t>
    </r>
    <r>
      <rPr>
        <sz val="11"/>
        <rFont val="Calibri"/>
        <family val="2"/>
        <scheme val="minor"/>
      </rPr>
      <t>F</t>
    </r>
    <r>
      <rPr>
        <vertAlign val="subscript"/>
        <sz val="11"/>
        <rFont val="Calibri"/>
        <family val="2"/>
        <scheme val="minor"/>
      </rPr>
      <t>14</t>
    </r>
  </si>
  <si>
    <r>
      <t>CO</t>
    </r>
    <r>
      <rPr>
        <vertAlign val="subscript"/>
        <sz val="11"/>
        <rFont val="Calibri"/>
        <family val="2"/>
        <scheme val="minor"/>
      </rPr>
      <t>2</t>
    </r>
  </si>
  <si>
    <r>
      <t>CH</t>
    </r>
    <r>
      <rPr>
        <vertAlign val="subscript"/>
        <sz val="11"/>
        <rFont val="Calibri"/>
        <family val="2"/>
        <scheme val="minor"/>
      </rPr>
      <t>4</t>
    </r>
  </si>
  <si>
    <r>
      <t>N</t>
    </r>
    <r>
      <rPr>
        <vertAlign val="subscript"/>
        <sz val="11"/>
        <rFont val="Calibri"/>
        <family val="2"/>
        <scheme val="minor"/>
      </rPr>
      <t>2</t>
    </r>
    <r>
      <rPr>
        <sz val="11"/>
        <rFont val="Calibri"/>
        <family val="2"/>
        <scheme val="minor"/>
      </rPr>
      <t>O</t>
    </r>
  </si>
  <si>
    <r>
      <t>SF</t>
    </r>
    <r>
      <rPr>
        <vertAlign val="subscript"/>
        <sz val="11"/>
        <rFont val="Calibri"/>
        <family val="2"/>
        <scheme val="minor"/>
      </rPr>
      <t>6</t>
    </r>
  </si>
  <si>
    <t>HFC-245fa</t>
  </si>
  <si>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</si>
  <si>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t>HFC-365mfc</t>
  </si>
  <si>
    <r>
      <t>CH</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</si>
  <si>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CFHCFHCF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</si>
  <si>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SF</t>
    </r>
    <r>
      <rPr>
        <vertAlign val="subscript"/>
        <sz val="11"/>
        <color theme="1"/>
        <rFont val="Calibri"/>
        <family val="2"/>
        <scheme val="minor"/>
      </rPr>
      <t>5</t>
    </r>
    <r>
      <rPr>
        <sz val="11"/>
        <color theme="1"/>
        <rFont val="Calibri"/>
        <family val="2"/>
        <scheme val="minor"/>
      </rPr>
      <t>CF</t>
    </r>
    <r>
      <rPr>
        <vertAlign val="subscript"/>
        <sz val="11"/>
        <color theme="1"/>
        <rFont val="Calibri"/>
        <family val="2"/>
        <scheme val="minor"/>
      </rPr>
      <t>3</t>
    </r>
  </si>
  <si>
    <r>
      <t>NF</t>
    </r>
    <r>
      <rPr>
        <vertAlign val="subscript"/>
        <sz val="11"/>
        <rFont val="Calibri"/>
        <family val="2"/>
        <scheme val="minor"/>
      </rPr>
      <t>3</t>
    </r>
  </si>
  <si>
    <t>The pollutants and GWP values presented herein are derived from 40 CFR Part 98 Table A-1, as revised on November 29, 2013.</t>
  </si>
  <si>
    <t>Perfluoromethane, CFC-14, Freon 14, Halon 14, R-14, and Tetrafluoromethane</t>
  </si>
  <si>
    <t>PFC-14</t>
  </si>
  <si>
    <t>PFC-116</t>
  </si>
  <si>
    <t>Perfluoroethane, CFC-116, R-116, Ethfluorane, Halocarbon, and Hexafluoroethane</t>
  </si>
  <si>
    <t>PFC-218</t>
  </si>
  <si>
    <t>Perfluoropropane, Freon 218, RC-218, R-218, and Octafluoropropane</t>
  </si>
  <si>
    <t>Perfluorocyclopropane</t>
  </si>
  <si>
    <r>
      <t>C-C</t>
    </r>
    <r>
      <rPr>
        <vertAlign val="subscript"/>
        <sz val="11"/>
        <color theme="1"/>
        <rFont val="Calibri"/>
        <family val="2"/>
        <scheme val="minor"/>
      </rPr>
      <t>3</t>
    </r>
    <r>
      <rPr>
        <sz val="11"/>
        <color theme="1"/>
        <rFont val="Calibri"/>
        <family val="2"/>
        <scheme val="minor"/>
      </rPr>
      <t>F</t>
    </r>
    <r>
      <rPr>
        <vertAlign val="subscript"/>
        <sz val="11"/>
        <color theme="1"/>
        <rFont val="Calibri"/>
        <family val="2"/>
        <scheme val="minor"/>
      </rPr>
      <t>6</t>
    </r>
  </si>
  <si>
    <t>PFC-3-1-10</t>
  </si>
  <si>
    <t>Perfluorobutane, R-610, Halocarbon 610, and Decafluorobutane</t>
  </si>
  <si>
    <t>PFC-318</t>
  </si>
  <si>
    <r>
      <t>C-C</t>
    </r>
    <r>
      <rPr>
        <vertAlign val="subscript"/>
        <sz val="11"/>
        <rFont val="Calibri"/>
        <family val="2"/>
        <scheme val="minor"/>
      </rPr>
      <t>4</t>
    </r>
    <r>
      <rPr>
        <sz val="11"/>
        <rFont val="Calibri"/>
        <family val="2"/>
        <scheme val="minor"/>
      </rPr>
      <t>F</t>
    </r>
    <r>
      <rPr>
        <vertAlign val="subscript"/>
        <sz val="11"/>
        <rFont val="Calibri"/>
        <family val="2"/>
        <scheme val="minor"/>
      </rPr>
      <t>8</t>
    </r>
  </si>
  <si>
    <t>Perfluorocyclobutane, Freon-C-31,8 and Octafluorocyclobutane</t>
  </si>
  <si>
    <t>Perfluoropentane, R-41(12), Perflenapent, and Dodecafluoropentane</t>
  </si>
  <si>
    <t>Perfluorohexane, FC-72, Perfluoro-compound FC-72, and Tetradecafluorohexane</t>
  </si>
  <si>
    <t>PFC-4-1-12</t>
  </si>
  <si>
    <t>PFC-5-1-14</t>
  </si>
  <si>
    <t>PFC-9-1-18</t>
  </si>
  <si>
    <r>
      <t>C</t>
    </r>
    <r>
      <rPr>
        <vertAlign val="subscript"/>
        <sz val="11"/>
        <rFont val="Calibri"/>
        <family val="2"/>
        <scheme val="minor"/>
      </rPr>
      <t>10</t>
    </r>
    <r>
      <rPr>
        <sz val="11"/>
        <rFont val="Calibri"/>
        <family val="2"/>
        <scheme val="minor"/>
      </rPr>
      <t>F</t>
    </r>
    <r>
      <rPr>
        <vertAlign val="subscript"/>
        <sz val="11"/>
        <rFont val="Calibri"/>
        <family val="2"/>
        <scheme val="minor"/>
      </rPr>
      <t>18</t>
    </r>
  </si>
  <si>
    <r>
      <t>CHF</t>
    </r>
    <r>
      <rPr>
        <vertAlign val="subscript"/>
        <sz val="11"/>
        <color theme="1"/>
        <rFont val="Calibri"/>
        <family val="2"/>
        <scheme val="minor"/>
      </rPr>
      <t>2</t>
    </r>
    <r>
      <rPr>
        <sz val="11"/>
        <color theme="1"/>
        <rFont val="Calibri"/>
        <family val="2"/>
        <scheme val="minor"/>
      </rPr>
      <t>OCHCICF</t>
    </r>
    <r>
      <rPr>
        <vertAlign val="subscript"/>
        <sz val="11"/>
        <color theme="1"/>
        <rFont val="Calibri"/>
        <family val="2"/>
        <scheme val="minor"/>
      </rPr>
      <t>3</t>
    </r>
  </si>
  <si>
    <t>Isoflurane</t>
  </si>
  <si>
    <t>Hydrofluoroethers (HFEs)</t>
  </si>
  <si>
    <t>E1730133</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</si>
  <si>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F</t>
    </r>
    <r>
      <rPr>
        <vertAlign val="subscript"/>
        <sz val="11"/>
        <color theme="1"/>
        <rFont val="Calibri"/>
        <family val="2"/>
        <scheme val="minor"/>
      </rPr>
      <t>4</t>
    </r>
    <r>
      <rPr>
        <sz val="11"/>
        <color theme="1"/>
        <rFont val="Calibri"/>
        <family val="2"/>
        <scheme val="minor"/>
      </rPr>
      <t>OCHF</t>
    </r>
  </si>
  <si>
    <t>H-Galden 1040x, HG-11</t>
  </si>
  <si>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</si>
  <si>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t>HFE-7100</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</si>
  <si>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</si>
  <si>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</si>
  <si>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</si>
  <si>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CHFOCF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</si>
  <si>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</si>
  <si>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HG-10</t>
  </si>
  <si>
    <r>
      <t>CHF</t>
    </r>
    <r>
      <rPr>
        <vertAlign val="subscript"/>
        <sz val="11"/>
        <color theme="1"/>
        <rFont val="Calibri"/>
        <family val="2"/>
        <scheme val="minor"/>
      </rPr>
      <t>2</t>
    </r>
    <r>
      <rPr>
        <sz val="11"/>
        <color theme="1"/>
        <rFont val="Calibri"/>
        <family val="2"/>
        <scheme val="minor"/>
      </rPr>
      <t>OCHFCF</t>
    </r>
    <r>
      <rPr>
        <vertAlign val="subscript"/>
        <sz val="11"/>
        <color theme="1"/>
        <rFont val="Calibri"/>
        <family val="2"/>
        <scheme val="minor"/>
      </rPr>
      <t>3</t>
    </r>
  </si>
  <si>
    <t>Desflurane</t>
  </si>
  <si>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</si>
  <si>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</si>
  <si>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</si>
  <si>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</si>
  <si>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</si>
  <si>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</si>
  <si>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</si>
  <si>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</si>
  <si>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OCHF</t>
    </r>
    <r>
      <rPr>
        <vertAlign val="subscript"/>
        <sz val="11"/>
        <color theme="1"/>
        <rFont val="Calibri"/>
        <family val="2"/>
        <scheme val="minor"/>
      </rPr>
      <t>2</t>
    </r>
  </si>
  <si>
    <t>HG-01</t>
  </si>
  <si>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</si>
  <si>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</si>
  <si>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</si>
  <si>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CHFCF</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</si>
  <si>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OCF</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</si>
  <si>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</si>
  <si>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CHF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2</t>
    </r>
    <r>
      <rPr>
        <sz val="11"/>
        <color theme="1"/>
        <rFont val="Calibri"/>
        <family val="2"/>
        <scheme val="minor"/>
      </rPr>
      <t>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</si>
  <si>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</si>
  <si>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r>
      <t>CH</t>
    </r>
    <r>
      <rPr>
        <vertAlign val="subscript"/>
        <sz val="11"/>
        <color theme="1"/>
        <rFont val="Calibri"/>
        <family val="2"/>
        <scheme val="minor"/>
      </rPr>
      <t>3</t>
    </r>
    <r>
      <rPr>
        <sz val="11"/>
        <color theme="1"/>
        <rFont val="Calibri"/>
        <family val="2"/>
        <scheme val="minor"/>
      </rPr>
      <t>CH</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CHF</t>
    </r>
    <r>
      <rPr>
        <vertAlign val="subscript"/>
        <sz val="11"/>
        <color theme="1"/>
        <rFont val="Calibri"/>
        <family val="2"/>
        <scheme val="minor"/>
      </rPr>
      <t>2</t>
    </r>
  </si>
  <si>
    <t>HFE-7000</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</si>
  <si>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OCH</t>
    </r>
    <r>
      <rPr>
        <vertAlign val="subscript"/>
        <sz val="11"/>
        <color theme="1"/>
        <rFont val="Calibri"/>
        <family val="2"/>
        <scheme val="minor"/>
      </rPr>
      <t>3</t>
    </r>
  </si>
  <si>
    <t>HFE-7100 (Chemical Blend)</t>
  </si>
  <si>
    <t>HFE-7200</t>
  </si>
  <si>
    <t>HFE-7200 (Chemical Blend)</t>
  </si>
  <si>
    <r>
      <t>C</t>
    </r>
    <r>
      <rPr>
        <vertAlign val="subscript"/>
        <sz val="11"/>
        <color theme="1"/>
        <rFont val="Calibri"/>
        <family val="2"/>
        <scheme val="minor"/>
      </rPr>
      <t>4</t>
    </r>
    <r>
      <rPr>
        <sz val="11"/>
        <color theme="1"/>
        <rFont val="Calibri"/>
        <family val="2"/>
        <scheme val="minor"/>
      </rPr>
      <t>F</t>
    </r>
    <r>
      <rPr>
        <vertAlign val="subscript"/>
        <sz val="11"/>
        <color theme="1"/>
        <rFont val="Calibri"/>
        <family val="2"/>
        <scheme val="minor"/>
      </rPr>
      <t>9</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</si>
  <si>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CFCF</t>
    </r>
    <r>
      <rPr>
        <vertAlign val="subscript"/>
        <sz val="11"/>
        <color theme="1"/>
        <rFont val="Calibri"/>
        <family val="2"/>
        <scheme val="minor"/>
      </rPr>
      <t>2</t>
    </r>
    <r>
      <rPr>
        <sz val="11"/>
        <color theme="1"/>
        <rFont val="Calibri"/>
        <family val="2"/>
        <scheme val="minor"/>
      </rPr>
      <t>OC</t>
    </r>
    <r>
      <rPr>
        <vertAlign val="subscript"/>
        <sz val="11"/>
        <color theme="1"/>
        <rFont val="Calibri"/>
        <family val="2"/>
        <scheme val="minor"/>
      </rPr>
      <t>2</t>
    </r>
    <r>
      <rPr>
        <sz val="11"/>
        <color theme="1"/>
        <rFont val="Calibri"/>
        <family val="2"/>
        <scheme val="minor"/>
      </rPr>
      <t>H</t>
    </r>
    <r>
      <rPr>
        <vertAlign val="subscript"/>
        <sz val="11"/>
        <color theme="1"/>
        <rFont val="Calibri"/>
        <family val="2"/>
        <scheme val="minor"/>
      </rPr>
      <t>5</t>
    </r>
  </si>
  <si>
    <r>
      <t>CH</t>
    </r>
    <r>
      <rPr>
        <vertAlign val="subscript"/>
        <sz val="11"/>
        <color theme="1"/>
        <rFont val="Calibri"/>
        <family val="2"/>
        <scheme val="minor"/>
      </rPr>
      <t>2</t>
    </r>
    <r>
      <rPr>
        <sz val="11"/>
        <color theme="1"/>
        <rFont val="Calibri"/>
        <family val="2"/>
        <scheme val="minor"/>
      </rPr>
      <t>FOCH(CF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</si>
  <si>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Sevoflurane</t>
  </si>
  <si>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CHOCH</t>
    </r>
    <r>
      <rPr>
        <vertAlign val="subscript"/>
        <sz val="11"/>
        <color theme="1"/>
        <rFont val="Calibri"/>
        <family val="2"/>
        <scheme val="minor"/>
      </rPr>
      <t>3</t>
    </r>
  </si>
  <si>
    <r>
      <t>CHF</t>
    </r>
    <r>
      <rPr>
        <vertAlign val="subscript"/>
        <sz val="11"/>
        <color theme="1"/>
        <rFont val="Calibri"/>
        <family val="2"/>
        <scheme val="minor"/>
      </rPr>
      <t>2</t>
    </r>
    <r>
      <rPr>
        <sz val="11"/>
        <color theme="1"/>
        <rFont val="Calibri"/>
        <family val="2"/>
        <scheme val="minor"/>
      </rPr>
      <t>OCH(CF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</si>
  <si>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r>
      <t>CH</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</si>
  <si>
    <t>HT-70</t>
  </si>
  <si>
    <t>NA</t>
  </si>
  <si>
    <r>
      <t>X-(CF</t>
    </r>
    <r>
      <rPr>
        <vertAlign val="subscript"/>
        <sz val="11"/>
        <color theme="1"/>
        <rFont val="Calibri"/>
        <family val="2"/>
        <scheme val="minor"/>
      </rPr>
      <t>2</t>
    </r>
    <r>
      <rPr>
        <sz val="11"/>
        <color theme="1"/>
        <rFont val="Calibri"/>
        <family val="2"/>
        <scheme val="minor"/>
      </rPr>
      <t>)</t>
    </r>
    <r>
      <rPr>
        <vertAlign val="subscript"/>
        <sz val="11"/>
        <color theme="1"/>
        <rFont val="Calibri"/>
        <family val="2"/>
        <scheme val="minor"/>
      </rPr>
      <t>4</t>
    </r>
    <r>
      <rPr>
        <sz val="11"/>
        <color theme="1"/>
        <rFont val="Calibri"/>
        <family val="2"/>
        <scheme val="minor"/>
      </rPr>
      <t>CH(OH)-X</t>
    </r>
  </si>
  <si>
    <r>
      <t>(CF</t>
    </r>
    <r>
      <rPr>
        <vertAlign val="subscript"/>
        <sz val="11"/>
        <color theme="1"/>
        <rFont val="Calibri"/>
        <family val="2"/>
        <scheme val="minor"/>
      </rPr>
      <t>3</t>
    </r>
    <r>
      <rPr>
        <sz val="11"/>
        <color theme="1"/>
        <rFont val="Calibri"/>
        <family val="2"/>
        <scheme val="minor"/>
      </rPr>
      <t>)</t>
    </r>
    <r>
      <rPr>
        <vertAlign val="subscript"/>
        <sz val="11"/>
        <color theme="1"/>
        <rFont val="Calibri"/>
        <family val="2"/>
        <scheme val="minor"/>
      </rPr>
      <t>2</t>
    </r>
    <r>
      <rPr>
        <sz val="11"/>
        <color theme="1"/>
        <rFont val="Calibri"/>
        <family val="2"/>
        <scheme val="minor"/>
      </rPr>
      <t>CHOH</t>
    </r>
  </si>
  <si>
    <r>
      <t>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CH</t>
    </r>
    <r>
      <rPr>
        <vertAlign val="subscript"/>
        <sz val="11"/>
        <color theme="1"/>
        <rFont val="Calibri"/>
        <family val="2"/>
        <scheme val="minor"/>
      </rPr>
      <t>2</t>
    </r>
    <r>
      <rPr>
        <sz val="11"/>
        <color theme="1"/>
        <rFont val="Calibri"/>
        <family val="2"/>
        <scheme val="minor"/>
      </rPr>
      <t>OH</t>
    </r>
  </si>
  <si>
    <r>
      <t>CF</t>
    </r>
    <r>
      <rPr>
        <vertAlign val="subscript"/>
        <sz val="11"/>
        <color theme="1"/>
        <rFont val="Calibri"/>
        <family val="2"/>
        <scheme val="minor"/>
      </rPr>
      <t>3</t>
    </r>
    <r>
      <rPr>
        <sz val="11"/>
        <color theme="1"/>
        <rFont val="Calibri"/>
        <family val="2"/>
        <scheme val="minor"/>
      </rPr>
      <t>OCF(CF</t>
    </r>
    <r>
      <rPr>
        <vertAlign val="subscript"/>
        <sz val="11"/>
        <color theme="1"/>
        <rFont val="Calibri"/>
        <family val="2"/>
        <scheme val="minor"/>
      </rPr>
      <t>3</t>
    </r>
    <r>
      <rPr>
        <sz val="11"/>
        <color theme="1"/>
        <rFont val="Calibri"/>
        <family val="2"/>
        <scheme val="minor"/>
      </rPr>
      <t>)CF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2</t>
    </r>
    <r>
      <rPr>
        <sz val="11"/>
        <color theme="1"/>
        <rFont val="Calibri"/>
        <family val="2"/>
        <scheme val="minor"/>
      </rPr>
      <t>OCF</t>
    </r>
    <r>
      <rPr>
        <vertAlign val="subscript"/>
        <sz val="11"/>
        <color theme="1"/>
        <rFont val="Calibri"/>
        <family val="2"/>
        <scheme val="minor"/>
      </rPr>
      <t>3</t>
    </r>
  </si>
  <si>
    <r>
      <t xml:space="preserve">ADDITIONAL INSTRUCTIONS FOR </t>
    </r>
    <r>
      <rPr>
        <b/>
        <i/>
        <u/>
        <sz val="12"/>
        <color theme="1"/>
        <rFont val="Calibri"/>
        <family val="2"/>
        <scheme val="minor"/>
      </rPr>
      <t>'Miscellaneous Emission Units'</t>
    </r>
  </si>
  <si>
    <t>Diesel</t>
  </si>
  <si>
    <t>200 horsepower Emergency Generator</t>
  </si>
  <si>
    <t>20.5 MMBtu/hr Boiler</t>
  </si>
  <si>
    <t>Distillate Oil</t>
  </si>
  <si>
    <t>If you have other emission units at your facility, such as boilers rated at or above 10 million Btu's per hour (10 MMBtu/hr, or approximately 300 horsepower), stationary engines (including emergency generators, gasoline storage and distribution equipment, or other units that are not directly related to the receiving, handling, shipping, or processing of grain, these units need to be included as 'Miscellaneous Emission Units'.  After you have completed filling in all emission unit information for your grain elevator and/or feed milling operation, scroll down to the portion of Table 3-A designated for Miscellaneous Emission Units.
For the Emission "Point #", add '1' to the last emission point number that appears in Table 3-A.  For example, if the last Emission Unit # is '7-1', then the first emission point number under the Miscellaneous Emission Units would be '8'.  For each emission unit, you must also assign a 'Segment #'.  If there's only one process associated with that unit, then the emission segment number should be '1'.  If the emission unit has multiple processes, then continue numbering '1', '2', '3', and so on for each additional process.  Continue this numbering scheme for each miscellaneous emission unit at your facility.  An example is provided below.</t>
  </si>
  <si>
    <r>
      <t>Does your facility have any miscellaneous emission units like boilers rated at or above
10 MMBtu/hr (</t>
    </r>
    <r>
      <rPr>
        <b/>
        <u/>
        <sz val="11"/>
        <color theme="1"/>
        <rFont val="Calibri"/>
        <family val="2"/>
        <scheme val="minor"/>
      </rPr>
      <t>&gt;</t>
    </r>
    <r>
      <rPr>
        <b/>
        <sz val="11"/>
        <color theme="1"/>
        <rFont val="Calibri"/>
        <family val="2"/>
        <scheme val="minor"/>
      </rPr>
      <t xml:space="preserve"> 300 horsepower), emergency generators, gasoline pumps/tanks, etc.?.........      Yes             No</t>
    </r>
  </si>
  <si>
    <t>Breathing Losses</t>
  </si>
  <si>
    <t>Working Losses</t>
  </si>
  <si>
    <t>Fixed-Roof Gasoline Storage Tanks</t>
  </si>
  <si>
    <t>Instructions for Section 3 - Table 3-B:  Stack / Release Point Information</t>
  </si>
  <si>
    <t>bushels</t>
  </si>
  <si>
    <t>tons</t>
  </si>
  <si>
    <t>Emission Unit Description</t>
  </si>
  <si>
    <t>Elevator Legs</t>
  </si>
  <si>
    <t>Storage Bin Vents</t>
  </si>
  <si>
    <t>Grain Hammermilling</t>
  </si>
  <si>
    <t>Emission Factors Used in Calculation Table</t>
  </si>
  <si>
    <t>WebFIRE Emission Factors</t>
  </si>
  <si>
    <r>
      <t xml:space="preserve">Table 5-A:  MPTE </t>
    </r>
    <r>
      <rPr>
        <b/>
        <sz val="11"/>
        <color theme="1"/>
        <rFont val="Calibri"/>
        <family val="2"/>
      </rPr>
      <t>–</t>
    </r>
    <r>
      <rPr>
        <b/>
        <sz val="11"/>
        <color theme="1"/>
        <rFont val="Arial"/>
        <family val="2"/>
      </rPr>
      <t xml:space="preserve"> Regulated Air Pollutant Emissions</t>
    </r>
  </si>
  <si>
    <t>Instructions for Section 5 - Table 5-A:  Maximum Potential to Emit (MPTE) - Regulated Air Pollutant Emissions</t>
  </si>
  <si>
    <t>As seen in the example table below, the emission unit numbers and SCC codes entered on Table 3-A have been automatically imported into Table 5-A.  In each row than contains an emission unit, the cells highlighted in yellow indicates a required entry.  The following items will offer a further explanation of what is required in each column.</t>
  </si>
  <si>
    <r>
      <t xml:space="preserve">Provide the average </t>
    </r>
    <r>
      <rPr>
        <b/>
        <u/>
        <sz val="11"/>
        <rFont val="Calibri"/>
        <family val="2"/>
        <scheme val="minor"/>
      </rPr>
      <t>loaded</t>
    </r>
    <r>
      <rPr>
        <b/>
        <sz val="11"/>
        <rFont val="Calibri"/>
        <family val="2"/>
        <scheme val="minor"/>
      </rPr>
      <t xml:space="preserve"> weight of all grain receiving trucks (in tons):</t>
    </r>
  </si>
  <si>
    <r>
      <t xml:space="preserve">Provide the average </t>
    </r>
    <r>
      <rPr>
        <b/>
        <u/>
        <sz val="11"/>
        <rFont val="Calibri"/>
        <family val="2"/>
        <scheme val="minor"/>
      </rPr>
      <t>empty</t>
    </r>
    <r>
      <rPr>
        <b/>
        <sz val="11"/>
        <rFont val="Calibri"/>
        <family val="2"/>
        <scheme val="minor"/>
      </rPr>
      <t xml:space="preserve"> weight of all grain receiving trucks (in tons):</t>
    </r>
  </si>
  <si>
    <r>
      <t xml:space="preserve">Provide the average </t>
    </r>
    <r>
      <rPr>
        <b/>
        <u/>
        <sz val="11"/>
        <rFont val="Calibri"/>
        <family val="2"/>
        <scheme val="minor"/>
      </rPr>
      <t>loaded</t>
    </r>
    <r>
      <rPr>
        <b/>
        <sz val="11"/>
        <rFont val="Calibri"/>
        <family val="2"/>
        <scheme val="minor"/>
      </rPr>
      <t xml:space="preserve"> weight of all grain shipping trucks (in tons):</t>
    </r>
  </si>
  <si>
    <r>
      <t xml:space="preserve">Provide the average </t>
    </r>
    <r>
      <rPr>
        <b/>
        <u/>
        <sz val="11"/>
        <rFont val="Calibri"/>
        <family val="2"/>
        <scheme val="minor"/>
      </rPr>
      <t>empty</t>
    </r>
    <r>
      <rPr>
        <b/>
        <sz val="11"/>
        <rFont val="Calibri"/>
        <family val="2"/>
        <scheme val="minor"/>
      </rPr>
      <t xml:space="preserve"> weight of all grain shipping trucks (in tons):</t>
    </r>
  </si>
  <si>
    <t>Receiving VMT Totals</t>
  </si>
  <si>
    <t>Shipping VMT Totals</t>
  </si>
  <si>
    <t>Grain Storage Silos/Bins/Buildings/Piles</t>
  </si>
  <si>
    <r>
      <t xml:space="preserve">Enter all distances in units of </t>
    </r>
    <r>
      <rPr>
        <b/>
        <u/>
        <sz val="12"/>
        <rFont val="Calibri"/>
        <family val="2"/>
        <scheme val="minor"/>
      </rPr>
      <t>feet</t>
    </r>
    <r>
      <rPr>
        <b/>
        <sz val="12"/>
        <rFont val="Calibri"/>
        <family val="2"/>
        <scheme val="minor"/>
      </rPr>
      <t>, but do not include any labels in the boxes.</t>
    </r>
  </si>
  <si>
    <t>Instructions for Section 5 - Table 5-C:  Maximum Potential to Emit (MPTE) - HAP Emissions from HAP-Containing Materials</t>
  </si>
  <si>
    <t>Instructions for Section 5 - Table 5-B:  Maximum Potential to Emit (MPTE) - VOC Emissions from VOC-Containing Materials</t>
  </si>
  <si>
    <t>Class I Source?</t>
  </si>
  <si>
    <t>Class II Source?</t>
  </si>
  <si>
    <t>No permit required?</t>
  </si>
  <si>
    <t>Operating Permit Classification</t>
  </si>
  <si>
    <t>Construction Permit Classification</t>
  </si>
  <si>
    <t>Const.Pmt. required?</t>
  </si>
  <si>
    <t>Permit Emission Limit Matrix</t>
  </si>
  <si>
    <t>T-BACT required?</t>
  </si>
  <si>
    <t>Const.Pmt. - also new Class I</t>
  </si>
  <si>
    <t>OpPmt Major Source - 
Require Only Title V Permit</t>
  </si>
  <si>
    <t>ConstPmt Major Source - Require ConstPmt &amp; Title V Permit</t>
  </si>
  <si>
    <t>OpPmt Major Source - 
Synthetic Minor Permit</t>
  </si>
  <si>
    <t>OpPmt Major Source - 
Class I or II avoidance construction permit</t>
  </si>
  <si>
    <t>OpPmt Class II Source - 
Not Avoid Class II pmt</t>
  </si>
  <si>
    <t>Op Pmt Class II Source -
ConstPmt to avoid Class II permit</t>
  </si>
  <si>
    <t>ConstPmt Major Source - Require ConstPmt &amp; Class II Operating Pmt</t>
  </si>
  <si>
    <t>ConstPmt Major Source - Require ONLY Construction Permit</t>
  </si>
  <si>
    <t>Subject to MACT?</t>
  </si>
  <si>
    <t>Part A:  Permitting Requirement Determination</t>
  </si>
  <si>
    <t>Submit Sections 1-5, along with this page of Section 6 to the Department to demonstrate that no permit is required.</t>
  </si>
  <si>
    <t>Const. Permit, Class II Permit, &amp; Toxic BACT Threshold</t>
  </si>
  <si>
    <t>Class I Permit &amp;Toxic MACT Threshold</t>
  </si>
  <si>
    <t>Class II Operating Permit &amp; Construction Permit Threshold</t>
  </si>
  <si>
    <t>Class I Operating Permit Threshold</t>
  </si>
  <si>
    <t>Greenhouse Gases</t>
  </si>
  <si>
    <t>ConstPmt Minor Source - Require ONLY Construction Permit</t>
  </si>
  <si>
    <t>ConstPmt Minor Source - Require  Construction Permit &amp; Class II Operating Permit</t>
  </si>
  <si>
    <t>By choosing to limit actual emissions to less than BOTH the Class II Operating Permit thresholds and the major source (Class I or Title V) thresholds, you will only be required to obtain a Construction Permit permit for your source.  Proceed with the remainder of this section.</t>
  </si>
  <si>
    <t>By choosing to limit actual emissions to less than the Class II Operating Permit thresholds, you will only be required to obtain a Construction Permit permit for your source.  Proceed with the remainder of this section.</t>
  </si>
  <si>
    <t>By obtaining a Construction Permit containing requirements to maintain actual emissions below Class I or Class II Operating Permit thresholds, you can avoid being classified as a 'Synthetic Minor Source', or you can avoid the requirement to obtain a Class II operating permit for your source, depending on what you choose to accept.  Proceed to Part B below.</t>
  </si>
  <si>
    <t>Do you wish to obtain a construction permit containing federally enforceable requirements to maintain actual facility-wide emissions below Class II operating permit thresholds?</t>
  </si>
  <si>
    <t>Do you wish to obtain a Construction Permit containing federally enforceable requirements to maintain actual facility-wide emissions below Class II operating permit thresholds?</t>
  </si>
  <si>
    <t>Do you wish to take federally enforceable requirements in your operating permit to maintain actual facility-wide emissions below Class I operating permit thresholds?</t>
  </si>
  <si>
    <t>Do you wish to obtain a Construction Permit containing federally enforceable requirements to maintain actual facility-wide emissions below Class I and/or Class II operating permit thresholds?</t>
  </si>
  <si>
    <t xml:space="preserve">The maximum potential to emit for this construction/reconstruction/modification does not exceed any applicable permitting threshold, and no Operating Permit or Construction Permit is necessary.  </t>
  </si>
  <si>
    <t>Do you wish to obtain a Construction Permit containing federally enforceable requirements to maintain actual facility-wide emissions below Class I (Title V) operating permit thresholds?</t>
  </si>
  <si>
    <t>Do you wish to accept federally enforceable requirements to limit actual emissions of HAPs associated with this project to less than 2.5 tons for each individual HAP, and less than 10 tons for total combined HAPs?</t>
  </si>
  <si>
    <t>By choosing NOT to limit actual emissions to less than the Class II Operating Permit thresholds, you will be required to obtain a Construction Permit permit AND a Class II Operating Permit for your source.  Proceed with the remainder of this section.</t>
  </si>
  <si>
    <t>By NOT accepting requirements to maintain actual emissions below major source thresholds, you will be required to obtain a Class I (Title V) Operating Permit for your source.  Proceed with the remainder of this section.</t>
  </si>
  <si>
    <t>By NOT accepting requirements to maintain actual emissions below major source thresholds, in addition to a Construction Permit, you will be required to obtain a Class I (Title V) Operating Permit for your source.  Proceed with the remainder of this section.</t>
  </si>
  <si>
    <t>By choosing to limit actual emissions to less than major source thresholds, while also choosing NOT to limit actual emissions to less than Class II Operating Permit thresholds, in addition to a Construction Permit, you will be required to obtain a Class II Operating Permit for your source.  Proceed with the remainder of this section.</t>
  </si>
  <si>
    <t>By accepting limits in your Construction Permit to keep actual individual HAP emissions less than 2.5 tons per year, and actual total HAP emissions less than 10 tons per year, you will NOT be required to submit a 'Toxics BACT' analysis.  Proceed with the remainder of this section.</t>
  </si>
  <si>
    <t>By NOT accepting limits in your Construction Permit to keep actual individual HAP emissions less than 2.5 tons per year, and actual total HAP emissions less than 10 tons per year, you will be required to submit a 'Toxics BACT' analysis, which may require the installation of control equipment to reduce HAP emissions.  Proceed with the remainder of this section.</t>
  </si>
  <si>
    <t>By obtaining a Construction Permit containing requirements to maintain actual emissions below Class II Permit thresholds, you will avoid the requirement to obtain a Class II Operating Permit for your source.  Proceed with the remainder of this section.</t>
  </si>
  <si>
    <t>By accepting requirements to maintain actual emissions below the major source thresholds, you will avoid the requirement to obtain a Class I (Title V) Operating Permit for your source.  Proceed with the remainder of this section.</t>
  </si>
  <si>
    <t>By NOT obtaining a Construction Permit containing requirements to maintain actual emissions to less than the Class II Operating Permit thresholds, you will be required to obtain a Class II Operating Permit for your source.  Proceed with the remainder of this section.</t>
  </si>
  <si>
    <t>This project's maximum potential to emit hazardous air pollutants (HAPs) exceeds the 'toxics Best Available Control Technology' (T-BACT) thresholds, and may require you to install control equipment to reduce HAPs.  Please answer the following question.</t>
  </si>
  <si>
    <t>This project's maximum potential to emit exceeds Construction Permit thresholds, and will require a Construction Permit.  You may also be required to obtain a Class II Operating Permit unless you accept federally enforceable emission limits.  Please answer the following question.</t>
  </si>
  <si>
    <t>This project's maximum potential to emit exceeds Construction Permit thresholds, and will require a Construction Permit.  You may also be required to obtain a Class I (Title V) Operating Permit unless you accept federally enforceable emission limits.  Please answer the following questions.</t>
  </si>
  <si>
    <t>Your source's facility-wide maximum potential to emit exceeds major source thresholds, and may require a Class I operating permit.  However, if you agree to accept federally enforceable requirements to maintain actual emissions to less than major source thresholds, you can avoid the requirement to obtain a Class I (Title V) operating permit.  Please answer the following questions.</t>
  </si>
  <si>
    <t>In Part A, you have indicated that you would like to obtain a construction permit that would limit potential facility-wide emissions to less than the Class I or Class II Operating Permit thresholds.  Please select from the following options:</t>
  </si>
  <si>
    <r>
      <t xml:space="preserve">Part B:  Construction Permit Information </t>
    </r>
    <r>
      <rPr>
        <sz val="13"/>
        <color theme="1"/>
        <rFont val="Calibri"/>
        <family val="2"/>
        <scheme val="minor"/>
      </rPr>
      <t>(applies only to major sources avoiding a Class I permit)</t>
    </r>
  </si>
  <si>
    <t>Continue entering data in a similar manner as prescribed.  Information entered in this table will be used to populate data in Table 7-D of this application.</t>
  </si>
  <si>
    <t>SECTION 6 – SOURCE CLASS &amp; PERMIT DETERMINATION</t>
  </si>
  <si>
    <t>SECTION 6:  SOURCE CLASS &amp; PERMIT DETERMINATION</t>
  </si>
  <si>
    <t>As seen in the Table 6-A below, the emission unit numbers and SCC codes entered on Table 3-A have been automatically imported.  In addition, the calculated maximum annual throughput rates and throughput units from Table 5-A have been imported as well.</t>
  </si>
  <si>
    <r>
      <t xml:space="preserve">This table is only to be used for the purpose of a construction permit application, </t>
    </r>
    <r>
      <rPr>
        <b/>
        <u/>
        <sz val="14"/>
        <color rgb="FFFF0000"/>
        <rFont val="Calibri"/>
        <family val="2"/>
        <scheme val="minor"/>
      </rPr>
      <t>OR</t>
    </r>
    <r>
      <rPr>
        <b/>
        <sz val="14"/>
        <color rgb="FFFF0000"/>
        <rFont val="Calibri"/>
        <family val="2"/>
        <scheme val="minor"/>
      </rPr>
      <t xml:space="preserve"> if you are seeking to obtain a construction permit limiting facility-wide potential emissions </t>
    </r>
    <r>
      <rPr>
        <b/>
        <u/>
        <sz val="14"/>
        <color rgb="FFFF0000"/>
        <rFont val="Calibri"/>
        <family val="2"/>
        <scheme val="minor"/>
      </rPr>
      <t>in addition</t>
    </r>
    <r>
      <rPr>
        <b/>
        <sz val="14"/>
        <color rgb="FFFF0000"/>
        <rFont val="Calibri"/>
        <family val="2"/>
        <scheme val="minor"/>
      </rPr>
      <t xml:space="preserve"> to an operating permit.  If you are not seeking to obtain a construction permit, proceed to Table 7-A.</t>
    </r>
  </si>
  <si>
    <r>
      <t xml:space="preserve">Using the drop-down box provided, indicate whether or not you would like to accept unit-specific emission limits for any 'Miscellaneous Emission Units' as part of the construction permit.  For those units that you do agree to limit, enter the limit for each pollutant in units of </t>
    </r>
    <r>
      <rPr>
        <b/>
        <i/>
        <u/>
        <sz val="11"/>
        <color theme="1"/>
        <rFont val="Arial"/>
        <family val="2"/>
      </rPr>
      <t>pounds</t>
    </r>
    <r>
      <rPr>
        <b/>
        <i/>
        <sz val="11"/>
        <color theme="1"/>
        <rFont val="Arial"/>
        <family val="2"/>
      </rPr>
      <t>.  For pollutants you do not wish to limit, enter zero (0).</t>
    </r>
  </si>
  <si>
    <r>
      <t xml:space="preserve">As shown in the example tables below, both emission units 9-1 and 9-2 (which represent the 20.5 MMBtu/hr boiler), have different emissions associated with them for fuel oil and natural gas operation.  However the boiler cannot run simultaneously on natural gas and fuel oil for 8,760 hours/yr.  For scenarios like this, compare the emission values between the two emission unit #'s associated with a single emission point, and replace the lowest emission value for each pollutant with a zero (0).  This will ensure that a true maximum potential to emit for your facility is calculated, and that you are not penalized for emissions from mutually-exclusive operating scenarios.  Repeat this process for any other emission units with mutually-exclusive operating scenarios.  
The first example table shows the cells (highlighted in </t>
    </r>
    <r>
      <rPr>
        <b/>
        <u/>
        <sz val="11"/>
        <rFont val="Calibri"/>
        <family val="2"/>
        <scheme val="minor"/>
      </rPr>
      <t>green</t>
    </r>
    <r>
      <rPr>
        <b/>
        <sz val="11"/>
        <rFont val="Calibri"/>
        <family val="2"/>
        <scheme val="minor"/>
      </rPr>
      <t xml:space="preserve">) with the lower emission values for the respective pollutant between the two operating scenarios (natural gas and fuel oil).  The second example table shows those lower values having been replaced with zeros.  Cells highlighted in </t>
    </r>
    <r>
      <rPr>
        <b/>
        <u/>
        <sz val="11"/>
        <rFont val="Calibri"/>
        <family val="2"/>
        <scheme val="minor"/>
      </rPr>
      <t>yellow</t>
    </r>
    <r>
      <rPr>
        <b/>
        <sz val="11"/>
        <rFont val="Calibri"/>
        <family val="2"/>
        <scheme val="minor"/>
      </rPr>
      <t xml:space="preserve"> indicate that an emission value must still be entered.</t>
    </r>
  </si>
  <si>
    <t>8-1</t>
  </si>
  <si>
    <t>9-1</t>
  </si>
  <si>
    <t>9-2</t>
  </si>
  <si>
    <t>10-1</t>
  </si>
  <si>
    <t>10-2</t>
  </si>
  <si>
    <t>Part F:  Table 6-A – Source-Elected Throughput Limits and Emission Control Requirements</t>
  </si>
  <si>
    <r>
      <t xml:space="preserve">Do you wish to accept </t>
    </r>
    <r>
      <rPr>
        <b/>
        <i/>
        <u/>
        <sz val="12"/>
        <color theme="1"/>
        <rFont val="Calibri"/>
        <family val="2"/>
        <scheme val="minor"/>
      </rPr>
      <t>facility-wide</t>
    </r>
    <r>
      <rPr>
        <b/>
        <i/>
        <sz val="12"/>
        <color theme="1"/>
        <rFont val="Calibri"/>
        <family val="2"/>
        <scheme val="minor"/>
      </rPr>
      <t xml:space="preserve"> emission limits as part of a construction permit?  If "Yes", enter the limit(s) in units of pounds.  For pollutants with no limit, enter zero (0).</t>
    </r>
  </si>
  <si>
    <t>Part G:  Source-Elected Facility-Wide Emission Limits</t>
  </si>
  <si>
    <t>Part H:  Source-Elected Emission Limits For All New/Modified Equipment</t>
  </si>
  <si>
    <t>If you indicated in Parts A and/or B of Section 6 that you would like to take a facility-wide emission limit(s) as a condition of a Construction Permit to avoid being classified as either a Class I or a Class II source, then complete the following.  If you do not wish to take a facility-wide emission limit(s), check "No" and proceed to Part H, below.</t>
  </si>
  <si>
    <t>If this is a Construction Permit application, and you wish accept emission limits that will apply to ALL new and/or modified equipment listed in Table 3-A (either to avoid requiring an operating permit, or to avoid applicability of 'Best Available Control Technology' (BACT) requirements, then complete the following.  If you do not wish to take such limits, or if this application is for an Operating Permit, check "No" and proceed to Part I, below.</t>
  </si>
  <si>
    <r>
      <t xml:space="preserve">Do you wish to accept emission limits </t>
    </r>
    <r>
      <rPr>
        <b/>
        <i/>
        <u/>
        <sz val="12"/>
        <color theme="1"/>
        <rFont val="Calibri"/>
        <family val="2"/>
        <scheme val="minor"/>
      </rPr>
      <t>that will apply to all of the emission units listed in Table 3-A</t>
    </r>
    <r>
      <rPr>
        <b/>
        <i/>
        <sz val="12"/>
        <color theme="1"/>
        <rFont val="Calibri"/>
        <family val="2"/>
        <scheme val="minor"/>
      </rPr>
      <t xml:space="preserve"> as part of a Construction Permit?  If "Yes", enter the limit(s) in units of </t>
    </r>
    <r>
      <rPr>
        <b/>
        <i/>
        <u/>
        <sz val="12"/>
        <color theme="1"/>
        <rFont val="Calibri"/>
        <family val="2"/>
        <scheme val="minor"/>
      </rPr>
      <t>pounds</t>
    </r>
    <r>
      <rPr>
        <b/>
        <i/>
        <sz val="12"/>
        <color theme="1"/>
        <rFont val="Calibri"/>
        <family val="2"/>
        <scheme val="minor"/>
      </rPr>
      <t>.  For pollutants with no limit, enter zero (0).</t>
    </r>
  </si>
  <si>
    <t>Part I:  Table 6-B – Source-Elected Unit-Specific Emission Limits</t>
  </si>
  <si>
    <t>14-1</t>
  </si>
  <si>
    <t>16-2, 15-1</t>
  </si>
  <si>
    <t>Table 7-D:  Actual Potential to Emit and Construction Permit Thresholds</t>
  </si>
  <si>
    <t>Instructions for Section 7 - Table 7-D:  Actual Potential to Emit and Construction Permit Thresholds</t>
  </si>
  <si>
    <t>Table 5-D:  Maximum Potential to Emit and Construction Permit Thresholds</t>
  </si>
  <si>
    <t>Instructions for Section 5 - Table 5-D:  Maximum Potential to Emit and Construction Permit Thresholds</t>
  </si>
  <si>
    <t>Trifluoromethyl sulphur pentafluoride*</t>
  </si>
  <si>
    <t>Nitrogen trifluoride*</t>
  </si>
  <si>
    <t>HCFE-235da2*</t>
  </si>
  <si>
    <t>(Octafluorotetramethy-lene) hydroxymethyl group*</t>
  </si>
  <si>
    <t>Bis(trifluoromethyl)-methanol*</t>
  </si>
  <si>
    <t>2,2,3,3,3-pentafluoropropanol*</t>
  </si>
  <si>
    <t>PFPMIE*</t>
  </si>
  <si>
    <t>HFE-125*</t>
  </si>
  <si>
    <t>HFE-43-10pccc*</t>
  </si>
  <si>
    <t>HFE-134*</t>
  </si>
  <si>
    <t>HFE-143a*</t>
  </si>
  <si>
    <t>HFE-227ea*</t>
  </si>
  <si>
    <t>HFE-236ca12*</t>
  </si>
  <si>
    <t>HFE-236ea2*</t>
  </si>
  <si>
    <t>HFE-236fa*</t>
  </si>
  <si>
    <t>HFE-245cb2*</t>
  </si>
  <si>
    <t>HFE-245fa1*</t>
  </si>
  <si>
    <t>HFE-245fa2*</t>
  </si>
  <si>
    <t>HFE-254cb2*</t>
  </si>
  <si>
    <t>HFE-263fb2*</t>
  </si>
  <si>
    <t>HFE-329mcc2*</t>
  </si>
  <si>
    <t>HFE-338mcf2*</t>
  </si>
  <si>
    <t>HFE-338pcc13*</t>
  </si>
  <si>
    <t>HFE-347mcc3*</t>
  </si>
  <si>
    <t>HFE-347mcf2*</t>
  </si>
  <si>
    <t>HFE-347pcf2*</t>
  </si>
  <si>
    <t>HFE-356mec3*</t>
  </si>
  <si>
    <t>HFE-356pcc3*</t>
  </si>
  <si>
    <t>HFE-356pcf2*</t>
  </si>
  <si>
    <t>HFE-356pcf3*</t>
  </si>
  <si>
    <t>HFE-365mcf3*</t>
  </si>
  <si>
    <t>HFE-374pc2*</t>
  </si>
  <si>
    <t>HFE-449s1*</t>
  </si>
  <si>
    <t>HFE-449s1 (Chemical Blend)*</t>
  </si>
  <si>
    <t>HFE-569sf2*</t>
  </si>
  <si>
    <t>HFE-569sf2 (Chemical Blend)*</t>
  </si>
  <si>
    <t>HFE-347mmz1*</t>
  </si>
  <si>
    <t>HFE-356mm1*</t>
  </si>
  <si>
    <t>HFE-338mmz1*</t>
  </si>
  <si>
    <t>HFE-347mmy1*</t>
  </si>
  <si>
    <r>
      <t xml:space="preserve">Names followed by an asterisk (*) denote pollutants that are only GHGs subject to the Greenhouse Gas Mandatory Reporting Rule set forth in 40 CFR Part 98.  These are not GHGs regulated by the PSD &amp; Title V Greenhouse Gas Tailoring Rule.  </t>
    </r>
    <r>
      <rPr>
        <b/>
        <u/>
        <sz val="11"/>
        <color theme="1"/>
        <rFont val="Calibri"/>
        <family val="2"/>
        <scheme val="minor"/>
      </rPr>
      <t>Do not include these pollutants</t>
    </r>
    <r>
      <rPr>
        <b/>
        <sz val="11"/>
        <color theme="1"/>
        <rFont val="Calibri"/>
        <family val="2"/>
        <scheme val="minor"/>
      </rPr>
      <t xml:space="preserve"> in your CO</t>
    </r>
    <r>
      <rPr>
        <b/>
        <vertAlign val="subscript"/>
        <sz val="11"/>
        <color theme="1"/>
        <rFont val="Calibri"/>
        <family val="2"/>
        <scheme val="minor"/>
      </rPr>
      <t>2</t>
    </r>
    <r>
      <rPr>
        <b/>
        <sz val="11"/>
        <color theme="1"/>
        <rFont val="Calibri"/>
        <family val="2"/>
        <scheme val="minor"/>
      </rPr>
      <t>e calculations.</t>
    </r>
  </si>
  <si>
    <t>Does your facility perform any of the following types of milling?............................................      Yes             No
  - wheat flour milling                           - wet corn milling                           - dry corn milling
  - rice milling                                           - soybean oil extraction</t>
  </si>
  <si>
    <t>The North American Industry Classification System (NAICS) code for your facility can be found at the address below.  A NAICS code(s) has already been provided.  Remove the provided code(s) if not applicable to your facility.</t>
  </si>
  <si>
    <t>Grain Receiving Emission Factors</t>
  </si>
  <si>
    <t>Grain Milling - Pellet Cooling Emission Factors</t>
  </si>
  <si>
    <t>Grain Milling - Grain Flaking Emission Factors</t>
  </si>
  <si>
    <t>Grain Milling - Hammermilling Emission Factors</t>
  </si>
  <si>
    <t>Grain Milling - Grain Grinding Emission Factors</t>
  </si>
  <si>
    <t>Grain Milling - Grain Cracking Emission Factors</t>
  </si>
  <si>
    <t>Grain Drying Emission Factors</t>
  </si>
  <si>
    <t>Grain Cleaning Emission Factors</t>
  </si>
  <si>
    <t>Grain Storage Emission Factors</t>
  </si>
  <si>
    <t>Grain Shipping Emission Factors</t>
  </si>
  <si>
    <t>Elevator Leg Emission Factors</t>
  </si>
  <si>
    <t>1-Loaded</t>
  </si>
  <si>
    <t>2-Loaded</t>
  </si>
  <si>
    <t>3-Loaded</t>
  </si>
  <si>
    <t>4-Loaded</t>
  </si>
  <si>
    <t>5-Loaded</t>
  </si>
  <si>
    <t>6-Loaded</t>
  </si>
  <si>
    <t>Paved</t>
  </si>
  <si>
    <t>Unpaved</t>
  </si>
  <si>
    <t>1-Empty</t>
  </si>
  <si>
    <t>2-Empty</t>
  </si>
  <si>
    <t>3-Empty</t>
  </si>
  <si>
    <t>4-Empty</t>
  </si>
  <si>
    <t>5-Empty</t>
  </si>
  <si>
    <t>6-Empty</t>
  </si>
  <si>
    <r>
      <t>Receiving Emission Totals - PM</t>
    </r>
    <r>
      <rPr>
        <b/>
        <vertAlign val="subscript"/>
        <sz val="11"/>
        <color theme="1"/>
        <rFont val="Calibri"/>
        <family val="2"/>
        <scheme val="minor"/>
      </rPr>
      <t>10</t>
    </r>
  </si>
  <si>
    <r>
      <t>Shipping Emission Totals - PM</t>
    </r>
    <r>
      <rPr>
        <b/>
        <vertAlign val="subscript"/>
        <sz val="11"/>
        <color theme="1"/>
        <rFont val="Calibri"/>
        <family val="2"/>
        <scheme val="minor"/>
      </rPr>
      <t>10</t>
    </r>
  </si>
  <si>
    <r>
      <t>Receiving Emission Totals - PM</t>
    </r>
    <r>
      <rPr>
        <b/>
        <vertAlign val="subscript"/>
        <sz val="11"/>
        <color theme="1"/>
        <rFont val="Calibri"/>
        <family val="2"/>
        <scheme val="minor"/>
      </rPr>
      <t>2.5</t>
    </r>
  </si>
  <si>
    <r>
      <t>Shipping Emission Totals - PM</t>
    </r>
    <r>
      <rPr>
        <b/>
        <vertAlign val="subscript"/>
        <sz val="11"/>
        <color theme="1"/>
        <rFont val="Calibri"/>
        <family val="2"/>
        <scheme val="minor"/>
      </rPr>
      <t>2.5</t>
    </r>
  </si>
  <si>
    <t>PM10 =</t>
  </si>
  <si>
    <t>PM2.5=</t>
  </si>
  <si>
    <t>Haul Road Emission Totals for Grain Elevator/Feed Mill</t>
  </si>
  <si>
    <t>VMT =</t>
  </si>
  <si>
    <t>From AP-42 Chapter 13.2.1 - The predictive emission factor for paved road travel</t>
  </si>
  <si>
    <t>Equation 1</t>
  </si>
  <si>
    <t>Where:</t>
  </si>
  <si>
    <r>
      <t>E = Emission Factor (lb PM</t>
    </r>
    <r>
      <rPr>
        <vertAlign val="subscript"/>
        <sz val="10"/>
        <rFont val="Arial"/>
        <family val="2"/>
      </rPr>
      <t>10</t>
    </r>
    <r>
      <rPr>
        <sz val="10"/>
        <color indexed="8"/>
        <rFont val="Calibri"/>
        <family val="2"/>
      </rPr>
      <t xml:space="preserve"> / VMT)</t>
    </r>
  </si>
  <si>
    <r>
      <rPr>
        <i/>
        <sz val="14"/>
        <color indexed="8"/>
        <rFont val="Calibri"/>
        <family val="2"/>
      </rPr>
      <t>k</t>
    </r>
    <r>
      <rPr>
        <sz val="10"/>
        <color indexed="8"/>
        <rFont val="Calibri"/>
        <family val="2"/>
      </rPr>
      <t xml:space="preserve"> = particle size multiplier</t>
    </r>
  </si>
  <si>
    <t>=</t>
  </si>
  <si>
    <t>for PM10 in lbs/VMT - from AP-42 Table 13.2.1-1</t>
  </si>
  <si>
    <t>for PM2.5 in lbs/VMT - from AP-42 Table 13.2.1-1</t>
  </si>
  <si>
    <r>
      <rPr>
        <i/>
        <sz val="14"/>
        <color indexed="8"/>
        <rFont val="Calibri"/>
        <family val="2"/>
      </rPr>
      <t>sL</t>
    </r>
    <r>
      <rPr>
        <sz val="10"/>
        <color indexed="8"/>
        <rFont val="Calibri"/>
        <family val="2"/>
      </rPr>
      <t xml:space="preserve"> = road surface silt loading</t>
    </r>
  </si>
  <si>
    <t>from AP-42 Table 13.2.1-3, for concrete batch plant</t>
  </si>
  <si>
    <r>
      <rPr>
        <i/>
        <sz val="14"/>
        <color indexed="8"/>
        <rFont val="Calibri"/>
        <family val="2"/>
      </rPr>
      <t>W</t>
    </r>
    <r>
      <rPr>
        <sz val="10"/>
        <color indexed="8"/>
        <rFont val="Calibri"/>
        <family val="2"/>
      </rPr>
      <t xml:space="preserve"> = vehicle weight</t>
    </r>
  </si>
  <si>
    <t>From AP-42 Chapter 13.2.2 - The predictive emission factor for unpaved road travel</t>
  </si>
  <si>
    <t>Equation 1a</t>
  </si>
  <si>
    <r>
      <rPr>
        <i/>
        <sz val="14"/>
        <color indexed="8"/>
        <rFont val="Calibri"/>
        <family val="2"/>
      </rPr>
      <t>E</t>
    </r>
    <r>
      <rPr>
        <sz val="10"/>
        <color indexed="8"/>
        <rFont val="Calibri"/>
        <family val="2"/>
      </rPr>
      <t xml:space="preserve"> = Emission Factor (lb PM</t>
    </r>
    <r>
      <rPr>
        <vertAlign val="subscript"/>
        <sz val="10"/>
        <rFont val="Arial"/>
        <family val="2"/>
      </rPr>
      <t>10</t>
    </r>
    <r>
      <rPr>
        <sz val="10"/>
        <color indexed="8"/>
        <rFont val="Calibri"/>
        <family val="2"/>
      </rPr>
      <t xml:space="preserve"> / VMT)</t>
    </r>
  </si>
  <si>
    <t>for PM10 in lbs/VMT - from AP-42 Table 13.2.2-2</t>
  </si>
  <si>
    <t>for PM2.5 in lbs/VMT - from AP-42 Table 13.2.2-2</t>
  </si>
  <si>
    <r>
      <rPr>
        <i/>
        <sz val="14"/>
        <color indexed="8"/>
        <rFont val="Calibri"/>
        <family val="2"/>
      </rPr>
      <t>s</t>
    </r>
    <r>
      <rPr>
        <sz val="10"/>
        <color indexed="8"/>
        <rFont val="Calibri"/>
        <family val="2"/>
      </rPr>
      <t xml:space="preserve"> = road surface silt content</t>
    </r>
  </si>
  <si>
    <t>from AP-42 Table 13.2.2-1, for stone quarrying and processing</t>
  </si>
  <si>
    <r>
      <rPr>
        <i/>
        <sz val="14"/>
        <color indexed="8"/>
        <rFont val="Calibri"/>
        <family val="2"/>
      </rPr>
      <t>a</t>
    </r>
    <r>
      <rPr>
        <sz val="10"/>
        <color indexed="8"/>
        <rFont val="Calibri"/>
        <family val="2"/>
      </rPr>
      <t xml:space="preserve"> = empirical constant</t>
    </r>
  </si>
  <si>
    <t>from AP-42 Table 13.2.2-2</t>
  </si>
  <si>
    <r>
      <rPr>
        <i/>
        <sz val="14"/>
        <color indexed="8"/>
        <rFont val="Calibri"/>
        <family val="2"/>
      </rPr>
      <t>b</t>
    </r>
    <r>
      <rPr>
        <sz val="10"/>
        <color indexed="8"/>
        <rFont val="Calibri"/>
        <family val="2"/>
      </rPr>
      <t xml:space="preserve"> = empirical constant</t>
    </r>
  </si>
  <si>
    <t>If you wish, you may enter the emission factors you use for each Miscellaneous Emission Unit in the table to the right.</t>
  </si>
  <si>
    <t>HAPs</t>
  </si>
  <si>
    <t>Does your facility have any concrete storage silos?  If so, enter total capacity.........................      Yes             No</t>
  </si>
  <si>
    <t>Does your facility have any wood or steel storage bins?  If so, enter total capacity..................      Yes             No</t>
  </si>
  <si>
    <t>Does your facility have any flat grain storage buildings?  If so, enter total capacity..................      Yes             No</t>
  </si>
  <si>
    <t>Does your facility ever put grain into temporary grain piles?  If so, enter total capacity………...      Yes             No</t>
  </si>
  <si>
    <t>How many grain receiving pits does your facility have?  (Up to 6) Include grain receiving at temporary piles.</t>
  </si>
  <si>
    <t>How many elevator legs does your facility have? (Up to 6)</t>
  </si>
  <si>
    <t>How many grain shipping ports does your facility have? (Up to 6)</t>
  </si>
  <si>
    <t>Does your facility have any grain cleaners?  If so, how many? (Up to 4)...................................      Yes             No</t>
  </si>
  <si>
    <t>Does your facility have any grain dryers?  If so, how many? (Up to 4)......................................      Yes             No</t>
  </si>
  <si>
    <t>Does your facility have any grain cracking machines?  If so, how many? (Up to 4)....................      Yes             No</t>
  </si>
  <si>
    <t>Does your facility have any grain grinding machines?  If so, how many? (Up to 4)...................       Yes             No</t>
  </si>
  <si>
    <t>Does your facility have any hammermills?  If so, how many? (Up to 4)....................................      Yes             No</t>
  </si>
  <si>
    <t>Does your facility have any grain flaking machines?  If so, how many? (Up to 4)......................      Yes             No</t>
  </si>
  <si>
    <t>Does your facility have any pellet cooling machines?  If so, how many? (Up to 4)....................      Yes             No</t>
  </si>
  <si>
    <r>
      <t xml:space="preserve">For each </t>
    </r>
    <r>
      <rPr>
        <b/>
        <u/>
        <sz val="11"/>
        <rFont val="Calibri"/>
        <family val="2"/>
        <scheme val="minor"/>
      </rPr>
      <t>receiving pit,</t>
    </r>
    <r>
      <rPr>
        <b/>
        <sz val="11"/>
        <rFont val="Calibri"/>
        <family val="2"/>
        <scheme val="minor"/>
      </rPr>
      <t xml:space="preserve"> enter the average 'round trip' distance a grain truck travels on </t>
    </r>
    <r>
      <rPr>
        <b/>
        <u/>
        <sz val="11"/>
        <rFont val="Calibri"/>
        <family val="2"/>
        <scheme val="minor"/>
      </rPr>
      <t>paved</t>
    </r>
    <r>
      <rPr>
        <b/>
        <sz val="11"/>
        <rFont val="Calibri"/>
        <family val="2"/>
        <scheme val="minor"/>
      </rPr>
      <t xml:space="preserve"> roads (truck enters the facility, travels to the pit &amp; unloads, then exits).</t>
    </r>
  </si>
  <si>
    <r>
      <t xml:space="preserve">For each </t>
    </r>
    <r>
      <rPr>
        <b/>
        <u/>
        <sz val="11"/>
        <rFont val="Calibri"/>
        <family val="2"/>
        <scheme val="minor"/>
      </rPr>
      <t>receiving pit,</t>
    </r>
    <r>
      <rPr>
        <b/>
        <sz val="11"/>
        <rFont val="Calibri"/>
        <family val="2"/>
        <scheme val="minor"/>
      </rPr>
      <t xml:space="preserve"> enter the average 'round trip' distance a grain truck travels on </t>
    </r>
    <r>
      <rPr>
        <b/>
        <u/>
        <sz val="11"/>
        <rFont val="Calibri"/>
        <family val="2"/>
        <scheme val="minor"/>
      </rPr>
      <t>unpaved</t>
    </r>
    <r>
      <rPr>
        <b/>
        <sz val="11"/>
        <rFont val="Calibri"/>
        <family val="2"/>
        <scheme val="minor"/>
      </rPr>
      <t xml:space="preserve"> roads (truck enters the facility, travels to the pit &amp; unloads, then exits).</t>
    </r>
  </si>
  <si>
    <r>
      <t xml:space="preserve">For each </t>
    </r>
    <r>
      <rPr>
        <b/>
        <u/>
        <sz val="11"/>
        <rFont val="Calibri"/>
        <family val="2"/>
        <scheme val="minor"/>
      </rPr>
      <t>grain load-out,</t>
    </r>
    <r>
      <rPr>
        <b/>
        <sz val="11"/>
        <rFont val="Calibri"/>
        <family val="2"/>
        <scheme val="minor"/>
      </rPr>
      <t xml:space="preserve"> enter the average 'round trip' distance a grain truck travels on </t>
    </r>
    <r>
      <rPr>
        <b/>
        <u/>
        <sz val="11"/>
        <rFont val="Calibri"/>
        <family val="2"/>
        <scheme val="minor"/>
      </rPr>
      <t>paved</t>
    </r>
    <r>
      <rPr>
        <b/>
        <sz val="11"/>
        <rFont val="Calibri"/>
        <family val="2"/>
        <scheme val="minor"/>
      </rPr>
      <t xml:space="preserve"> roads (truck enters the facility, travels to the pit &amp; unloads, then exits).</t>
    </r>
  </si>
  <si>
    <r>
      <t xml:space="preserve">For each </t>
    </r>
    <r>
      <rPr>
        <b/>
        <u/>
        <sz val="11"/>
        <rFont val="Calibri"/>
        <family val="2"/>
        <scheme val="minor"/>
      </rPr>
      <t>grain load-out,</t>
    </r>
    <r>
      <rPr>
        <b/>
        <sz val="11"/>
        <rFont val="Calibri"/>
        <family val="2"/>
        <scheme val="minor"/>
      </rPr>
      <t xml:space="preserve"> enter the average 'round trip' distance a grain truck travels on </t>
    </r>
    <r>
      <rPr>
        <b/>
        <u/>
        <sz val="11"/>
        <rFont val="Calibri"/>
        <family val="2"/>
        <scheme val="minor"/>
      </rPr>
      <t>unpaved</t>
    </r>
    <r>
      <rPr>
        <b/>
        <sz val="11"/>
        <rFont val="Calibri"/>
        <family val="2"/>
        <scheme val="minor"/>
      </rPr>
      <t xml:space="preserve"> roads (truck enters the facility, travels to the pit &amp; unloads, then exits).</t>
    </r>
  </si>
  <si>
    <t>For 'Hourly Process Rate' (Column C), enter the maximum hourly processing/throughput rate for the associated emission unit.  As shown in the example table, when entering the Hourly Process Rate, do not round any further than the 4th decimal place.  In Column F, the maximum annual throughput rate will be calculated automatically by multiplying the hourly rate that you provide by 8,760 hours/year.  For instructions on how to complete the 'Hourly Process Rate' and 'Process Rate Units' (Column D) for Miscellaneous Emission Units, refer to the additional instructions below.</t>
  </si>
  <si>
    <r>
      <t xml:space="preserve">Enter the total grain receipts for each of the past five (5) calendar years, in units of </t>
    </r>
    <r>
      <rPr>
        <b/>
        <u/>
        <sz val="11"/>
        <rFont val="Calibri"/>
        <family val="2"/>
        <scheme val="minor"/>
      </rPr>
      <t>bushels.</t>
    </r>
  </si>
  <si>
    <t>Based on EPA policy, your 'maximum potential' grain throughput has been calculated to be the following:</t>
  </si>
  <si>
    <r>
      <t xml:space="preserve">Estimate the </t>
    </r>
    <r>
      <rPr>
        <b/>
        <u/>
        <sz val="11"/>
        <rFont val="Calibri"/>
        <family val="2"/>
        <scheme val="minor"/>
      </rPr>
      <t>percentage</t>
    </r>
    <r>
      <rPr>
        <b/>
        <sz val="11"/>
        <rFont val="Calibri"/>
        <family val="2"/>
        <scheme val="minor"/>
      </rPr>
      <t xml:space="preserve"> of grain received that is processed through each of the receiving pits.</t>
    </r>
  </si>
  <si>
    <t>Semi-Truck Grain Receiving</t>
  </si>
  <si>
    <t>Lift-Dump Truck Grain Receiving</t>
  </si>
  <si>
    <t>Semi-Truck Grain Shipping</t>
  </si>
  <si>
    <r>
      <t xml:space="preserve">To calculate the emissions associated with </t>
    </r>
    <r>
      <rPr>
        <b/>
        <u/>
        <sz val="11"/>
        <rFont val="Calibri"/>
        <family val="2"/>
        <scheme val="minor"/>
      </rPr>
      <t>grain receiving</t>
    </r>
    <r>
      <rPr>
        <b/>
        <sz val="11"/>
        <rFont val="Calibri"/>
        <family val="2"/>
        <scheme val="minor"/>
      </rPr>
      <t>, you must enter the following information.</t>
    </r>
  </si>
  <si>
    <r>
      <t xml:space="preserve">To calculate the emissions associated with </t>
    </r>
    <r>
      <rPr>
        <b/>
        <u/>
        <sz val="11"/>
        <rFont val="Calibri"/>
        <family val="2"/>
        <scheme val="minor"/>
      </rPr>
      <t>grain shipping,</t>
    </r>
    <r>
      <rPr>
        <b/>
        <sz val="11"/>
        <rFont val="Calibri"/>
        <family val="2"/>
        <scheme val="minor"/>
      </rPr>
      <t xml:space="preserve"> you must enter the following information.  </t>
    </r>
    <r>
      <rPr>
        <b/>
        <u/>
        <sz val="11"/>
        <rFont val="Calibri"/>
        <family val="2"/>
        <scheme val="minor"/>
      </rPr>
      <t>For rail load-outs, enter the distance traveled as zero (0).</t>
    </r>
  </si>
  <si>
    <r>
      <t xml:space="preserve">Estimate the </t>
    </r>
    <r>
      <rPr>
        <b/>
        <u/>
        <sz val="11"/>
        <rFont val="Calibri"/>
        <family val="2"/>
        <scheme val="minor"/>
      </rPr>
      <t>percentage</t>
    </r>
    <r>
      <rPr>
        <b/>
        <sz val="11"/>
        <rFont val="Calibri"/>
        <family val="2"/>
        <scheme val="minor"/>
      </rPr>
      <t xml:space="preserve"> of grain received that is processed through each of the elevator legs.</t>
    </r>
  </si>
  <si>
    <r>
      <t xml:space="preserve">To calculate the emissions associated with </t>
    </r>
    <r>
      <rPr>
        <b/>
        <u/>
        <sz val="11"/>
        <rFont val="Calibri"/>
        <family val="2"/>
        <scheme val="minor"/>
      </rPr>
      <t>internal grain handling</t>
    </r>
    <r>
      <rPr>
        <b/>
        <sz val="11"/>
        <rFont val="Calibri"/>
        <family val="2"/>
        <scheme val="minor"/>
      </rPr>
      <t xml:space="preserve"> (headhouses, gallery belts, tunnel belts, etc.) you must enter the following information.</t>
    </r>
  </si>
  <si>
    <t>To calculate the emissions associated with other grain handling processes, like grain cleaning, drying, and milling processes you must enter the following information.</t>
  </si>
  <si>
    <r>
      <t xml:space="preserve">Estimate the </t>
    </r>
    <r>
      <rPr>
        <b/>
        <u/>
        <sz val="11"/>
        <rFont val="Calibri"/>
        <family val="2"/>
        <scheme val="minor"/>
      </rPr>
      <t>percentage</t>
    </r>
    <r>
      <rPr>
        <b/>
        <sz val="11"/>
        <rFont val="Calibri"/>
        <family val="2"/>
        <scheme val="minor"/>
      </rPr>
      <t xml:space="preserve"> of grain received that is processed through the pellet cooling unit(s).</t>
    </r>
  </si>
  <si>
    <r>
      <t xml:space="preserve">Estimate the </t>
    </r>
    <r>
      <rPr>
        <b/>
        <u/>
        <sz val="11"/>
        <rFont val="Calibri"/>
        <family val="2"/>
        <scheme val="minor"/>
      </rPr>
      <t>percentage</t>
    </r>
    <r>
      <rPr>
        <b/>
        <sz val="11"/>
        <rFont val="Calibri"/>
        <family val="2"/>
        <scheme val="minor"/>
      </rPr>
      <t xml:space="preserve"> of grain received that is processed through the grain flaking unit(s).</t>
    </r>
  </si>
  <si>
    <r>
      <t xml:space="preserve">Estimate the </t>
    </r>
    <r>
      <rPr>
        <b/>
        <u/>
        <sz val="11"/>
        <rFont val="Calibri"/>
        <family val="2"/>
        <scheme val="minor"/>
      </rPr>
      <t>percentage</t>
    </r>
    <r>
      <rPr>
        <b/>
        <sz val="11"/>
        <rFont val="Calibri"/>
        <family val="2"/>
        <scheme val="minor"/>
      </rPr>
      <t xml:space="preserve"> of grain received that is processed through the hammermilling unit(s).</t>
    </r>
  </si>
  <si>
    <r>
      <t xml:space="preserve">Estimate the </t>
    </r>
    <r>
      <rPr>
        <b/>
        <u/>
        <sz val="11"/>
        <rFont val="Calibri"/>
        <family val="2"/>
        <scheme val="minor"/>
      </rPr>
      <t>percentage</t>
    </r>
    <r>
      <rPr>
        <b/>
        <sz val="11"/>
        <rFont val="Calibri"/>
        <family val="2"/>
        <scheme val="minor"/>
      </rPr>
      <t xml:space="preserve"> of grain received that is processed through the grain grinding unit(s).</t>
    </r>
  </si>
  <si>
    <r>
      <t xml:space="preserve">Estimate the </t>
    </r>
    <r>
      <rPr>
        <b/>
        <u/>
        <sz val="11"/>
        <rFont val="Calibri"/>
        <family val="2"/>
        <scheme val="minor"/>
      </rPr>
      <t>percentage</t>
    </r>
    <r>
      <rPr>
        <b/>
        <sz val="11"/>
        <rFont val="Calibri"/>
        <family val="2"/>
        <scheme val="minor"/>
      </rPr>
      <t xml:space="preserve"> of grain received that is processed through the grain cracking unit(s).</t>
    </r>
  </si>
  <si>
    <r>
      <t xml:space="preserve">Estimate the </t>
    </r>
    <r>
      <rPr>
        <b/>
        <u/>
        <sz val="11"/>
        <rFont val="Calibri"/>
        <family val="2"/>
        <scheme val="minor"/>
      </rPr>
      <t>percentage</t>
    </r>
    <r>
      <rPr>
        <b/>
        <sz val="11"/>
        <rFont val="Calibri"/>
        <family val="2"/>
        <scheme val="minor"/>
      </rPr>
      <t xml:space="preserve"> of grain received that is processed through the grain drying unit(s).</t>
    </r>
  </si>
  <si>
    <r>
      <t xml:space="preserve">Estimate the </t>
    </r>
    <r>
      <rPr>
        <b/>
        <u/>
        <sz val="11"/>
        <rFont val="Calibri"/>
        <family val="2"/>
        <scheme val="minor"/>
      </rPr>
      <t>percentage</t>
    </r>
    <r>
      <rPr>
        <b/>
        <sz val="11"/>
        <rFont val="Calibri"/>
        <family val="2"/>
        <scheme val="minor"/>
      </rPr>
      <t xml:space="preserve"> of grain received that is processed through the grain cleaning unit(s).</t>
    </r>
  </si>
  <si>
    <r>
      <t>===</t>
    </r>
    <r>
      <rPr>
        <b/>
        <sz val="14"/>
        <rFont val="Calibri"/>
        <family val="2"/>
        <scheme val="minor"/>
      </rPr>
      <t>&gt;</t>
    </r>
  </si>
  <si>
    <t>Total percentage is less than 100%</t>
  </si>
  <si>
    <t>Total percentage is greater than 100%</t>
  </si>
  <si>
    <t>Percentage equals 100%, but one or more emission units have no assigned throughput.</t>
  </si>
  <si>
    <t>Based on EPA policy, your 'maximum potential' fuel use has been calculated to be the following:</t>
  </si>
  <si>
    <t>Enter the total</t>
  </si>
  <si>
    <r>
      <t xml:space="preserve">for </t>
    </r>
    <r>
      <rPr>
        <b/>
        <u/>
        <sz val="11"/>
        <rFont val="Calibri"/>
        <family val="2"/>
        <scheme val="minor"/>
      </rPr>
      <t>grain drying</t>
    </r>
    <r>
      <rPr>
        <b/>
        <sz val="11"/>
        <rFont val="Calibri"/>
        <family val="2"/>
        <scheme val="minor"/>
      </rPr>
      <t xml:space="preserve"> for each of the past five (5) calendar years.</t>
    </r>
  </si>
  <si>
    <t>If you have grain dryers, what type of fuel do they burn?</t>
  </si>
  <si>
    <t>Propane/LPG</t>
  </si>
  <si>
    <t>MMBtu</t>
  </si>
  <si>
    <t>The cells highlighted in blue below contain information that is specific to grain elevators and/or feed mills.</t>
  </si>
  <si>
    <t>Your source's facility-wide maximum potential to emit may or may not exceed Class II operating permit thresholds, but will require an operating permit due to the fact that your emissions are limited only based on EPA guidance, and not by any federally-enforceable rules or regulations.  Please answer the following questions.</t>
  </si>
  <si>
    <t>The cells below contain the equipment designation you entered on Table 3-A, which are provided here for your reference.</t>
  </si>
  <si>
    <t xml:space="preserve"> </t>
  </si>
  <si>
    <r>
      <t>GHGs
(CO</t>
    </r>
    <r>
      <rPr>
        <vertAlign val="subscript"/>
        <sz val="11"/>
        <color theme="1"/>
        <rFont val="Calibri"/>
        <family val="2"/>
        <scheme val="minor"/>
      </rPr>
      <t>2</t>
    </r>
    <r>
      <rPr>
        <b/>
        <sz val="11"/>
        <color theme="1"/>
        <rFont val="Calibri"/>
        <family val="2"/>
        <scheme val="minor"/>
      </rPr>
      <t>e</t>
    </r>
    <r>
      <rPr>
        <sz val="11"/>
        <color theme="1"/>
        <rFont val="Calibri"/>
        <family val="2"/>
        <scheme val="minor"/>
      </rPr>
      <t>)</t>
    </r>
  </si>
  <si>
    <t>The link below will take you to a list of ALL Federal Regulations (listed only by 'Part' number) that have been established by the EPA.  For ease of use, the most commonly referenced air rules have been listed below by Part number, with a corresponding description.</t>
  </si>
  <si>
    <t>Title 40, Chapter 4 of the Code of Federal Regulations (40 CFR)</t>
  </si>
  <si>
    <t>Part 50</t>
  </si>
  <si>
    <t>National Ambient Air Quality Standards (NAAQS)</t>
  </si>
  <si>
    <t>Part 60</t>
  </si>
  <si>
    <t>New Source Performance Standards (NSPS)</t>
  </si>
  <si>
    <t>Part 61</t>
  </si>
  <si>
    <t>National Emission Standards for Hazardous Air Pollutants (NESHAPs)</t>
  </si>
  <si>
    <t>Part 63</t>
  </si>
  <si>
    <t>NESHAP Maximum Achievable Control Technology (MACT) Standards</t>
  </si>
  <si>
    <t>Part 64</t>
  </si>
  <si>
    <t>Compliance Assurance Monitoring (CAM)</t>
  </si>
  <si>
    <t>Part 68</t>
  </si>
  <si>
    <t>Chemical Accident Prevention Provisions</t>
  </si>
  <si>
    <t>Part 82</t>
  </si>
  <si>
    <t>Protection of Stratospheric Ozone</t>
  </si>
  <si>
    <t>Parts 72-78</t>
  </si>
  <si>
    <t>Acid Rain Provisions</t>
  </si>
  <si>
    <t>IF YOU HAVE ANY FURTHER QUESTIONS OR REQUIRE ANY ASSISTANCE IN COMPLETING THIS FORM, PLEASE CONTACT THE LLCHD AIR QUALITY PROGRAM AT (402) 441-8040, AND ASK TO SPEAK TO SOMEONE ABOUT 'AIR QUALITY PERMITS'.</t>
  </si>
  <si>
    <t>Last Updated:</t>
  </si>
  <si>
    <t xml:space="preserve">        Yes
        No  or  N/A</t>
  </si>
  <si>
    <t>LLCAPCPRS Article 2, Section 20, paragraph (A) &amp; Table 20-2:  Process Weight Rate Particulate Emission Stds.</t>
  </si>
  <si>
    <t>LLCAPCPRS Article 2, Section 20, paragraph (B) &amp; Table 20-1:  Heat Input Rate Particulate Emission Stds.</t>
  </si>
  <si>
    <t>LLCAPCPRS Article 2, Section 22, paragraph (B):  Particulate Emission Stds. for Incinerators &amp; Burn-Ovens</t>
  </si>
  <si>
    <t>LLCAPCPRS Article 2, Section 22, paragraph (H):  Standards for Air Curtain Incinerators</t>
  </si>
  <si>
    <t>LLCAPCPRS Article 2, Section 22, paragraph (I):  Standards for Pathological Material Incinerators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</si>
</sst>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_(&quot;$&quot;* \(#,##0.00\);_(&quot;$&quot;* &quot;-&quot;??_);_(@_)"/>
    <numFmt numFmtId="43" formatCode="_(* #,##0.00_);_(* \(#,##0.00\);_(* &quot;-&quot;??_);_(@_)"/>
    <numFmt numFmtId="164" formatCode="#\-##\-###\-##"/>
    <numFmt numFmtId="165" formatCode="#,##0.0"/>
    <numFmt numFmtId="166" formatCode="#####\-##\-#"/>
    <numFmt numFmtId="167" formatCode="0.000000"/>
    <numFmt numFmtId="168" formatCode="[&lt;=9999999]###\-####;\(###\)\ ###\-####"/>
    <numFmt numFmtId="169" formatCode="00000"/>
    <numFmt numFmtId="170" formatCode="[$-409]mmmm\ d\,\ yyyy;@"/>
    <numFmt numFmtId="171" formatCode="00\º"/>
    <numFmt numFmtId="172" formatCode="00\'"/>
    <numFmt numFmtId="173" formatCode="00\&quot;"/>
    <numFmt numFmtId="174" formatCode="\-0.000000"/>
    <numFmt numFmtId="175" formatCode="0.\ \ "/>
    <numFmt numFmtId="176" formatCode="0.0000"/>
    <numFmt numFmtId="177" formatCode="#,##0.0000"/>
    <numFmt numFmtId="178" formatCode="000"/>
    <numFmt numFmtId="179" formatCode="000000"/>
    <numFmt numFmtId="180" formatCode="0.000%"/>
    <numFmt numFmtId="181" formatCode="#.&quot;  &quot;"/>
    <numFmt numFmtId="182" formatCode="yyyy"/>
    <numFmt numFmtId="183" formatCode="mmmm\ yyyy"/>
  </numFmts>
  <fonts count="82" x14ac:knownFonts="1">
    <font>
      <sz val="11"/>
      <color theme="1"/>
      <name val="Calibri"/>
      <family val="2"/>
      <scheme val="minor"/>
    </font>
    <font>
      <sz val="10"/>
      <color theme="1"/>
      <name val="Arial"/>
      <family val="2"/>
    </font>
    <font>
      <sz val="11"/>
      <color theme="1"/>
      <name val="Calibri"/>
      <family val="2"/>
      <scheme val="minor"/>
    </font>
    <font>
      <sz val="10"/>
      <name val="Arial"/>
      <family val="2"/>
    </font>
    <font>
      <sz val="10"/>
      <name val="Arial"/>
      <family val="2"/>
    </font>
    <font>
      <u/>
      <sz val="10"/>
      <color indexed="12"/>
      <name val="Arial"/>
      <family val="2"/>
    </font>
    <font>
      <u/>
      <sz val="11.5"/>
      <color theme="4" tint="-0.499984740745262"/>
      <name val="Arial"/>
      <family val="2"/>
    </font>
    <font>
      <b/>
      <sz val="11"/>
      <color theme="1"/>
      <name val="Arial"/>
      <family val="2"/>
    </font>
    <font>
      <sz val="11"/>
      <color theme="1"/>
      <name val="Arial"/>
      <family val="2"/>
    </font>
    <font>
      <b/>
      <sz val="10"/>
      <color theme="1"/>
      <name val="Arial"/>
      <family val="2"/>
    </font>
    <font>
      <b/>
      <i/>
      <sz val="12"/>
      <color theme="1"/>
      <name val="Arial"/>
      <family val="2"/>
    </font>
    <font>
      <i/>
      <sz val="10"/>
      <color theme="1"/>
      <name val="Arial"/>
      <family val="2"/>
    </font>
    <font>
      <b/>
      <sz val="12"/>
      <color theme="1"/>
      <name val="Arial"/>
      <family val="2"/>
    </font>
    <font>
      <b/>
      <vertAlign val="subscript"/>
      <sz val="11"/>
      <color theme="1"/>
      <name val="Arial"/>
      <family val="2"/>
    </font>
    <font>
      <b/>
      <i/>
      <sz val="11"/>
      <color theme="1"/>
      <name val="Arial"/>
      <family val="2"/>
    </font>
    <font>
      <b/>
      <i/>
      <u/>
      <sz val="11"/>
      <color theme="1"/>
      <name val="Arial"/>
      <family val="2"/>
    </font>
    <font>
      <b/>
      <sz val="11"/>
      <color theme="1"/>
      <name val="Calibri"/>
      <family val="2"/>
      <scheme val="minor"/>
    </font>
    <font>
      <vertAlign val="superscript"/>
      <sz val="11"/>
      <color theme="1"/>
      <name val="Arial"/>
      <family val="2"/>
    </font>
    <font>
      <i/>
      <sz val="10"/>
      <name val="Arial"/>
      <family val="2"/>
    </font>
    <font>
      <sz val="12"/>
      <color theme="1"/>
      <name val="Arial"/>
      <family val="2"/>
    </font>
    <font>
      <b/>
      <sz val="11"/>
      <name val="Arial"/>
      <family val="2"/>
    </font>
    <font>
      <b/>
      <u/>
      <sz val="12"/>
      <color indexed="12"/>
      <name val="Arial"/>
      <family val="2"/>
    </font>
    <font>
      <b/>
      <sz val="10"/>
      <name val="Arial"/>
      <family val="2"/>
    </font>
    <font>
      <b/>
      <sz val="16"/>
      <name val="Arial"/>
      <family val="2"/>
    </font>
    <font>
      <b/>
      <sz val="12"/>
      <color theme="0"/>
      <name val="Arial"/>
      <family val="2"/>
    </font>
    <font>
      <vertAlign val="subscript"/>
      <sz val="12"/>
      <color theme="1"/>
      <name val="Arial"/>
      <family val="2"/>
    </font>
    <font>
      <b/>
      <u/>
      <sz val="11"/>
      <color theme="1"/>
      <name val="Arial"/>
      <family val="2"/>
    </font>
    <font>
      <b/>
      <u/>
      <sz val="11"/>
      <color indexed="12"/>
      <name val="Arial"/>
      <family val="2"/>
    </font>
    <font>
      <b/>
      <sz val="14"/>
      <color theme="1"/>
      <name val="Arial"/>
      <family val="2"/>
    </font>
    <font>
      <b/>
      <sz val="13"/>
      <color theme="1"/>
      <name val="Arial"/>
      <family val="2"/>
    </font>
    <font>
      <sz val="10"/>
      <color theme="1"/>
      <name val="Calibri"/>
      <family val="2"/>
      <scheme val="minor"/>
    </font>
    <font>
      <sz val="10"/>
      <color indexed="8"/>
      <name val="Arial"/>
      <family val="2"/>
    </font>
    <font>
      <sz val="8"/>
      <color rgb="FF000000"/>
      <name val="Tahoma"/>
      <family val="2"/>
    </font>
    <font>
      <b/>
      <sz val="11"/>
      <color indexed="8"/>
      <name val="Arial"/>
      <family val="2"/>
    </font>
    <font>
      <i/>
      <sz val="11"/>
      <color theme="1"/>
      <name val="Arial"/>
      <family val="2"/>
    </font>
    <font>
      <b/>
      <sz val="11"/>
      <color theme="1"/>
      <name val="Calibri"/>
      <family val="2"/>
    </font>
    <font>
      <b/>
      <sz val="16"/>
      <color theme="1"/>
      <name val="Calibri"/>
      <family val="2"/>
      <scheme val="minor"/>
    </font>
    <font>
      <b/>
      <u/>
      <sz val="11"/>
      <color theme="1"/>
      <name val="Calibri"/>
      <family val="2"/>
      <scheme val="minor"/>
    </font>
    <font>
      <b/>
      <i/>
      <sz val="11"/>
      <color theme="1"/>
      <name val="Calibri"/>
      <family val="2"/>
      <scheme val="minor"/>
    </font>
    <font>
      <b/>
      <sz val="14"/>
      <color rgb="FFFF0000"/>
      <name val="Calibri"/>
      <family val="2"/>
      <scheme val="minor"/>
    </font>
    <font>
      <sz val="11"/>
      <name val="Arial"/>
      <family val="2"/>
    </font>
    <font>
      <b/>
      <sz val="14"/>
      <color theme="1"/>
      <name val="Calibri"/>
      <family val="2"/>
      <scheme val="minor"/>
    </font>
    <font>
      <b/>
      <sz val="12"/>
      <color theme="1"/>
      <name val="Calibri"/>
      <family val="2"/>
      <scheme val="minor"/>
    </font>
    <font>
      <sz val="11"/>
      <color theme="0" tint="-0.14999847407452621"/>
      <name val="Calibri"/>
      <family val="2"/>
      <scheme val="minor"/>
    </font>
    <font>
      <b/>
      <sz val="12"/>
      <color rgb="FF0000FF"/>
      <name val="Calibri"/>
      <family val="2"/>
      <scheme val="minor"/>
    </font>
    <font>
      <b/>
      <vertAlign val="subscript"/>
      <sz val="11"/>
      <color theme="1"/>
      <name val="Calibri"/>
      <family val="2"/>
      <scheme val="minor"/>
    </font>
    <font>
      <b/>
      <u/>
      <sz val="11"/>
      <color indexed="12"/>
      <name val="Calibri"/>
      <family val="2"/>
      <scheme val="minor"/>
    </font>
    <font>
      <b/>
      <sz val="11"/>
      <name val="Calibri"/>
      <family val="2"/>
      <scheme val="minor"/>
    </font>
    <font>
      <b/>
      <u/>
      <sz val="11"/>
      <name val="Calibri"/>
      <family val="2"/>
      <scheme val="minor"/>
    </font>
    <font>
      <sz val="11"/>
      <name val="Calibri"/>
      <family val="2"/>
      <scheme val="minor"/>
    </font>
    <font>
      <sz val="11"/>
      <color theme="0" tint="-0.14999847407452621"/>
      <name val="Arial"/>
      <family val="2"/>
    </font>
    <font>
      <b/>
      <sz val="12"/>
      <name val="Calibri"/>
      <family val="2"/>
      <scheme val="minor"/>
    </font>
    <font>
      <u/>
      <sz val="12"/>
      <color indexed="12"/>
      <name val="Calibri"/>
      <family val="2"/>
      <scheme val="minor"/>
    </font>
    <font>
      <b/>
      <sz val="13"/>
      <color theme="1"/>
      <name val="Calibri"/>
      <family val="2"/>
      <scheme val="minor"/>
    </font>
    <font>
      <sz val="11"/>
      <color theme="1"/>
      <name val="Calibri"/>
      <family val="2"/>
    </font>
    <font>
      <i/>
      <u/>
      <sz val="11"/>
      <color theme="1"/>
      <name val="Arial"/>
      <family val="2"/>
    </font>
    <font>
      <b/>
      <sz val="8"/>
      <color theme="1"/>
      <name val="Calibri"/>
      <family val="2"/>
      <scheme val="minor"/>
    </font>
    <font>
      <b/>
      <vertAlign val="subscript"/>
      <sz val="10"/>
      <color theme="1"/>
      <name val="Arial"/>
      <family val="2"/>
    </font>
    <font>
      <b/>
      <sz val="5"/>
      <color theme="1"/>
      <name val="Calibri"/>
      <family val="2"/>
      <scheme val="minor"/>
    </font>
    <font>
      <sz val="11"/>
      <color rgb="FFFF0000"/>
      <name val="Arial"/>
      <family val="2"/>
    </font>
    <font>
      <b/>
      <sz val="11"/>
      <color indexed="12"/>
      <name val="Calibri"/>
      <family val="2"/>
      <scheme val="minor"/>
    </font>
    <font>
      <b/>
      <sz val="14"/>
      <name val="Calibri"/>
      <family val="2"/>
      <scheme val="minor"/>
    </font>
    <font>
      <b/>
      <sz val="10"/>
      <color theme="1"/>
      <name val="Calibri"/>
      <family val="2"/>
      <scheme val="minor"/>
    </font>
    <font>
      <sz val="11"/>
      <color theme="5"/>
      <name val="Calibri"/>
      <family val="2"/>
      <scheme val="minor"/>
    </font>
    <font>
      <b/>
      <i/>
      <sz val="12"/>
      <color theme="1"/>
      <name val="Calibri"/>
      <family val="2"/>
      <scheme val="minor"/>
    </font>
    <font>
      <b/>
      <i/>
      <sz val="14"/>
      <color theme="1"/>
      <name val="Calibri"/>
      <family val="2"/>
      <scheme val="minor"/>
    </font>
    <font>
      <vertAlign val="subscript"/>
      <sz val="11"/>
      <color theme="1"/>
      <name val="Calibri"/>
      <family val="2"/>
      <scheme val="minor"/>
    </font>
    <font>
      <vertAlign val="subscript"/>
      <sz val="11"/>
      <name val="Calibri"/>
      <family val="2"/>
      <scheme val="minor"/>
    </font>
    <font>
      <b/>
      <u/>
      <sz val="12"/>
      <color theme="1"/>
      <name val="Calibri"/>
      <family val="2"/>
      <scheme val="minor"/>
    </font>
    <font>
      <b/>
      <i/>
      <u/>
      <sz val="12"/>
      <color theme="1"/>
      <name val="Calibri"/>
      <family val="2"/>
      <scheme val="minor"/>
    </font>
    <font>
      <u/>
      <sz val="12"/>
      <color theme="1"/>
      <name val="Calibri"/>
      <family val="2"/>
      <scheme val="minor"/>
    </font>
    <font>
      <b/>
      <u/>
      <sz val="12"/>
      <name val="Calibri"/>
      <family val="2"/>
      <scheme val="minor"/>
    </font>
    <font>
      <sz val="12"/>
      <color theme="1" tint="0.34998626667073579"/>
      <name val="Arial"/>
      <family val="2"/>
    </font>
    <font>
      <sz val="13"/>
      <color theme="1"/>
      <name val="Calibri"/>
      <family val="2"/>
      <scheme val="minor"/>
    </font>
    <font>
      <b/>
      <u/>
      <sz val="14"/>
      <color rgb="FFFF0000"/>
      <name val="Calibri"/>
      <family val="2"/>
      <scheme val="minor"/>
    </font>
    <font>
      <vertAlign val="subscript"/>
      <sz val="10"/>
      <name val="Arial"/>
      <family val="2"/>
    </font>
    <font>
      <sz val="10"/>
      <color indexed="8"/>
      <name val="Calibri"/>
      <family val="2"/>
    </font>
    <font>
      <i/>
      <sz val="14"/>
      <color indexed="8"/>
      <name val="Calibri"/>
      <family val="2"/>
    </font>
    <font>
      <sz val="9"/>
      <color theme="1"/>
      <name val="Calibri"/>
      <family val="2"/>
      <scheme val="minor"/>
    </font>
    <font>
      <b/>
      <sz val="10"/>
      <name val="Calibri"/>
      <family val="2"/>
      <scheme val="minor"/>
    </font>
    <font>
      <b/>
      <sz val="11"/>
      <color theme="0" tint="-0.14999847407452621"/>
      <name val="Calibri"/>
      <family val="2"/>
      <scheme val="minor"/>
    </font>
    <font>
      <b/>
      <sz val="11"/>
      <color theme="1" tint="0.34998626667073579"/>
      <name val="Calibri"/>
      <family val="2"/>
      <scheme val="minor"/>
    </font>
  </fonts>
  <fills count="22">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theme="4"/>
        <bgColor theme="4"/>
      </patternFill>
    </fill>
    <fill>
      <patternFill patternType="solid">
        <fgColor theme="0" tint="-0.14999847407452621"/>
        <bgColor theme="0" tint="-0.14999847407452621"/>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00B0F0"/>
        <bgColor indexed="64"/>
      </patternFill>
    </fill>
    <fill>
      <patternFill patternType="darkUp">
        <bgColor auto="1"/>
      </patternFill>
    </fill>
    <fill>
      <patternFill patternType="darkUp">
        <bgColor theme="0" tint="-0.14996795556505021"/>
      </patternFill>
    </fill>
    <fill>
      <patternFill patternType="solid">
        <fgColor theme="1" tint="0.499984740745262"/>
        <bgColor indexed="64"/>
      </patternFill>
    </fill>
    <fill>
      <patternFill patternType="solid">
        <fgColor theme="1"/>
        <bgColor indexed="64"/>
      </patternFill>
    </fill>
    <fill>
      <patternFill patternType="solid">
        <fgColor theme="0" tint="-0.499984740745262"/>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rgb="FF92D050"/>
        <bgColor indexed="64"/>
      </patternFill>
    </fill>
  </fills>
  <borders count="19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dotted">
        <color indexed="64"/>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tted">
        <color indexed="64"/>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right style="thick">
        <color indexed="64"/>
      </right>
      <top style="medium">
        <color indexed="64"/>
      </top>
      <bottom style="medium">
        <color indexed="64"/>
      </bottom>
      <diagonal/>
    </border>
    <border>
      <left/>
      <right style="thick">
        <color indexed="64"/>
      </right>
      <top/>
      <bottom/>
      <diagonal/>
    </border>
    <border>
      <left style="medium">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bottom style="thin">
        <color indexed="64"/>
      </bottom>
      <diagonal/>
    </border>
    <border>
      <left/>
      <right/>
      <top style="medium">
        <color indexed="64"/>
      </top>
      <bottom style="thin">
        <color indexed="64"/>
      </bottom>
      <diagonal/>
    </border>
    <border>
      <left/>
      <right/>
      <top/>
      <bottom style="hair">
        <color indexed="64"/>
      </bottom>
      <diagonal/>
    </border>
    <border>
      <left/>
      <right/>
      <top style="thin">
        <color indexed="64"/>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right/>
      <top style="thin">
        <color indexed="64"/>
      </top>
      <bottom style="medium">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bottom/>
      <diagonal/>
    </border>
    <border>
      <left style="hair">
        <color indexed="64"/>
      </left>
      <right/>
      <top style="medium">
        <color indexed="64"/>
      </top>
      <bottom/>
      <diagonal/>
    </border>
    <border>
      <left style="hair">
        <color indexed="64"/>
      </left>
      <right/>
      <top style="medium">
        <color indexed="64"/>
      </top>
      <bottom style="thin">
        <color indexed="64"/>
      </bottom>
      <diagonal/>
    </border>
    <border>
      <left style="thin">
        <color indexed="64"/>
      </left>
      <right style="hair">
        <color indexed="64"/>
      </right>
      <top/>
      <bottom style="thin">
        <color indexed="64"/>
      </bottom>
      <diagonal/>
    </border>
    <border>
      <left/>
      <right/>
      <top style="thin">
        <color indexed="64"/>
      </top>
      <bottom/>
      <diagonal/>
    </border>
    <border>
      <left style="medium">
        <color indexed="64"/>
      </left>
      <right style="hair">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hair">
        <color indexed="64"/>
      </right>
      <top style="thin">
        <color indexed="64"/>
      </top>
      <bottom/>
      <diagonal/>
    </border>
    <border>
      <left/>
      <right style="medium">
        <color indexed="64"/>
      </right>
      <top style="thin">
        <color indexed="64"/>
      </top>
      <bottom style="hair">
        <color indexed="64"/>
      </bottom>
      <diagonal/>
    </border>
    <border>
      <left style="medium">
        <color indexed="64"/>
      </left>
      <right style="hair">
        <color indexed="64"/>
      </right>
      <top/>
      <bottom/>
      <diagonal/>
    </border>
    <border>
      <left/>
      <right style="medium">
        <color indexed="64"/>
      </right>
      <top/>
      <bottom style="hair">
        <color indexed="64"/>
      </bottom>
      <diagonal/>
    </border>
    <border>
      <left/>
      <right style="medium">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hair">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hair">
        <color indexed="64"/>
      </top>
      <bottom style="hair">
        <color indexed="64"/>
      </bottom>
      <diagonal/>
    </border>
    <border>
      <left/>
      <right style="thick">
        <color auto="1"/>
      </right>
      <top style="medium">
        <color auto="1"/>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medium">
        <color indexed="64"/>
      </right>
      <top style="hair">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hair">
        <color indexed="64"/>
      </bottom>
      <diagonal/>
    </border>
    <border>
      <left style="medium">
        <color indexed="64"/>
      </left>
      <right/>
      <top/>
      <bottom style="hair">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hair">
        <color indexed="64"/>
      </bottom>
      <diagonal/>
    </border>
    <border>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top/>
      <bottom style="medium">
        <color indexed="64"/>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hair">
        <color indexed="64"/>
      </right>
      <top/>
      <bottom style="medium">
        <color indexed="64"/>
      </bottom>
      <diagonal/>
    </border>
    <border>
      <left style="medium">
        <color indexed="64"/>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bottom style="hair">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20">
    <xf numFmtId="0" fontId="0" fillId="0" borderId="0"/>
    <xf numFmtId="0" fontId="3" fillId="0" borderId="0"/>
    <xf numFmtId="43" fontId="4" fillId="0" borderId="0" applyFont="0" applyFill="0" applyBorder="0" applyAlignment="0" applyProtection="0"/>
    <xf numFmtId="44" fontId="4" fillId="0" borderId="0" applyFont="0" applyFill="0" applyBorder="0" applyAlignment="0" applyProtection="0"/>
    <xf numFmtId="0" fontId="6"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2" fillId="0" borderId="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1" fillId="0" borderId="0"/>
  </cellStyleXfs>
  <cellXfs count="1499">
    <xf numFmtId="0" fontId="0" fillId="0" borderId="0" xfId="0"/>
    <xf numFmtId="0" fontId="0" fillId="0" borderId="0" xfId="0" applyAlignment="1">
      <alignment horizontal="center" vertical="center"/>
    </xf>
    <xf numFmtId="0" fontId="3" fillId="6" borderId="0" xfId="1" applyFill="1"/>
    <xf numFmtId="166" fontId="3" fillId="6" borderId="0" xfId="1" applyNumberFormat="1" applyFill="1" applyAlignment="1">
      <alignment horizontal="center"/>
    </xf>
    <xf numFmtId="0" fontId="3" fillId="6" borderId="0" xfId="1" applyFill="1" applyAlignment="1">
      <alignment horizontal="center"/>
    </xf>
    <xf numFmtId="0" fontId="22" fillId="6" borderId="0" xfId="1" applyFont="1" applyFill="1"/>
    <xf numFmtId="0" fontId="24" fillId="4" borderId="19" xfId="1" applyFont="1" applyFill="1" applyBorder="1"/>
    <xf numFmtId="166" fontId="24" fillId="4" borderId="20" xfId="1" applyNumberFormat="1" applyFont="1" applyFill="1" applyBorder="1" applyAlignment="1">
      <alignment horizontal="center"/>
    </xf>
    <xf numFmtId="0" fontId="24" fillId="4" borderId="53" xfId="1" applyFont="1" applyFill="1" applyBorder="1" applyAlignment="1">
      <alignment horizontal="center"/>
    </xf>
    <xf numFmtId="0" fontId="19" fillId="0" borderId="26" xfId="1" applyFont="1" applyBorder="1" applyAlignment="1">
      <alignment horizontal="left"/>
    </xf>
    <xf numFmtId="166" fontId="19" fillId="0" borderId="0" xfId="1" applyNumberFormat="1" applyFont="1" applyAlignment="1">
      <alignment horizontal="center"/>
    </xf>
    <xf numFmtId="0" fontId="19" fillId="0" borderId="54" xfId="1" applyFont="1" applyBorder="1" applyAlignment="1">
      <alignment horizontal="center"/>
    </xf>
    <xf numFmtId="0" fontId="19" fillId="5" borderId="26" xfId="1" applyFont="1" applyFill="1" applyBorder="1" applyAlignment="1">
      <alignment horizontal="left"/>
    </xf>
    <xf numFmtId="166" fontId="19" fillId="5" borderId="0" xfId="1" applyNumberFormat="1" applyFont="1" applyFill="1" applyAlignment="1">
      <alignment horizontal="center"/>
    </xf>
    <xf numFmtId="0" fontId="19" fillId="5" borderId="54" xfId="1" applyFont="1" applyFill="1" applyBorder="1" applyAlignment="1">
      <alignment horizontal="center"/>
    </xf>
    <xf numFmtId="0" fontId="19" fillId="0" borderId="55" xfId="1" applyFont="1" applyBorder="1" applyAlignment="1">
      <alignment horizontal="left"/>
    </xf>
    <xf numFmtId="166" fontId="19" fillId="0" borderId="56" xfId="1" applyNumberFormat="1" applyFont="1" applyBorder="1" applyAlignment="1">
      <alignment horizontal="center"/>
    </xf>
    <xf numFmtId="0" fontId="19" fillId="0" borderId="57" xfId="1" applyFont="1" applyBorder="1" applyAlignment="1">
      <alignment horizontal="center"/>
    </xf>
    <xf numFmtId="0" fontId="19" fillId="6" borderId="0" xfId="0" applyFont="1" applyFill="1" applyAlignment="1">
      <alignment vertical="center"/>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0" fillId="6" borderId="0" xfId="0" applyFill="1"/>
    <xf numFmtId="0" fontId="7" fillId="8" borderId="2" xfId="0" applyFont="1" applyFill="1" applyBorder="1" applyAlignment="1">
      <alignment horizontal="center" vertical="center" wrapText="1"/>
    </xf>
    <xf numFmtId="0" fontId="7" fillId="8" borderId="15" xfId="0" applyFont="1" applyFill="1" applyBorder="1" applyAlignment="1">
      <alignment horizontal="center" vertical="center" wrapText="1"/>
    </xf>
    <xf numFmtId="4" fontId="19" fillId="0" borderId="2" xfId="0" applyNumberFormat="1" applyFont="1" applyBorder="1" applyAlignment="1">
      <alignment horizontal="center" vertical="center" wrapText="1"/>
    </xf>
    <xf numFmtId="4" fontId="19" fillId="0" borderId="1" xfId="0" applyNumberFormat="1" applyFont="1" applyBorder="1" applyAlignment="1">
      <alignment horizontal="center" vertical="center" wrapText="1"/>
    </xf>
    <xf numFmtId="0" fontId="8" fillId="0" borderId="0" xfId="0" applyFont="1" applyAlignment="1">
      <alignment horizontal="center" vertical="center"/>
    </xf>
    <xf numFmtId="4" fontId="8" fillId="0" borderId="0" xfId="0" applyNumberFormat="1" applyFont="1" applyAlignment="1">
      <alignment horizontal="center" vertical="center"/>
    </xf>
    <xf numFmtId="167" fontId="8" fillId="0" borderId="0" xfId="0" applyNumberFormat="1" applyFont="1" applyAlignment="1">
      <alignment horizontal="center" vertical="center"/>
    </xf>
    <xf numFmtId="0" fontId="8" fillId="0" borderId="4" xfId="0" applyFont="1" applyBorder="1" applyAlignment="1">
      <alignment vertical="center"/>
    </xf>
    <xf numFmtId="0" fontId="7" fillId="0" borderId="73" xfId="0" applyFont="1" applyBorder="1" applyAlignment="1">
      <alignment vertical="center"/>
    </xf>
    <xf numFmtId="0" fontId="7" fillId="0" borderId="86" xfId="0" applyFont="1" applyBorder="1" applyAlignment="1">
      <alignment vertical="center"/>
    </xf>
    <xf numFmtId="0" fontId="7" fillId="0" borderId="88" xfId="0" applyFont="1" applyBorder="1" applyAlignment="1">
      <alignment vertical="center"/>
    </xf>
    <xf numFmtId="0" fontId="7" fillId="0" borderId="88" xfId="0" applyFont="1" applyBorder="1" applyAlignment="1">
      <alignment vertical="center" wrapText="1"/>
    </xf>
    <xf numFmtId="0" fontId="7" fillId="0" borderId="97" xfId="0" applyFont="1" applyBorder="1" applyAlignment="1">
      <alignment vertical="center"/>
    </xf>
    <xf numFmtId="0" fontId="8" fillId="0" borderId="100" xfId="0" applyFont="1" applyBorder="1" applyAlignment="1" applyProtection="1">
      <alignment horizontal="center" vertical="center"/>
      <protection locked="0"/>
    </xf>
    <xf numFmtId="0" fontId="8" fillId="0" borderId="101" xfId="0" applyFont="1" applyBorder="1" applyAlignment="1" applyProtection="1">
      <alignment horizontal="center" vertical="center"/>
      <protection locked="0"/>
    </xf>
    <xf numFmtId="0" fontId="8" fillId="0" borderId="102" xfId="0" applyFont="1" applyBorder="1" applyAlignment="1" applyProtection="1">
      <alignment horizontal="center" vertical="center"/>
      <protection locked="0"/>
    </xf>
    <xf numFmtId="0" fontId="8" fillId="0" borderId="103" xfId="0"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4" xfId="0" applyNumberFormat="1" applyFont="1" applyBorder="1" applyAlignment="1" applyProtection="1">
      <alignment vertical="center"/>
      <protection locked="0"/>
    </xf>
    <xf numFmtId="169" fontId="8" fillId="0" borderId="89" xfId="0" applyNumberFormat="1"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19" fillId="11" borderId="0" xfId="0" applyFont="1" applyFill="1" applyAlignment="1">
      <alignment vertical="center"/>
    </xf>
    <xf numFmtId="0" fontId="8" fillId="11" borderId="0" xfId="0" applyFont="1" applyFill="1" applyAlignment="1">
      <alignment vertical="center"/>
    </xf>
    <xf numFmtId="0" fontId="8" fillId="11" borderId="0" xfId="0" applyFont="1" applyFill="1" applyAlignment="1">
      <alignment horizontal="left" vertical="center"/>
    </xf>
    <xf numFmtId="0" fontId="7" fillId="11" borderId="0" xfId="0" applyFont="1" applyFill="1" applyAlignment="1">
      <alignment vertical="center"/>
    </xf>
    <xf numFmtId="0" fontId="26" fillId="9" borderId="23" xfId="0" applyFont="1" applyFill="1" applyBorder="1" applyAlignment="1">
      <alignment vertical="center"/>
    </xf>
    <xf numFmtId="0" fontId="8" fillId="9" borderId="24" xfId="0" applyFont="1" applyFill="1" applyBorder="1" applyAlignment="1">
      <alignment vertical="center"/>
    </xf>
    <xf numFmtId="0" fontId="8" fillId="9" borderId="25" xfId="0" applyFont="1" applyFill="1" applyBorder="1" applyAlignment="1">
      <alignment vertical="center"/>
    </xf>
    <xf numFmtId="49" fontId="8" fillId="9" borderId="26" xfId="0" applyNumberFormat="1" applyFont="1" applyFill="1" applyBorder="1" applyAlignment="1">
      <alignment horizontal="right" vertical="top"/>
    </xf>
    <xf numFmtId="49" fontId="7" fillId="9" borderId="26" xfId="0" applyNumberFormat="1" applyFont="1" applyFill="1" applyBorder="1" applyAlignment="1">
      <alignment horizontal="right" vertical="top"/>
    </xf>
    <xf numFmtId="49" fontId="8" fillId="9" borderId="0" xfId="0" applyNumberFormat="1" applyFont="1" applyFill="1" applyAlignment="1">
      <alignment horizontal="right" vertical="top"/>
    </xf>
    <xf numFmtId="49" fontId="8" fillId="9" borderId="0" xfId="0" applyNumberFormat="1" applyFont="1" applyFill="1" applyAlignment="1">
      <alignment vertical="top" wrapText="1"/>
    </xf>
    <xf numFmtId="49" fontId="7" fillId="9" borderId="26" xfId="0" applyNumberFormat="1" applyFont="1" applyFill="1" applyBorder="1" applyAlignment="1">
      <alignment vertical="top"/>
    </xf>
    <xf numFmtId="49" fontId="7" fillId="9" borderId="26" xfId="0" applyNumberFormat="1" applyFont="1" applyFill="1" applyBorder="1" applyAlignment="1">
      <alignment vertical="center" wrapText="1"/>
    </xf>
    <xf numFmtId="0" fontId="7" fillId="9" borderId="28" xfId="0" applyFont="1" applyFill="1" applyBorder="1" applyAlignment="1">
      <alignment vertical="center"/>
    </xf>
    <xf numFmtId="0" fontId="8" fillId="9" borderId="3" xfId="0" applyFont="1" applyFill="1" applyBorder="1" applyAlignment="1">
      <alignment vertical="center"/>
    </xf>
    <xf numFmtId="49" fontId="8" fillId="9" borderId="3" xfId="0" applyNumberFormat="1" applyFont="1" applyFill="1" applyBorder="1" applyAlignment="1">
      <alignment vertical="top" wrapText="1"/>
    </xf>
    <xf numFmtId="49" fontId="8" fillId="9" borderId="29" xfId="0" applyNumberFormat="1" applyFont="1" applyFill="1" applyBorder="1" applyAlignment="1">
      <alignment vertical="top" wrapText="1"/>
    </xf>
    <xf numFmtId="0" fontId="0" fillId="11" borderId="0" xfId="0" applyFill="1"/>
    <xf numFmtId="0" fontId="0" fillId="11" borderId="0" xfId="0" applyFill="1" applyAlignment="1">
      <alignment vertical="top"/>
    </xf>
    <xf numFmtId="0" fontId="0" fillId="11" borderId="0" xfId="0" applyFill="1" applyAlignment="1">
      <alignment horizontal="center" vertical="center"/>
    </xf>
    <xf numFmtId="0" fontId="8" fillId="11" borderId="0" xfId="0" applyFont="1" applyFill="1" applyAlignment="1">
      <alignment horizontal="center" vertical="center" wrapText="1"/>
    </xf>
    <xf numFmtId="0" fontId="0" fillId="11" borderId="0" xfId="0" applyFill="1" applyAlignment="1">
      <alignment vertical="center"/>
    </xf>
    <xf numFmtId="0" fontId="0" fillId="12" borderId="3" xfId="0" applyFill="1" applyBorder="1" applyAlignment="1">
      <alignment vertical="center"/>
    </xf>
    <xf numFmtId="0" fontId="0" fillId="12" borderId="20" xfId="0" applyFill="1" applyBorder="1" applyAlignment="1">
      <alignment vertical="center"/>
    </xf>
    <xf numFmtId="167" fontId="20" fillId="11" borderId="12" xfId="5" applyNumberFormat="1" applyFont="1" applyFill="1" applyBorder="1" applyAlignment="1" applyProtection="1">
      <alignment horizontal="center" vertical="center" wrapText="1"/>
    </xf>
    <xf numFmtId="167" fontId="20" fillId="11" borderId="12" xfId="0" applyNumberFormat="1" applyFont="1" applyFill="1" applyBorder="1" applyAlignment="1">
      <alignment horizontal="center" vertical="center" wrapText="1"/>
    </xf>
    <xf numFmtId="4" fontId="20" fillId="11" borderId="12" xfId="0" applyNumberFormat="1" applyFont="1" applyFill="1" applyBorder="1" applyAlignment="1">
      <alignment horizontal="center" vertical="center" wrapText="1"/>
    </xf>
    <xf numFmtId="167" fontId="1" fillId="11" borderId="15" xfId="0" applyNumberFormat="1" applyFont="1" applyFill="1" applyBorder="1" applyAlignment="1">
      <alignment horizontal="center" vertical="center" wrapText="1"/>
    </xf>
    <xf numFmtId="4" fontId="8" fillId="11" borderId="15" xfId="0" applyNumberFormat="1" applyFont="1" applyFill="1" applyBorder="1" applyAlignment="1">
      <alignment horizontal="center" vertical="center" wrapText="1"/>
    </xf>
    <xf numFmtId="4" fontId="1" fillId="11" borderId="64" xfId="0" applyNumberFormat="1" applyFont="1" applyFill="1" applyBorder="1" applyAlignment="1">
      <alignment horizontal="center" vertical="center" wrapText="1"/>
    </xf>
    <xf numFmtId="4" fontId="1" fillId="11" borderId="15" xfId="0" applyNumberFormat="1" applyFont="1" applyFill="1" applyBorder="1" applyAlignment="1">
      <alignment horizontal="center" vertical="center" wrapText="1"/>
    </xf>
    <xf numFmtId="0" fontId="16" fillId="11" borderId="0" xfId="0" applyFont="1" applyFill="1" applyAlignment="1">
      <alignment vertical="center"/>
    </xf>
    <xf numFmtId="0" fontId="36" fillId="12" borderId="3" xfId="0" applyFont="1" applyFill="1" applyBorder="1" applyAlignment="1">
      <alignment vertical="center"/>
    </xf>
    <xf numFmtId="0" fontId="40" fillId="11" borderId="0" xfId="0" applyFont="1" applyFill="1" applyAlignment="1">
      <alignment vertical="center"/>
    </xf>
    <xf numFmtId="0" fontId="40" fillId="11" borderId="0" xfId="0" applyFont="1" applyFill="1" applyAlignment="1" applyProtection="1">
      <alignment vertical="center"/>
      <protection locked="0"/>
    </xf>
    <xf numFmtId="0" fontId="8" fillId="11" borderId="0" xfId="0" applyFont="1" applyFill="1" applyAlignment="1" applyProtection="1">
      <alignment vertical="center"/>
      <protection locked="0"/>
    </xf>
    <xf numFmtId="0" fontId="7" fillId="0" borderId="84" xfId="0" applyFont="1" applyBorder="1" applyAlignment="1">
      <alignment vertical="center" wrapText="1"/>
    </xf>
    <xf numFmtId="0" fontId="8" fillId="11" borderId="0" xfId="0" applyFont="1" applyFill="1" applyAlignment="1" applyProtection="1">
      <alignment horizontal="left" vertical="center"/>
      <protection locked="0"/>
    </xf>
    <xf numFmtId="0" fontId="39" fillId="11" borderId="3" xfId="0" applyFont="1" applyFill="1" applyBorder="1" applyAlignment="1">
      <alignment horizontal="center" vertical="center" wrapText="1"/>
    </xf>
    <xf numFmtId="0" fontId="43" fillId="11" borderId="0" xfId="0" applyFont="1" applyFill="1" applyAlignment="1">
      <alignment vertical="center"/>
    </xf>
    <xf numFmtId="0" fontId="16" fillId="7" borderId="26" xfId="0" applyFont="1" applyFill="1" applyBorder="1" applyAlignment="1">
      <alignment vertical="center"/>
    </xf>
    <xf numFmtId="0" fontId="16" fillId="7" borderId="0" xfId="0" applyFont="1" applyFill="1" applyAlignment="1">
      <alignment vertical="center"/>
    </xf>
    <xf numFmtId="0" fontId="16" fillId="7" borderId="54" xfId="0" applyFont="1" applyFill="1" applyBorder="1" applyAlignment="1">
      <alignment vertical="center"/>
    </xf>
    <xf numFmtId="0" fontId="41" fillId="12" borderId="20" xfId="0" applyFont="1" applyFill="1" applyBorder="1" applyAlignment="1">
      <alignment horizontal="center" vertical="center"/>
    </xf>
    <xf numFmtId="0" fontId="16" fillId="12" borderId="3" xfId="0" applyFont="1" applyFill="1" applyBorder="1" applyAlignment="1">
      <alignment horizontal="left" vertical="center"/>
    </xf>
    <xf numFmtId="0" fontId="16" fillId="11" borderId="0" xfId="0" applyFont="1" applyFill="1" applyAlignment="1">
      <alignment horizontal="left" vertical="center"/>
    </xf>
    <xf numFmtId="171" fontId="16" fillId="9" borderId="5" xfId="0" applyNumberFormat="1" applyFont="1" applyFill="1" applyBorder="1" applyAlignment="1" applyProtection="1">
      <alignment horizontal="center" vertical="center"/>
      <protection locked="0"/>
    </xf>
    <xf numFmtId="0" fontId="16" fillId="9" borderId="5"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172" fontId="16" fillId="9" borderId="5" xfId="0" applyNumberFormat="1" applyFont="1" applyFill="1" applyBorder="1" applyAlignment="1" applyProtection="1">
      <alignment horizontal="center" vertical="center"/>
      <protection locked="0"/>
    </xf>
    <xf numFmtId="173" fontId="16" fillId="9" borderId="5" xfId="0" applyNumberFormat="1" applyFont="1" applyFill="1" applyBorder="1" applyAlignment="1" applyProtection="1">
      <alignment horizontal="center" vertical="center"/>
      <protection locked="0"/>
    </xf>
    <xf numFmtId="0" fontId="7" fillId="11" borderId="25" xfId="0" applyFont="1" applyFill="1" applyBorder="1" applyAlignment="1">
      <alignment horizontal="center" vertical="center" wrapText="1"/>
    </xf>
    <xf numFmtId="0" fontId="8" fillId="11" borderId="0" xfId="0" applyFont="1" applyFill="1"/>
    <xf numFmtId="0" fontId="9" fillId="11" borderId="34" xfId="0" applyFont="1" applyFill="1" applyBorder="1" applyAlignment="1">
      <alignment horizontal="center" vertical="center"/>
    </xf>
    <xf numFmtId="0" fontId="9" fillId="11" borderId="15" xfId="0" applyFont="1" applyFill="1" applyBorder="1" applyAlignment="1">
      <alignment horizontal="center" vertical="center"/>
    </xf>
    <xf numFmtId="0" fontId="9" fillId="11" borderId="33" xfId="0" applyFont="1" applyFill="1" applyBorder="1" applyAlignment="1">
      <alignment horizontal="center" vertical="center"/>
    </xf>
    <xf numFmtId="10" fontId="9" fillId="11" borderId="15" xfId="0" applyNumberFormat="1" applyFont="1" applyFill="1" applyBorder="1" applyAlignment="1">
      <alignment horizontal="center" vertical="center"/>
    </xf>
    <xf numFmtId="0" fontId="9" fillId="11" borderId="29" xfId="0" applyFont="1" applyFill="1" applyBorder="1" applyAlignment="1">
      <alignment horizontal="center" vertical="center"/>
    </xf>
    <xf numFmtId="0" fontId="1" fillId="11" borderId="0" xfId="0" applyFont="1" applyFill="1"/>
    <xf numFmtId="2" fontId="7" fillId="11" borderId="5" xfId="0" applyNumberFormat="1" applyFont="1" applyFill="1" applyBorder="1" applyAlignment="1">
      <alignment horizontal="center" vertical="center" wrapText="1"/>
    </xf>
    <xf numFmtId="0" fontId="7" fillId="11" borderId="5" xfId="0" applyFont="1" applyFill="1" applyBorder="1" applyAlignment="1">
      <alignment horizontal="center" vertical="center" wrapText="1"/>
    </xf>
    <xf numFmtId="0" fontId="7" fillId="11" borderId="21" xfId="0" applyFont="1" applyFill="1" applyBorder="1" applyAlignment="1">
      <alignment horizontal="center" vertical="center" wrapText="1"/>
    </xf>
    <xf numFmtId="0" fontId="7" fillId="11" borderId="17" xfId="0" applyFont="1" applyFill="1" applyBorder="1" applyAlignment="1">
      <alignment horizontal="center" vertical="center" wrapText="1"/>
    </xf>
    <xf numFmtId="0" fontId="7" fillId="11" borderId="18" xfId="0" applyFont="1" applyFill="1" applyBorder="1" applyAlignment="1">
      <alignment horizontal="center" vertical="center" wrapText="1"/>
    </xf>
    <xf numFmtId="0" fontId="29" fillId="11" borderId="0" xfId="0" applyFont="1" applyFill="1" applyAlignment="1">
      <alignment vertical="center"/>
    </xf>
    <xf numFmtId="0" fontId="14" fillId="11" borderId="0" xfId="0" applyFont="1" applyFill="1"/>
    <xf numFmtId="10" fontId="8" fillId="11" borderId="0" xfId="0" applyNumberFormat="1" applyFont="1" applyFill="1"/>
    <xf numFmtId="0" fontId="1" fillId="11" borderId="15" xfId="0" applyFont="1" applyFill="1" applyBorder="1" applyAlignment="1">
      <alignment horizontal="center" vertical="center"/>
    </xf>
    <xf numFmtId="10" fontId="1" fillId="11" borderId="15" xfId="0" applyNumberFormat="1" applyFont="1" applyFill="1" applyBorder="1" applyAlignment="1">
      <alignment horizontal="center" vertical="center"/>
    </xf>
    <xf numFmtId="0" fontId="1" fillId="11" borderId="29" xfId="0" applyFont="1" applyFill="1" applyBorder="1" applyAlignment="1">
      <alignment horizontal="center" vertical="center"/>
    </xf>
    <xf numFmtId="2" fontId="16" fillId="7" borderId="5" xfId="0" applyNumberFormat="1" applyFont="1" applyFill="1" applyBorder="1" applyAlignment="1">
      <alignment horizontal="center" vertical="center"/>
    </xf>
    <xf numFmtId="2" fontId="16" fillId="9" borderId="5" xfId="0" applyNumberFormat="1" applyFont="1" applyFill="1" applyBorder="1" applyAlignment="1" applyProtection="1">
      <alignment horizontal="center" vertical="center"/>
      <protection locked="0"/>
    </xf>
    <xf numFmtId="1" fontId="16" fillId="9" borderId="5" xfId="0" applyNumberFormat="1" applyFont="1" applyFill="1" applyBorder="1" applyAlignment="1" applyProtection="1">
      <alignment horizontal="center" vertical="center"/>
      <protection locked="0"/>
    </xf>
    <xf numFmtId="175" fontId="47" fillId="11" borderId="0" xfId="0" applyNumberFormat="1" applyFont="1" applyFill="1" applyAlignment="1">
      <alignment horizontal="right" vertical="center"/>
    </xf>
    <xf numFmtId="0" fontId="16" fillId="11" borderId="24" xfId="0" applyFont="1" applyFill="1" applyBorder="1" applyAlignment="1">
      <alignment vertical="center" wrapText="1"/>
    </xf>
    <xf numFmtId="0" fontId="16" fillId="11" borderId="0" xfId="0" applyFont="1" applyFill="1" applyAlignment="1">
      <alignment horizontal="left" vertical="center" wrapText="1"/>
    </xf>
    <xf numFmtId="0" fontId="20" fillId="11" borderId="0" xfId="0" applyFont="1" applyFill="1" applyAlignment="1">
      <alignment vertical="center"/>
    </xf>
    <xf numFmtId="0" fontId="8" fillId="11" borderId="0" xfId="0" applyFont="1" applyFill="1" applyAlignment="1">
      <alignment horizontal="center" vertical="center"/>
    </xf>
    <xf numFmtId="0" fontId="8" fillId="11" borderId="1" xfId="0" applyFont="1" applyFill="1" applyBorder="1" applyAlignment="1">
      <alignment vertical="center"/>
    </xf>
    <xf numFmtId="0" fontId="8" fillId="11" borderId="0" xfId="0" quotePrefix="1" applyFont="1" applyFill="1" applyAlignment="1">
      <alignment horizontal="center" vertical="center"/>
    </xf>
    <xf numFmtId="0" fontId="21" fillId="11" borderId="0" xfId="5" applyFont="1" applyFill="1" applyBorder="1" applyAlignment="1" applyProtection="1">
      <alignment horizontal="center" vertical="center"/>
    </xf>
    <xf numFmtId="0" fontId="47" fillId="11" borderId="0" xfId="5" applyFont="1" applyFill="1" applyAlignment="1" applyProtection="1">
      <alignment horizontal="left" vertical="center" wrapText="1"/>
    </xf>
    <xf numFmtId="0" fontId="8" fillId="11" borderId="0" xfId="0" applyFont="1" applyFill="1" applyAlignment="1">
      <alignment vertical="center" wrapText="1"/>
    </xf>
    <xf numFmtId="2" fontId="8" fillId="11" borderId="0" xfId="0" applyNumberFormat="1" applyFont="1" applyFill="1" applyAlignment="1">
      <alignment vertical="center"/>
    </xf>
    <xf numFmtId="0" fontId="0" fillId="11" borderId="138" xfId="0" applyFill="1" applyBorder="1" applyAlignment="1">
      <alignment vertical="center" wrapText="1"/>
    </xf>
    <xf numFmtId="0" fontId="0" fillId="11" borderId="141" xfId="0" applyFill="1" applyBorder="1" applyAlignment="1">
      <alignment vertical="center" wrapText="1"/>
    </xf>
    <xf numFmtId="178" fontId="0" fillId="12" borderId="3" xfId="0" applyNumberFormat="1" applyFill="1" applyBorder="1" applyAlignment="1">
      <alignment vertical="center"/>
    </xf>
    <xf numFmtId="178" fontId="0" fillId="11" borderId="0" xfId="0" applyNumberFormat="1" applyFill="1" applyAlignment="1">
      <alignment vertical="center"/>
    </xf>
    <xf numFmtId="178" fontId="0" fillId="12" borderId="20" xfId="0" applyNumberFormat="1" applyFill="1" applyBorder="1" applyAlignment="1">
      <alignment vertical="center"/>
    </xf>
    <xf numFmtId="178" fontId="8" fillId="11" borderId="0" xfId="0" applyNumberFormat="1" applyFont="1" applyFill="1" applyAlignment="1">
      <alignment vertical="center"/>
    </xf>
    <xf numFmtId="0" fontId="16" fillId="11" borderId="139" xfId="0" applyFont="1" applyFill="1" applyBorder="1" applyAlignment="1">
      <alignment horizontal="center" vertical="center" wrapText="1"/>
    </xf>
    <xf numFmtId="178" fontId="50" fillId="11" borderId="0" xfId="0" applyNumberFormat="1" applyFont="1" applyFill="1" applyAlignment="1">
      <alignment horizontal="center" vertical="center"/>
    </xf>
    <xf numFmtId="0" fontId="0" fillId="11" borderId="140" xfId="0" applyFill="1" applyBorder="1" applyAlignment="1">
      <alignment vertical="center" wrapText="1"/>
    </xf>
    <xf numFmtId="178" fontId="8" fillId="11" borderId="0" xfId="0" applyNumberFormat="1" applyFont="1" applyFill="1" applyAlignment="1">
      <alignment vertical="center" wrapText="1"/>
    </xf>
    <xf numFmtId="0" fontId="40" fillId="11" borderId="0" xfId="0" applyFont="1" applyFill="1"/>
    <xf numFmtId="0" fontId="8" fillId="11" borderId="0" xfId="0" quotePrefix="1" applyFont="1" applyFill="1" applyAlignment="1">
      <alignment vertical="center"/>
    </xf>
    <xf numFmtId="0" fontId="0" fillId="12" borderId="3" xfId="0" applyFill="1" applyBorder="1" applyAlignment="1">
      <alignment horizontal="center" vertical="center"/>
    </xf>
    <xf numFmtId="0" fontId="8" fillId="11" borderId="0" xfId="0" applyFont="1" applyFill="1" applyAlignment="1">
      <alignment horizontal="center"/>
    </xf>
    <xf numFmtId="0" fontId="0" fillId="12" borderId="20" xfId="0" applyFill="1" applyBorder="1" applyAlignment="1">
      <alignment horizontal="center" vertical="center"/>
    </xf>
    <xf numFmtId="10" fontId="8" fillId="11" borderId="0" xfId="9" applyNumberFormat="1" applyFont="1" applyFill="1" applyProtection="1"/>
    <xf numFmtId="0" fontId="1" fillId="11" borderId="0" xfId="0" applyFont="1" applyFill="1" applyAlignment="1">
      <alignment vertical="center"/>
    </xf>
    <xf numFmtId="10" fontId="8" fillId="11" borderId="0" xfId="0" applyNumberFormat="1" applyFont="1" applyFill="1" applyAlignment="1">
      <alignment vertical="center"/>
    </xf>
    <xf numFmtId="0" fontId="40" fillId="11" borderId="0" xfId="0" applyFont="1" applyFill="1" applyAlignment="1">
      <alignment horizontal="center" vertical="center"/>
    </xf>
    <xf numFmtId="9" fontId="8" fillId="11" borderId="0" xfId="9" applyFont="1" applyFill="1" applyAlignment="1" applyProtection="1">
      <alignment horizontal="center" vertical="center"/>
    </xf>
    <xf numFmtId="166" fontId="24" fillId="4" borderId="19" xfId="1" applyNumberFormat="1" applyFont="1" applyFill="1" applyBorder="1" applyAlignment="1">
      <alignment horizontal="center"/>
    </xf>
    <xf numFmtId="166" fontId="19" fillId="0" borderId="26" xfId="1" applyNumberFormat="1" applyFont="1" applyBorder="1" applyAlignment="1">
      <alignment horizontal="center"/>
    </xf>
    <xf numFmtId="166" fontId="19" fillId="5" borderId="26" xfId="1" applyNumberFormat="1" applyFont="1" applyFill="1" applyBorder="1" applyAlignment="1">
      <alignment horizontal="center"/>
    </xf>
    <xf numFmtId="0" fontId="3" fillId="6" borderId="0" xfId="1" applyFill="1" applyAlignment="1">
      <alignment horizontal="left"/>
    </xf>
    <xf numFmtId="0" fontId="24" fillId="4" borderId="20" xfId="1" applyFont="1" applyFill="1" applyBorder="1" applyAlignment="1">
      <alignment horizontal="left"/>
    </xf>
    <xf numFmtId="166" fontId="19" fillId="0" borderId="0" xfId="1" applyNumberFormat="1" applyFont="1" applyAlignment="1">
      <alignment horizontal="left"/>
    </xf>
    <xf numFmtId="166" fontId="19" fillId="5" borderId="0" xfId="1" applyNumberFormat="1" applyFont="1" applyFill="1" applyAlignment="1">
      <alignment horizontal="left"/>
    </xf>
    <xf numFmtId="0" fontId="50" fillId="11" borderId="0" xfId="0" applyFont="1" applyFill="1" applyAlignment="1">
      <alignment vertical="center"/>
    </xf>
    <xf numFmtId="166" fontId="19" fillId="0" borderId="55" xfId="1" applyNumberFormat="1" applyFont="1" applyBorder="1" applyAlignment="1">
      <alignment horizontal="center"/>
    </xf>
    <xf numFmtId="166" fontId="19" fillId="0" borderId="56" xfId="1" applyNumberFormat="1" applyFont="1" applyBorder="1" applyAlignment="1">
      <alignment horizontal="left"/>
    </xf>
    <xf numFmtId="0" fontId="16" fillId="0" borderId="148" xfId="0" applyFont="1" applyBorder="1" applyAlignment="1">
      <alignment vertical="center" wrapText="1"/>
    </xf>
    <xf numFmtId="0" fontId="8" fillId="11" borderId="0" xfId="0" applyFont="1" applyFill="1" applyAlignment="1" applyProtection="1">
      <alignment horizontal="center" vertical="center"/>
      <protection locked="0"/>
    </xf>
    <xf numFmtId="0" fontId="8" fillId="11" borderId="26" xfId="0" applyFont="1" applyFill="1" applyBorder="1" applyAlignment="1">
      <alignment horizontal="center" vertical="center" wrapText="1"/>
    </xf>
    <xf numFmtId="0" fontId="0" fillId="11" borderId="68" xfId="0" applyFill="1" applyBorder="1" applyAlignment="1">
      <alignment vertical="center"/>
    </xf>
    <xf numFmtId="175" fontId="47" fillId="11" borderId="68" xfId="0" applyNumberFormat="1" applyFont="1" applyFill="1" applyBorder="1" applyAlignment="1">
      <alignment horizontal="right" vertical="center"/>
    </xf>
    <xf numFmtId="0" fontId="0" fillId="11" borderId="132" xfId="0" applyFill="1" applyBorder="1" applyAlignment="1">
      <alignment vertical="center"/>
    </xf>
    <xf numFmtId="0" fontId="16" fillId="11" borderId="111" xfId="0" applyFont="1" applyFill="1" applyBorder="1" applyAlignment="1">
      <alignment vertical="center" wrapText="1"/>
    </xf>
    <xf numFmtId="0" fontId="47" fillId="11" borderId="68" xfId="5" applyFont="1" applyFill="1" applyBorder="1" applyAlignment="1" applyProtection="1">
      <alignment horizontal="left" vertical="center" wrapText="1"/>
    </xf>
    <xf numFmtId="0" fontId="0" fillId="11" borderId="68" xfId="0" applyFill="1" applyBorder="1" applyAlignment="1">
      <alignment horizontal="center" vertical="center"/>
    </xf>
    <xf numFmtId="175" fontId="16" fillId="11" borderId="68" xfId="0" applyNumberFormat="1" applyFont="1" applyFill="1" applyBorder="1" applyAlignment="1">
      <alignment horizontal="right" vertical="center"/>
    </xf>
    <xf numFmtId="175" fontId="16" fillId="11" borderId="143" xfId="0" applyNumberFormat="1" applyFont="1" applyFill="1" applyBorder="1" applyAlignment="1">
      <alignment horizontal="right" vertical="center"/>
    </xf>
    <xf numFmtId="0" fontId="0" fillId="11" borderId="143" xfId="0" applyFill="1" applyBorder="1" applyAlignment="1">
      <alignment vertical="center"/>
    </xf>
    <xf numFmtId="0" fontId="21" fillId="11" borderId="68" xfId="5" applyFont="1" applyFill="1" applyBorder="1" applyAlignment="1" applyProtection="1">
      <alignment horizontal="center" vertical="center"/>
    </xf>
    <xf numFmtId="178" fontId="0" fillId="11" borderId="68" xfId="0" applyNumberFormat="1" applyFill="1" applyBorder="1" applyAlignment="1">
      <alignment vertical="center"/>
    </xf>
    <xf numFmtId="14" fontId="16" fillId="0" borderId="154" xfId="0" applyNumberFormat="1" applyFont="1" applyBorder="1" applyAlignment="1" applyProtection="1">
      <alignment vertical="center" wrapText="1"/>
      <protection locked="0"/>
    </xf>
    <xf numFmtId="14" fontId="16" fillId="0" borderId="36" xfId="0" applyNumberFormat="1" applyFont="1" applyBorder="1" applyAlignment="1" applyProtection="1">
      <alignment vertical="center" wrapText="1"/>
      <protection locked="0"/>
    </xf>
    <xf numFmtId="14" fontId="16" fillId="0" borderId="37" xfId="0" applyNumberFormat="1" applyFont="1" applyBorder="1" applyAlignment="1" applyProtection="1">
      <alignment vertical="center" wrapText="1"/>
      <protection locked="0"/>
    </xf>
    <xf numFmtId="0" fontId="42" fillId="0" borderId="156" xfId="0" applyFont="1" applyBorder="1" applyAlignment="1">
      <alignment horizontal="center" vertical="center" wrapText="1"/>
    </xf>
    <xf numFmtId="0" fontId="28" fillId="11" borderId="72" xfId="0" applyFont="1" applyFill="1" applyBorder="1" applyAlignment="1">
      <alignment horizontal="center" vertical="center" textRotation="180"/>
    </xf>
    <xf numFmtId="176" fontId="8" fillId="11" borderId="0" xfId="0" applyNumberFormat="1" applyFont="1" applyFill="1" applyAlignment="1">
      <alignment vertical="center"/>
    </xf>
    <xf numFmtId="49" fontId="16" fillId="0" borderId="83" xfId="0" applyNumberFormat="1" applyFont="1" applyBorder="1" applyAlignment="1">
      <alignment horizontal="left" vertical="center"/>
    </xf>
    <xf numFmtId="49" fontId="16" fillId="0" borderId="67" xfId="0" applyNumberFormat="1" applyFont="1" applyBorder="1" applyAlignment="1">
      <alignment horizontal="left" vertical="center"/>
    </xf>
    <xf numFmtId="0" fontId="8" fillId="11" borderId="1" xfId="0" applyFont="1" applyFill="1" applyBorder="1" applyAlignment="1">
      <alignment horizontal="left" vertical="center"/>
    </xf>
    <xf numFmtId="167" fontId="8" fillId="11" borderId="0" xfId="0" applyNumberFormat="1" applyFont="1" applyFill="1" applyAlignment="1">
      <alignment horizontal="center" vertical="center"/>
    </xf>
    <xf numFmtId="4" fontId="8" fillId="11" borderId="0" xfId="0" applyNumberFormat="1" applyFont="1" applyFill="1" applyAlignment="1">
      <alignment horizontal="center" vertical="center"/>
    </xf>
    <xf numFmtId="0" fontId="10" fillId="11" borderId="0" xfId="0" applyFont="1" applyFill="1" applyAlignment="1">
      <alignment vertical="center"/>
    </xf>
    <xf numFmtId="0" fontId="7" fillId="11" borderId="0" xfId="0" applyFont="1" applyFill="1" applyAlignment="1">
      <alignment horizontal="center" vertical="center"/>
    </xf>
    <xf numFmtId="0" fontId="15" fillId="11" borderId="0" xfId="0" applyFont="1" applyFill="1" applyAlignment="1">
      <alignment vertical="center"/>
    </xf>
    <xf numFmtId="0" fontId="9" fillId="6" borderId="3" xfId="19" applyFont="1" applyFill="1" applyBorder="1" applyAlignment="1">
      <alignment wrapText="1"/>
    </xf>
    <xf numFmtId="0" fontId="9" fillId="6" borderId="3" xfId="19" applyFont="1" applyFill="1" applyBorder="1"/>
    <xf numFmtId="0" fontId="30" fillId="6" borderId="3" xfId="0" applyFont="1" applyFill="1" applyBorder="1"/>
    <xf numFmtId="0" fontId="1" fillId="6" borderId="0" xfId="19" applyFill="1" applyAlignment="1">
      <alignment horizontal="left" vertical="top" wrapText="1"/>
    </xf>
    <xf numFmtId="0" fontId="0" fillId="6" borderId="0" xfId="0" applyFill="1" applyAlignment="1">
      <alignment vertical="center"/>
    </xf>
    <xf numFmtId="0" fontId="16" fillId="6" borderId="134" xfId="0" applyFont="1" applyFill="1" applyBorder="1" applyAlignment="1">
      <alignment horizontal="center" vertical="center" wrapText="1"/>
    </xf>
    <xf numFmtId="0" fontId="16" fillId="6" borderId="135" xfId="0" applyFont="1" applyFill="1" applyBorder="1" applyAlignment="1">
      <alignment horizontal="center" vertical="center" wrapText="1"/>
    </xf>
    <xf numFmtId="0" fontId="0" fillId="6" borderId="140" xfId="0" applyFill="1" applyBorder="1" applyAlignment="1">
      <alignment vertical="center" wrapText="1"/>
    </xf>
    <xf numFmtId="178" fontId="0" fillId="6" borderId="58" xfId="0" applyNumberFormat="1" applyFill="1" applyBorder="1" applyAlignment="1">
      <alignment horizontal="center" vertical="center" wrapText="1"/>
    </xf>
    <xf numFmtId="9" fontId="0" fillId="6" borderId="58" xfId="9" applyFont="1" applyFill="1" applyBorder="1" applyAlignment="1">
      <alignment horizontal="center" vertical="center" wrapText="1"/>
    </xf>
    <xf numFmtId="9" fontId="0" fillId="6" borderId="2" xfId="9" applyFont="1" applyFill="1" applyBorder="1" applyAlignment="1">
      <alignment horizontal="center" vertical="center" wrapText="1"/>
    </xf>
    <xf numFmtId="0" fontId="0" fillId="6" borderId="2" xfId="0" applyFill="1" applyBorder="1" applyAlignment="1">
      <alignment horizontal="center" vertical="center" wrapText="1"/>
    </xf>
    <xf numFmtId="0" fontId="0" fillId="6" borderId="137" xfId="0" applyFill="1" applyBorder="1" applyAlignment="1">
      <alignment horizontal="center" vertical="center" wrapText="1"/>
    </xf>
    <xf numFmtId="0" fontId="0" fillId="6" borderId="138" xfId="0" applyFill="1" applyBorder="1" applyAlignment="1">
      <alignment vertical="center" wrapText="1"/>
    </xf>
    <xf numFmtId="178" fontId="0" fillId="6" borderId="8" xfId="0" applyNumberFormat="1" applyFill="1" applyBorder="1" applyAlignment="1">
      <alignment horizontal="center" vertical="center" wrapText="1"/>
    </xf>
    <xf numFmtId="9" fontId="0" fillId="6" borderId="8" xfId="9" applyFont="1" applyFill="1" applyBorder="1" applyAlignment="1">
      <alignment horizontal="center" vertical="center" wrapText="1"/>
    </xf>
    <xf numFmtId="9" fontId="0" fillId="6" borderId="1" xfId="9"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136" xfId="0" applyFill="1" applyBorder="1" applyAlignment="1">
      <alignment horizontal="center" vertical="center" wrapText="1"/>
    </xf>
    <xf numFmtId="0" fontId="0" fillId="6" borderId="8" xfId="0" applyFill="1" applyBorder="1" applyAlignment="1">
      <alignment horizontal="center" vertical="center" wrapText="1"/>
    </xf>
    <xf numFmtId="9" fontId="0" fillId="6" borderId="136" xfId="9" applyFont="1" applyFill="1" applyBorder="1" applyAlignment="1">
      <alignment horizontal="center" vertical="center" wrapText="1"/>
    </xf>
    <xf numFmtId="0" fontId="49" fillId="6" borderId="1" xfId="5" applyFont="1" applyFill="1" applyBorder="1" applyAlignment="1" applyProtection="1">
      <alignment horizontal="center" vertical="center" wrapText="1"/>
    </xf>
    <xf numFmtId="0" fontId="0" fillId="6" borderId="141" xfId="0" applyFill="1" applyBorder="1" applyAlignment="1">
      <alignment vertical="center" wrapText="1"/>
    </xf>
    <xf numFmtId="178" fontId="0" fillId="6" borderId="133" xfId="0" applyNumberFormat="1" applyFill="1" applyBorder="1" applyAlignment="1">
      <alignment horizontal="center" vertical="center" wrapText="1"/>
    </xf>
    <xf numFmtId="9" fontId="0" fillId="6" borderId="133" xfId="9" applyFont="1" applyFill="1" applyBorder="1" applyAlignment="1">
      <alignment horizontal="center" vertical="center" wrapText="1"/>
    </xf>
    <xf numFmtId="9" fontId="0" fillId="6" borderId="134" xfId="9" applyFont="1" applyFill="1" applyBorder="1" applyAlignment="1">
      <alignment horizontal="center" vertical="center" wrapText="1"/>
    </xf>
    <xf numFmtId="0" fontId="0" fillId="6" borderId="134" xfId="0" applyFill="1" applyBorder="1" applyAlignment="1">
      <alignment horizontal="center" vertical="center" wrapText="1"/>
    </xf>
    <xf numFmtId="0" fontId="0" fillId="6" borderId="135" xfId="0" applyFill="1" applyBorder="1" applyAlignment="1">
      <alignment horizontal="center" vertical="center" wrapText="1"/>
    </xf>
    <xf numFmtId="178" fontId="0" fillId="6" borderId="0" xfId="0" applyNumberFormat="1" applyFill="1" applyAlignment="1">
      <alignment vertical="center"/>
    </xf>
    <xf numFmtId="175" fontId="47" fillId="11" borderId="143" xfId="0" applyNumberFormat="1" applyFont="1" applyFill="1" applyBorder="1" applyAlignment="1">
      <alignment horizontal="left" vertical="center" wrapText="1"/>
    </xf>
    <xf numFmtId="0" fontId="16" fillId="9" borderId="43" xfId="0" applyFont="1" applyFill="1" applyBorder="1" applyAlignment="1">
      <alignment vertical="center" wrapText="1"/>
    </xf>
    <xf numFmtId="0" fontId="16" fillId="9" borderId="47" xfId="0" applyFont="1" applyFill="1" applyBorder="1" applyAlignment="1">
      <alignment vertical="center" wrapText="1"/>
    </xf>
    <xf numFmtId="0" fontId="46" fillId="11" borderId="117" xfId="5" applyFont="1" applyFill="1" applyBorder="1" applyAlignment="1" applyProtection="1">
      <alignment horizontal="center" vertical="center" wrapText="1"/>
    </xf>
    <xf numFmtId="0" fontId="46" fillId="11" borderId="118" xfId="5" applyFont="1" applyFill="1" applyBorder="1" applyAlignment="1" applyProtection="1">
      <alignment horizontal="center" vertical="center" wrapText="1"/>
    </xf>
    <xf numFmtId="0" fontId="46" fillId="11" borderId="119" xfId="5" applyFont="1" applyFill="1" applyBorder="1" applyAlignment="1" applyProtection="1">
      <alignment horizontal="center" vertical="center" wrapText="1"/>
    </xf>
    <xf numFmtId="175" fontId="47" fillId="11" borderId="143" xfId="0" applyNumberFormat="1" applyFont="1" applyFill="1" applyBorder="1" applyAlignment="1">
      <alignment horizontal="left" vertical="center"/>
    </xf>
    <xf numFmtId="0" fontId="16" fillId="0" borderId="43" xfId="0" applyFont="1" applyBorder="1" applyAlignment="1">
      <alignment vertical="center" wrapText="1"/>
    </xf>
    <xf numFmtId="0" fontId="16" fillId="9" borderId="12" xfId="0" applyFont="1" applyFill="1" applyBorder="1" applyAlignment="1">
      <alignment vertical="center" wrapText="1"/>
    </xf>
    <xf numFmtId="0" fontId="16" fillId="0" borderId="12" xfId="0" applyFont="1" applyBorder="1" applyAlignment="1">
      <alignment vertical="center" wrapText="1"/>
    </xf>
    <xf numFmtId="0" fontId="16" fillId="0" borderId="62" xfId="0" applyFont="1" applyBorder="1" applyAlignment="1">
      <alignment vertical="center" wrapText="1"/>
    </xf>
    <xf numFmtId="0" fontId="16" fillId="0" borderId="93" xfId="0" applyFont="1" applyBorder="1" applyAlignment="1">
      <alignment horizontal="left" vertical="center"/>
    </xf>
    <xf numFmtId="0" fontId="16" fillId="0" borderId="88" xfId="0" applyFont="1" applyBorder="1" applyAlignment="1">
      <alignment horizontal="left" vertical="center"/>
    </xf>
    <xf numFmtId="0" fontId="16" fillId="0" borderId="93" xfId="0" applyFont="1" applyBorder="1" applyAlignment="1">
      <alignment horizontal="left" vertical="top" wrapText="1"/>
    </xf>
    <xf numFmtId="0" fontId="16" fillId="0" borderId="88" xfId="0" applyFont="1" applyBorder="1" applyAlignment="1">
      <alignment horizontal="left" vertical="top" wrapText="1"/>
    </xf>
    <xf numFmtId="0" fontId="16" fillId="9" borderId="93" xfId="0" applyFont="1" applyFill="1" applyBorder="1" applyAlignment="1">
      <alignment horizontal="left" vertical="center"/>
    </xf>
    <xf numFmtId="0" fontId="16" fillId="9" borderId="88" xfId="0" applyFont="1" applyFill="1" applyBorder="1" applyAlignment="1">
      <alignment horizontal="left" vertical="center"/>
    </xf>
    <xf numFmtId="0" fontId="16" fillId="9" borderId="93" xfId="0" applyFont="1" applyFill="1" applyBorder="1" applyAlignment="1">
      <alignment vertical="center"/>
    </xf>
    <xf numFmtId="0" fontId="16" fillId="9" borderId="88" xfId="0" applyFont="1" applyFill="1" applyBorder="1" applyAlignment="1">
      <alignment vertical="center"/>
    </xf>
    <xf numFmtId="0" fontId="7" fillId="9" borderId="91" xfId="0" applyFont="1" applyFill="1" applyBorder="1" applyAlignment="1">
      <alignment horizontal="center" vertical="center" wrapText="1"/>
    </xf>
    <xf numFmtId="0" fontId="7" fillId="0" borderId="91" xfId="0" applyFont="1" applyBorder="1" applyAlignment="1">
      <alignment horizontal="center" vertical="center" wrapText="1"/>
    </xf>
    <xf numFmtId="0" fontId="16" fillId="0" borderId="67" xfId="0" applyFont="1" applyBorder="1" applyAlignment="1">
      <alignment horizontal="left" vertical="center"/>
    </xf>
    <xf numFmtId="0" fontId="16" fillId="0" borderId="87" xfId="0" applyFont="1" applyBorder="1" applyAlignment="1">
      <alignment horizontal="left" vertical="center"/>
    </xf>
    <xf numFmtId="0" fontId="16" fillId="0" borderId="78" xfId="0" applyFont="1" applyBorder="1" applyAlignment="1">
      <alignment horizontal="left" vertical="center"/>
    </xf>
    <xf numFmtId="0" fontId="16" fillId="0" borderId="98" xfId="0" applyFont="1" applyBorder="1" applyAlignment="1">
      <alignment horizontal="left" vertical="center"/>
    </xf>
    <xf numFmtId="0" fontId="16" fillId="9" borderId="158" xfId="0" applyFont="1" applyFill="1" applyBorder="1" applyAlignment="1">
      <alignment vertical="center"/>
    </xf>
    <xf numFmtId="0" fontId="16" fillId="9" borderId="165" xfId="0" applyFont="1" applyFill="1" applyBorder="1" applyAlignment="1">
      <alignment vertical="center"/>
    </xf>
    <xf numFmtId="0" fontId="16" fillId="9" borderId="162" xfId="0" applyFont="1" applyFill="1" applyBorder="1" applyAlignment="1">
      <alignment vertical="center"/>
    </xf>
    <xf numFmtId="164" fontId="16" fillId="0" borderId="118" xfId="0" applyNumberFormat="1" applyFont="1" applyBorder="1" applyAlignment="1" applyProtection="1">
      <alignment horizontal="center" vertical="center" wrapText="1"/>
      <protection locked="0"/>
    </xf>
    <xf numFmtId="0" fontId="16" fillId="0" borderId="118" xfId="0" applyFont="1" applyBorder="1" applyAlignment="1" applyProtection="1">
      <alignment horizontal="center" vertical="center" wrapText="1"/>
      <protection locked="0"/>
    </xf>
    <xf numFmtId="164" fontId="16" fillId="0" borderId="119" xfId="0" applyNumberFormat="1" applyFont="1" applyBorder="1" applyAlignment="1" applyProtection="1">
      <alignment horizontal="center" vertical="center" wrapText="1"/>
      <protection locked="0"/>
    </xf>
    <xf numFmtId="0" fontId="16" fillId="0" borderId="119" xfId="0" applyFont="1" applyBorder="1" applyAlignment="1" applyProtection="1">
      <alignment horizontal="center" vertical="center" wrapText="1"/>
      <protection locked="0"/>
    </xf>
    <xf numFmtId="164" fontId="16" fillId="11" borderId="117" xfId="0" applyNumberFormat="1" applyFont="1" applyFill="1" applyBorder="1" applyAlignment="1">
      <alignment horizontal="center" vertical="center" wrapText="1"/>
    </xf>
    <xf numFmtId="0" fontId="16" fillId="11" borderId="117" xfId="0" applyFont="1" applyFill="1" applyBorder="1" applyAlignment="1">
      <alignment horizontal="center" vertical="center" wrapText="1"/>
    </xf>
    <xf numFmtId="0" fontId="16" fillId="11" borderId="118" xfId="0" applyFont="1" applyFill="1" applyBorder="1" applyAlignment="1">
      <alignment horizontal="center" vertical="center" wrapText="1"/>
    </xf>
    <xf numFmtId="164" fontId="16" fillId="11" borderId="118" xfId="0" applyNumberFormat="1" applyFont="1" applyFill="1" applyBorder="1" applyAlignment="1">
      <alignment horizontal="center" vertical="center" wrapText="1"/>
    </xf>
    <xf numFmtId="0" fontId="16" fillId="11" borderId="0" xfId="0" applyFont="1" applyFill="1"/>
    <xf numFmtId="0" fontId="16" fillId="9" borderId="10" xfId="0" applyFont="1" applyFill="1" applyBorder="1" applyAlignment="1">
      <alignment vertical="center"/>
    </xf>
    <xf numFmtId="0" fontId="16" fillId="9" borderId="85" xfId="0" applyFont="1" applyFill="1" applyBorder="1" applyAlignment="1">
      <alignment vertical="center"/>
    </xf>
    <xf numFmtId="0" fontId="16" fillId="9" borderId="98" xfId="0" applyFont="1" applyFill="1" applyBorder="1" applyAlignment="1">
      <alignment vertical="center"/>
    </xf>
    <xf numFmtId="0" fontId="16" fillId="9" borderId="99" xfId="0" applyFont="1" applyFill="1" applyBorder="1" applyAlignment="1">
      <alignment vertical="center"/>
    </xf>
    <xf numFmtId="0" fontId="16" fillId="9" borderId="66" xfId="0" applyFont="1" applyFill="1" applyBorder="1" applyAlignment="1">
      <alignment vertical="center"/>
    </xf>
    <xf numFmtId="0" fontId="16" fillId="9" borderId="95" xfId="0" applyFont="1" applyFill="1" applyBorder="1" applyAlignment="1">
      <alignment vertical="center"/>
    </xf>
    <xf numFmtId="49" fontId="16" fillId="9" borderId="158" xfId="0" applyNumberFormat="1" applyFont="1" applyFill="1" applyBorder="1" applyAlignment="1">
      <alignment horizontal="left" vertical="center"/>
    </xf>
    <xf numFmtId="0" fontId="16" fillId="9" borderId="175" xfId="0" applyFont="1" applyFill="1" applyBorder="1" applyAlignment="1">
      <alignment vertical="center"/>
    </xf>
    <xf numFmtId="0" fontId="16" fillId="11" borderId="42" xfId="0" applyFont="1" applyFill="1" applyBorder="1" applyAlignment="1">
      <alignment horizontal="center" vertical="center"/>
    </xf>
    <xf numFmtId="0" fontId="16" fillId="11" borderId="43" xfId="0" applyFont="1" applyFill="1" applyBorder="1" applyAlignment="1">
      <alignment horizontal="center" vertical="center"/>
    </xf>
    <xf numFmtId="167" fontId="16" fillId="11" borderId="43" xfId="0" applyNumberFormat="1" applyFont="1" applyFill="1" applyBorder="1" applyAlignment="1">
      <alignment horizontal="center" vertical="center"/>
    </xf>
    <xf numFmtId="174" fontId="16" fillId="11" borderId="43" xfId="0" applyNumberFormat="1" applyFont="1" applyFill="1" applyBorder="1" applyAlignment="1">
      <alignment horizontal="center" vertical="center"/>
    </xf>
    <xf numFmtId="4" fontId="16" fillId="11" borderId="43" xfId="0" applyNumberFormat="1" applyFont="1" applyFill="1" applyBorder="1" applyAlignment="1">
      <alignment horizontal="center" vertical="center"/>
    </xf>
    <xf numFmtId="4" fontId="16" fillId="11" borderId="121" xfId="0" applyNumberFormat="1" applyFont="1" applyFill="1" applyBorder="1" applyAlignment="1">
      <alignment horizontal="center" vertical="center"/>
    </xf>
    <xf numFmtId="4" fontId="16" fillId="11" borderId="36" xfId="0" applyNumberFormat="1" applyFont="1" applyFill="1" applyBorder="1" applyAlignment="1">
      <alignment horizontal="center" vertical="center"/>
    </xf>
    <xf numFmtId="0" fontId="16" fillId="11" borderId="126" xfId="0" applyFont="1" applyFill="1" applyBorder="1" applyAlignment="1">
      <alignment horizontal="center" vertical="center"/>
    </xf>
    <xf numFmtId="0" fontId="16" fillId="11" borderId="127" xfId="0" applyFont="1" applyFill="1" applyBorder="1" applyAlignment="1">
      <alignment horizontal="center" vertical="center"/>
    </xf>
    <xf numFmtId="167" fontId="16" fillId="11" borderId="127" xfId="0" applyNumberFormat="1" applyFont="1" applyFill="1" applyBorder="1" applyAlignment="1">
      <alignment horizontal="center" vertical="center"/>
    </xf>
    <xf numFmtId="174" fontId="16" fillId="11" borderId="127" xfId="0" applyNumberFormat="1" applyFont="1" applyFill="1" applyBorder="1" applyAlignment="1">
      <alignment horizontal="center" vertical="center"/>
    </xf>
    <xf numFmtId="4" fontId="16" fillId="11" borderId="127" xfId="0" applyNumberFormat="1" applyFont="1" applyFill="1" applyBorder="1" applyAlignment="1">
      <alignment horizontal="center" vertical="center"/>
    </xf>
    <xf numFmtId="4" fontId="16" fillId="11" borderId="128" xfId="0" applyNumberFormat="1" applyFont="1" applyFill="1" applyBorder="1" applyAlignment="1">
      <alignment horizontal="center" vertical="center"/>
    </xf>
    <xf numFmtId="4" fontId="16" fillId="11" borderId="129" xfId="0" applyNumberFormat="1" applyFont="1" applyFill="1" applyBorder="1" applyAlignment="1">
      <alignment horizontal="center" vertical="center"/>
    </xf>
    <xf numFmtId="0" fontId="16" fillId="0" borderId="42" xfId="0" applyFont="1" applyBorder="1" applyAlignment="1">
      <alignment horizontal="center" vertical="center"/>
    </xf>
    <xf numFmtId="0" fontId="16" fillId="0" borderId="43" xfId="0" applyFont="1" applyBorder="1" applyAlignment="1">
      <alignment horizontal="left" vertical="center"/>
    </xf>
    <xf numFmtId="167" fontId="16" fillId="0" borderId="43" xfId="0" applyNumberFormat="1" applyFont="1" applyBorder="1" applyAlignment="1" applyProtection="1">
      <alignment horizontal="center" vertical="center"/>
      <protection locked="0"/>
    </xf>
    <xf numFmtId="174" fontId="16" fillId="0" borderId="43" xfId="0" applyNumberFormat="1" applyFont="1" applyBorder="1" applyAlignment="1" applyProtection="1">
      <alignment horizontal="center" vertical="center"/>
      <protection locked="0"/>
    </xf>
    <xf numFmtId="4" fontId="16" fillId="0" borderId="43" xfId="0" applyNumberFormat="1" applyFont="1" applyBorder="1" applyAlignment="1" applyProtection="1">
      <alignment horizontal="center" vertical="center"/>
      <protection locked="0"/>
    </xf>
    <xf numFmtId="4" fontId="16" fillId="0" borderId="121" xfId="0" applyNumberFormat="1" applyFont="1" applyBorder="1" applyAlignment="1">
      <alignment horizontal="center" vertical="center"/>
    </xf>
    <xf numFmtId="4" fontId="16" fillId="0" borderId="121" xfId="0" applyNumberFormat="1" applyFont="1" applyBorder="1" applyAlignment="1" applyProtection="1">
      <alignment horizontal="center" vertical="center"/>
      <protection locked="0"/>
    </xf>
    <xf numFmtId="4" fontId="16" fillId="0" borderId="36" xfId="0" applyNumberFormat="1" applyFont="1" applyBorder="1" applyAlignment="1" applyProtection="1">
      <alignment horizontal="center" vertical="center"/>
      <protection locked="0"/>
    </xf>
    <xf numFmtId="0" fontId="16" fillId="0" borderId="46" xfId="0" applyFont="1" applyBorder="1" applyAlignment="1">
      <alignment horizontal="center" vertical="center"/>
    </xf>
    <xf numFmtId="0" fontId="16" fillId="0" borderId="47" xfId="0" applyFont="1" applyBorder="1" applyAlignment="1">
      <alignment horizontal="left" vertical="center"/>
    </xf>
    <xf numFmtId="167" fontId="16" fillId="0" borderId="47" xfId="0" applyNumberFormat="1" applyFont="1" applyBorder="1" applyAlignment="1" applyProtection="1">
      <alignment horizontal="center" vertical="center"/>
      <protection locked="0"/>
    </xf>
    <xf numFmtId="174" fontId="16" fillId="0" borderId="47" xfId="0" applyNumberFormat="1" applyFont="1" applyBorder="1" applyAlignment="1" applyProtection="1">
      <alignment horizontal="center" vertical="center"/>
      <protection locked="0"/>
    </xf>
    <xf numFmtId="4" fontId="16" fillId="0" borderId="47" xfId="0" applyNumberFormat="1" applyFont="1" applyBorder="1" applyAlignment="1" applyProtection="1">
      <alignment horizontal="center" vertical="center"/>
      <protection locked="0"/>
    </xf>
    <xf numFmtId="4" fontId="16" fillId="0" borderId="122" xfId="0" applyNumberFormat="1" applyFont="1" applyBorder="1" applyAlignment="1">
      <alignment horizontal="center" vertical="center"/>
    </xf>
    <xf numFmtId="4" fontId="16" fillId="0" borderId="122" xfId="0" applyNumberFormat="1" applyFont="1" applyBorder="1" applyAlignment="1" applyProtection="1">
      <alignment horizontal="center" vertical="center"/>
      <protection locked="0"/>
    </xf>
    <xf numFmtId="4" fontId="16" fillId="0" borderId="37" xfId="0" applyNumberFormat="1" applyFont="1" applyBorder="1" applyAlignment="1" applyProtection="1">
      <alignment horizontal="center" vertical="center"/>
      <protection locked="0"/>
    </xf>
    <xf numFmtId="4" fontId="16" fillId="0" borderId="117" xfId="0" applyNumberFormat="1" applyFont="1" applyBorder="1" applyAlignment="1" applyProtection="1">
      <alignment horizontal="center" vertical="center"/>
      <protection locked="0"/>
    </xf>
    <xf numFmtId="4" fontId="16" fillId="0" borderId="118" xfId="0" applyNumberFormat="1" applyFont="1" applyBorder="1" applyAlignment="1" applyProtection="1">
      <alignment horizontal="center" vertical="center"/>
      <protection locked="0"/>
    </xf>
    <xf numFmtId="0" fontId="16" fillId="0" borderId="118" xfId="0" applyFont="1" applyBorder="1" applyAlignment="1" applyProtection="1">
      <alignment horizontal="center" vertical="center"/>
      <protection locked="0"/>
    </xf>
    <xf numFmtId="14" fontId="16" fillId="0" borderId="118" xfId="0" applyNumberFormat="1" applyFont="1" applyBorder="1" applyAlignment="1" applyProtection="1">
      <alignment horizontal="center" vertical="center"/>
      <protection locked="0"/>
    </xf>
    <xf numFmtId="49" fontId="16" fillId="0" borderId="118" xfId="0" applyNumberFormat="1" applyFont="1" applyBorder="1" applyAlignment="1" applyProtection="1">
      <alignment horizontal="center" vertical="center"/>
      <protection locked="0"/>
    </xf>
    <xf numFmtId="3" fontId="16" fillId="0" borderId="118" xfId="0" applyNumberFormat="1" applyFont="1" applyBorder="1" applyAlignment="1" applyProtection="1">
      <alignment horizontal="center" vertical="center"/>
      <protection locked="0"/>
    </xf>
    <xf numFmtId="0" fontId="16" fillId="0" borderId="119" xfId="0" applyFont="1" applyBorder="1" applyAlignment="1" applyProtection="1">
      <alignment horizontal="center" vertical="center"/>
      <protection locked="0"/>
    </xf>
    <xf numFmtId="14" fontId="16" fillId="0" borderId="119" xfId="0" applyNumberFormat="1" applyFont="1" applyBorder="1" applyAlignment="1" applyProtection="1">
      <alignment horizontal="center" vertical="center"/>
      <protection locked="0"/>
    </xf>
    <xf numFmtId="49" fontId="16" fillId="0" borderId="119" xfId="0" applyNumberFormat="1" applyFont="1" applyBorder="1" applyAlignment="1" applyProtection="1">
      <alignment horizontal="center" vertical="center"/>
      <protection locked="0"/>
    </xf>
    <xf numFmtId="3" fontId="16" fillId="0" borderId="119" xfId="0" applyNumberFormat="1" applyFont="1" applyBorder="1" applyAlignment="1" applyProtection="1">
      <alignment horizontal="center" vertical="center"/>
      <protection locked="0"/>
    </xf>
    <xf numFmtId="4" fontId="16" fillId="0" borderId="119" xfId="0" applyNumberFormat="1" applyFont="1" applyBorder="1" applyAlignment="1" applyProtection="1">
      <alignment horizontal="center" vertical="center"/>
      <protection locked="0"/>
    </xf>
    <xf numFmtId="0" fontId="16" fillId="0" borderId="117" xfId="0" applyFont="1" applyBorder="1" applyAlignment="1" applyProtection="1">
      <alignment horizontal="center" vertical="center"/>
      <protection locked="0"/>
    </xf>
    <xf numFmtId="14" fontId="16" fillId="0" borderId="117" xfId="0" applyNumberFormat="1" applyFont="1" applyBorder="1" applyAlignment="1" applyProtection="1">
      <alignment horizontal="center" vertical="center"/>
      <protection locked="0"/>
    </xf>
    <xf numFmtId="49" fontId="16" fillId="0" borderId="117" xfId="0" applyNumberFormat="1" applyFont="1" applyBorder="1" applyAlignment="1" applyProtection="1">
      <alignment horizontal="center" vertical="center"/>
      <protection locked="0"/>
    </xf>
    <xf numFmtId="3" fontId="16" fillId="0" borderId="117" xfId="0" applyNumberFormat="1" applyFont="1" applyBorder="1" applyAlignment="1" applyProtection="1">
      <alignment horizontal="center" vertical="center"/>
      <protection locked="0"/>
    </xf>
    <xf numFmtId="2" fontId="16" fillId="0" borderId="118" xfId="0" applyNumberFormat="1" applyFont="1" applyBorder="1" applyAlignment="1">
      <alignment horizontal="center" vertical="center" wrapText="1"/>
    </xf>
    <xf numFmtId="164" fontId="16" fillId="0" borderId="118" xfId="0" applyNumberFormat="1" applyFont="1" applyBorder="1" applyAlignment="1">
      <alignment horizontal="center" vertical="center" wrapText="1"/>
    </xf>
    <xf numFmtId="4" fontId="16" fillId="0" borderId="118" xfId="0" applyNumberFormat="1" applyFont="1" applyBorder="1" applyAlignment="1" applyProtection="1">
      <alignment horizontal="center" vertical="center" wrapText="1"/>
      <protection locked="0"/>
    </xf>
    <xf numFmtId="4" fontId="16" fillId="0" borderId="118" xfId="0" applyNumberFormat="1" applyFont="1" applyBorder="1" applyAlignment="1">
      <alignment horizontal="center" vertical="center" wrapText="1"/>
    </xf>
    <xf numFmtId="4" fontId="16" fillId="0" borderId="45" xfId="0" applyNumberFormat="1" applyFont="1" applyBorder="1" applyAlignment="1" applyProtection="1">
      <alignment horizontal="center" vertical="center" wrapText="1"/>
      <protection locked="0"/>
    </xf>
    <xf numFmtId="4" fontId="16" fillId="0" borderId="43" xfId="0" applyNumberFormat="1" applyFont="1" applyBorder="1" applyAlignment="1" applyProtection="1">
      <alignment horizontal="center" vertical="center" wrapText="1"/>
      <protection locked="0"/>
    </xf>
    <xf numFmtId="4" fontId="16" fillId="0" borderId="36" xfId="0" applyNumberFormat="1" applyFont="1" applyBorder="1" applyAlignment="1" applyProtection="1">
      <alignment horizontal="center" vertical="center" wrapText="1"/>
      <protection locked="0"/>
    </xf>
    <xf numFmtId="2" fontId="16" fillId="0" borderId="119" xfId="0" applyNumberFormat="1" applyFont="1" applyBorder="1" applyAlignment="1">
      <alignment horizontal="center" vertical="center" wrapText="1"/>
    </xf>
    <xf numFmtId="164" fontId="16" fillId="0" borderId="119" xfId="0" applyNumberFormat="1" applyFont="1" applyBorder="1" applyAlignment="1">
      <alignment horizontal="center" vertical="center" wrapText="1"/>
    </xf>
    <xf numFmtId="4" fontId="16" fillId="0" borderId="119" xfId="0" applyNumberFormat="1" applyFont="1" applyBorder="1" applyAlignment="1" applyProtection="1">
      <alignment horizontal="center" vertical="center" wrapText="1"/>
      <protection locked="0"/>
    </xf>
    <xf numFmtId="4" fontId="16" fillId="0" borderId="119" xfId="0" applyNumberFormat="1" applyFont="1" applyBorder="1" applyAlignment="1">
      <alignment horizontal="center" vertical="center" wrapText="1"/>
    </xf>
    <xf numFmtId="4" fontId="16" fillId="0" borderId="49" xfId="0" applyNumberFormat="1" applyFont="1" applyBorder="1" applyAlignment="1" applyProtection="1">
      <alignment horizontal="center" vertical="center" wrapText="1"/>
      <protection locked="0"/>
    </xf>
    <xf numFmtId="4" fontId="16" fillId="0" borderId="47" xfId="0" applyNumberFormat="1" applyFont="1" applyBorder="1" applyAlignment="1" applyProtection="1">
      <alignment horizontal="center" vertical="center" wrapText="1"/>
      <protection locked="0"/>
    </xf>
    <xf numFmtId="4" fontId="16" fillId="0" borderId="37" xfId="0" applyNumberFormat="1" applyFont="1" applyBorder="1" applyAlignment="1" applyProtection="1">
      <alignment horizontal="center" vertical="center" wrapText="1"/>
      <protection locked="0"/>
    </xf>
    <xf numFmtId="4" fontId="16" fillId="11" borderId="117" xfId="0" applyNumberFormat="1" applyFont="1" applyFill="1" applyBorder="1" applyAlignment="1">
      <alignment horizontal="center" vertical="center" wrapText="1"/>
    </xf>
    <xf numFmtId="4" fontId="16" fillId="11" borderId="39" xfId="0" applyNumberFormat="1" applyFont="1" applyFill="1" applyBorder="1" applyAlignment="1">
      <alignment horizontal="center" vertical="center" wrapText="1"/>
    </xf>
    <xf numFmtId="2" fontId="16" fillId="11" borderId="118" xfId="0" applyNumberFormat="1" applyFont="1" applyFill="1" applyBorder="1" applyAlignment="1">
      <alignment horizontal="center" vertical="center" wrapText="1"/>
    </xf>
    <xf numFmtId="177" fontId="16" fillId="11" borderId="118" xfId="0" applyNumberFormat="1" applyFont="1" applyFill="1" applyBorder="1" applyAlignment="1">
      <alignment horizontal="center" vertical="center" wrapText="1"/>
    </xf>
    <xf numFmtId="4" fontId="16" fillId="11" borderId="118" xfId="0" applyNumberFormat="1" applyFont="1" applyFill="1" applyBorder="1" applyAlignment="1">
      <alignment horizontal="center" vertical="center" wrapText="1"/>
    </xf>
    <xf numFmtId="4" fontId="16" fillId="11" borderId="45" xfId="0" applyNumberFormat="1" applyFont="1" applyFill="1" applyBorder="1" applyAlignment="1">
      <alignment horizontal="center" vertical="center" wrapText="1"/>
    </xf>
    <xf numFmtId="4" fontId="16" fillId="11" borderId="43" xfId="0" applyNumberFormat="1" applyFont="1" applyFill="1" applyBorder="1" applyAlignment="1">
      <alignment horizontal="center" vertical="center" wrapText="1"/>
    </xf>
    <xf numFmtId="4" fontId="16" fillId="11" borderId="36" xfId="0" applyNumberFormat="1" applyFont="1" applyFill="1" applyBorder="1" applyAlignment="1">
      <alignment horizontal="center" vertical="center" wrapText="1"/>
    </xf>
    <xf numFmtId="4" fontId="16" fillId="2" borderId="43" xfId="0" applyNumberFormat="1" applyFont="1" applyFill="1" applyBorder="1" applyAlignment="1">
      <alignment horizontal="center" vertical="center" wrapText="1"/>
    </xf>
    <xf numFmtId="49" fontId="16" fillId="11" borderId="38" xfId="0" applyNumberFormat="1" applyFont="1" applyFill="1" applyBorder="1" applyAlignment="1">
      <alignment horizontal="left" vertical="center" wrapText="1"/>
    </xf>
    <xf numFmtId="49" fontId="16" fillId="11" borderId="39" xfId="0" applyNumberFormat="1" applyFont="1" applyFill="1" applyBorder="1" applyAlignment="1">
      <alignment horizontal="left" vertical="center" wrapText="1"/>
    </xf>
    <xf numFmtId="3" fontId="16" fillId="11" borderId="41" xfId="0" applyNumberFormat="1" applyFont="1" applyFill="1" applyBorder="1" applyAlignment="1">
      <alignment horizontal="center" vertical="center"/>
    </xf>
    <xf numFmtId="2" fontId="16" fillId="11" borderId="39" xfId="0" applyNumberFormat="1" applyFont="1" applyFill="1" applyBorder="1" applyAlignment="1">
      <alignment horizontal="center" vertical="center"/>
    </xf>
    <xf numFmtId="10" fontId="16" fillId="11" borderId="40" xfId="9" applyNumberFormat="1" applyFont="1" applyFill="1" applyBorder="1" applyAlignment="1" applyProtection="1">
      <alignment horizontal="center" vertical="center"/>
    </xf>
    <xf numFmtId="165" fontId="16" fillId="11" borderId="39" xfId="0" applyNumberFormat="1" applyFont="1" applyFill="1" applyBorder="1" applyAlignment="1">
      <alignment horizontal="center" vertical="center"/>
    </xf>
    <xf numFmtId="10" fontId="16" fillId="11" borderId="39" xfId="9" applyNumberFormat="1" applyFont="1" applyFill="1" applyBorder="1" applyAlignment="1" applyProtection="1">
      <alignment horizontal="center" vertical="center"/>
    </xf>
    <xf numFmtId="165" fontId="16" fillId="11" borderId="35"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wrapText="1"/>
    </xf>
    <xf numFmtId="49" fontId="16" fillId="11" borderId="43" xfId="0" applyNumberFormat="1" applyFont="1" applyFill="1" applyBorder="1" applyAlignment="1">
      <alignment horizontal="left" vertical="center" wrapText="1"/>
    </xf>
    <xf numFmtId="3" fontId="16" fillId="11" borderId="45" xfId="0" applyNumberFormat="1" applyFont="1" applyFill="1" applyBorder="1" applyAlignment="1">
      <alignment horizontal="center" vertical="center"/>
    </xf>
    <xf numFmtId="2" fontId="16" fillId="11" borderId="43" xfId="0" applyNumberFormat="1" applyFont="1" applyFill="1" applyBorder="1" applyAlignment="1">
      <alignment horizontal="center" vertical="center"/>
    </xf>
    <xf numFmtId="2" fontId="16" fillId="11" borderId="45" xfId="0" applyNumberFormat="1" applyFont="1" applyFill="1" applyBorder="1" applyAlignment="1">
      <alignment horizontal="center" vertical="center"/>
    </xf>
    <xf numFmtId="165" fontId="16" fillId="11" borderId="43" xfId="0" applyNumberFormat="1" applyFont="1" applyFill="1" applyBorder="1" applyAlignment="1">
      <alignment horizontal="center" vertical="center"/>
    </xf>
    <xf numFmtId="10" fontId="16" fillId="11" borderId="43" xfId="9" applyNumberFormat="1" applyFont="1" applyFill="1" applyBorder="1" applyAlignment="1" applyProtection="1">
      <alignment horizontal="center" vertical="center"/>
    </xf>
    <xf numFmtId="165" fontId="16" fillId="11" borderId="36" xfId="0" applyNumberFormat="1" applyFont="1" applyFill="1" applyBorder="1" applyAlignment="1">
      <alignment horizontal="center" vertical="center"/>
    </xf>
    <xf numFmtId="49" fontId="16" fillId="0" borderId="38" xfId="0" applyNumberFormat="1" applyFont="1" applyBorder="1" applyAlignment="1" applyProtection="1">
      <alignment horizontal="left" vertical="center" wrapText="1"/>
      <protection locked="0"/>
    </xf>
    <xf numFmtId="49" fontId="16" fillId="0" borderId="39" xfId="0" applyNumberFormat="1" applyFont="1" applyBorder="1" applyAlignment="1" applyProtection="1">
      <alignment horizontal="left" vertical="center" wrapText="1"/>
      <protection locked="0"/>
    </xf>
    <xf numFmtId="3" fontId="16" fillId="0" borderId="41" xfId="0" applyNumberFormat="1" applyFont="1" applyBorder="1" applyAlignment="1" applyProtection="1">
      <alignment horizontal="center" vertical="center"/>
      <protection locked="0"/>
    </xf>
    <xf numFmtId="2" fontId="16" fillId="0" borderId="39" xfId="0" applyNumberFormat="1" applyFont="1" applyBorder="1" applyAlignment="1" applyProtection="1">
      <alignment horizontal="center" vertical="center"/>
      <protection locked="0"/>
    </xf>
    <xf numFmtId="10" fontId="16" fillId="0" borderId="40" xfId="9" applyNumberFormat="1" applyFont="1" applyBorder="1" applyAlignment="1" applyProtection="1">
      <alignment horizontal="center" vertical="center"/>
      <protection locked="0"/>
    </xf>
    <xf numFmtId="2" fontId="16" fillId="0" borderId="41" xfId="0" applyNumberFormat="1" applyFont="1" applyBorder="1" applyAlignment="1" applyProtection="1">
      <alignment horizontal="center" vertical="center"/>
      <protection locked="0"/>
    </xf>
    <xf numFmtId="165" fontId="16" fillId="0" borderId="39" xfId="0" applyNumberFormat="1" applyFont="1" applyBorder="1" applyAlignment="1">
      <alignment horizontal="center" vertical="center"/>
    </xf>
    <xf numFmtId="10" fontId="16" fillId="0" borderId="39" xfId="9" applyNumberFormat="1" applyFont="1" applyBorder="1" applyAlignment="1" applyProtection="1">
      <alignment horizontal="center" vertical="center"/>
      <protection locked="0"/>
    </xf>
    <xf numFmtId="165" fontId="16" fillId="0" borderId="35" xfId="0" applyNumberFormat="1" applyFont="1" applyBorder="1" applyAlignment="1">
      <alignment horizontal="center" vertical="center"/>
    </xf>
    <xf numFmtId="49" fontId="16" fillId="0" borderId="42" xfId="0" applyNumberFormat="1" applyFont="1" applyBorder="1" applyAlignment="1" applyProtection="1">
      <alignment horizontal="left" vertical="center" wrapText="1"/>
      <protection locked="0"/>
    </xf>
    <xf numFmtId="49" fontId="16" fillId="0" borderId="43" xfId="0" applyNumberFormat="1" applyFont="1" applyBorder="1" applyAlignment="1" applyProtection="1">
      <alignment horizontal="left" vertical="center" wrapText="1"/>
      <protection locked="0"/>
    </xf>
    <xf numFmtId="3" fontId="16" fillId="0" borderId="45" xfId="0" applyNumberFormat="1" applyFont="1" applyBorder="1" applyAlignment="1" applyProtection="1">
      <alignment horizontal="center" vertical="center"/>
      <protection locked="0"/>
    </xf>
    <xf numFmtId="2" fontId="16" fillId="0" borderId="43" xfId="0" applyNumberFormat="1" applyFont="1" applyBorder="1" applyAlignment="1" applyProtection="1">
      <alignment horizontal="center" vertical="center"/>
      <protection locked="0"/>
    </xf>
    <xf numFmtId="10" fontId="16" fillId="0" borderId="44" xfId="9" applyNumberFormat="1" applyFont="1" applyBorder="1" applyAlignment="1" applyProtection="1">
      <alignment horizontal="center" vertical="center"/>
      <protection locked="0"/>
    </xf>
    <xf numFmtId="2" fontId="16" fillId="0" borderId="45" xfId="0" applyNumberFormat="1" applyFont="1" applyBorder="1" applyAlignment="1" applyProtection="1">
      <alignment horizontal="center" vertical="center"/>
      <protection locked="0"/>
    </xf>
    <xf numFmtId="165" fontId="16" fillId="0" borderId="43" xfId="0" applyNumberFormat="1" applyFont="1" applyBorder="1" applyAlignment="1">
      <alignment horizontal="center" vertical="center"/>
    </xf>
    <xf numFmtId="10" fontId="16" fillId="0" borderId="43" xfId="9" applyNumberFormat="1" applyFont="1" applyBorder="1" applyAlignment="1" applyProtection="1">
      <alignment horizontal="center" vertical="center"/>
      <protection locked="0"/>
    </xf>
    <xf numFmtId="165" fontId="16" fillId="0" borderId="36" xfId="0" applyNumberFormat="1" applyFont="1" applyBorder="1" applyAlignment="1">
      <alignment horizontal="center" vertical="center"/>
    </xf>
    <xf numFmtId="49" fontId="16" fillId="0" borderId="46" xfId="0" applyNumberFormat="1" applyFont="1" applyBorder="1" applyAlignment="1" applyProtection="1">
      <alignment horizontal="left" vertical="center" wrapText="1"/>
      <protection locked="0"/>
    </xf>
    <xf numFmtId="49" fontId="16" fillId="0" borderId="47" xfId="0" applyNumberFormat="1" applyFont="1" applyBorder="1" applyAlignment="1" applyProtection="1">
      <alignment horizontal="left" vertical="center" wrapText="1"/>
      <protection locked="0"/>
    </xf>
    <xf numFmtId="3" fontId="16" fillId="0" borderId="49" xfId="0" applyNumberFormat="1" applyFont="1" applyBorder="1" applyAlignment="1" applyProtection="1">
      <alignment horizontal="center" vertical="center"/>
      <protection locked="0"/>
    </xf>
    <xf numFmtId="2" fontId="16" fillId="0" borderId="47" xfId="0" applyNumberFormat="1" applyFont="1" applyBorder="1" applyAlignment="1" applyProtection="1">
      <alignment horizontal="center" vertical="center"/>
      <protection locked="0"/>
    </xf>
    <xf numFmtId="10" fontId="16" fillId="0" borderId="48" xfId="9" applyNumberFormat="1" applyFont="1" applyBorder="1" applyAlignment="1" applyProtection="1">
      <alignment horizontal="center" vertical="center"/>
      <protection locked="0"/>
    </xf>
    <xf numFmtId="2" fontId="16" fillId="0" borderId="49" xfId="0" applyNumberFormat="1" applyFont="1" applyBorder="1" applyAlignment="1" applyProtection="1">
      <alignment horizontal="center" vertical="center"/>
      <protection locked="0"/>
    </xf>
    <xf numFmtId="165" fontId="16" fillId="0" borderId="47" xfId="0" applyNumberFormat="1" applyFont="1" applyBorder="1" applyAlignment="1">
      <alignment horizontal="center" vertical="center"/>
    </xf>
    <xf numFmtId="10" fontId="16" fillId="0" borderId="47" xfId="9" applyNumberFormat="1" applyFont="1" applyBorder="1" applyAlignment="1" applyProtection="1">
      <alignment horizontal="center" vertical="center"/>
      <protection locked="0"/>
    </xf>
    <xf numFmtId="165" fontId="16" fillId="0" borderId="37" xfId="0" applyNumberFormat="1" applyFont="1" applyBorder="1" applyAlignment="1">
      <alignment horizontal="center" vertical="center"/>
    </xf>
    <xf numFmtId="49" fontId="16" fillId="0" borderId="38" xfId="0" applyNumberFormat="1" applyFont="1" applyBorder="1" applyAlignment="1" applyProtection="1">
      <alignment horizontal="left" vertical="center"/>
      <protection locked="0"/>
    </xf>
    <xf numFmtId="49" fontId="16" fillId="0" borderId="39" xfId="0" applyNumberFormat="1" applyFont="1" applyBorder="1" applyAlignment="1" applyProtection="1">
      <alignment horizontal="left" vertical="center"/>
      <protection locked="0"/>
    </xf>
    <xf numFmtId="166" fontId="16" fillId="0" borderId="39" xfId="0" applyNumberFormat="1" applyFont="1" applyBorder="1" applyAlignment="1" applyProtection="1">
      <alignment horizontal="center" vertical="center"/>
      <protection locked="0"/>
    </xf>
    <xf numFmtId="3" fontId="16" fillId="0" borderId="39" xfId="0" quotePrefix="1" applyNumberFormat="1" applyFont="1" applyBorder="1" applyAlignment="1" applyProtection="1">
      <alignment horizontal="center" vertical="center"/>
      <protection locked="0"/>
    </xf>
    <xf numFmtId="2" fontId="16" fillId="0" borderId="39" xfId="9" applyNumberFormat="1" applyFont="1" applyBorder="1" applyAlignment="1" applyProtection="1">
      <alignment horizontal="center" vertical="center"/>
      <protection locked="0"/>
    </xf>
    <xf numFmtId="165" fontId="16" fillId="0" borderId="50" xfId="0" applyNumberFormat="1" applyFont="1" applyBorder="1" applyAlignment="1">
      <alignment horizontal="center" vertical="center"/>
    </xf>
    <xf numFmtId="49" fontId="16" fillId="0" borderId="42" xfId="0" applyNumberFormat="1" applyFont="1" applyBorder="1" applyAlignment="1" applyProtection="1">
      <alignment horizontal="left" vertical="center"/>
      <protection locked="0"/>
    </xf>
    <xf numFmtId="49" fontId="16" fillId="0" borderId="43" xfId="0" applyNumberFormat="1" applyFont="1" applyBorder="1" applyAlignment="1" applyProtection="1">
      <alignment horizontal="left" vertical="center"/>
      <protection locked="0"/>
    </xf>
    <xf numFmtId="166" fontId="16" fillId="0" borderId="43" xfId="0" applyNumberFormat="1" applyFont="1" applyBorder="1" applyAlignment="1" applyProtection="1">
      <alignment horizontal="center" vertical="center"/>
      <protection locked="0"/>
    </xf>
    <xf numFmtId="3" fontId="16" fillId="0" borderId="43" xfId="0" applyNumberFormat="1" applyFont="1" applyBorder="1" applyAlignment="1" applyProtection="1">
      <alignment horizontal="center" vertical="center"/>
      <protection locked="0"/>
    </xf>
    <xf numFmtId="2" fontId="16" fillId="0" borderId="43" xfId="9" applyNumberFormat="1" applyFont="1" applyBorder="1" applyAlignment="1" applyProtection="1">
      <alignment horizontal="center" vertical="center"/>
      <protection locked="0"/>
    </xf>
    <xf numFmtId="165" fontId="16" fillId="0" borderId="51" xfId="0" applyNumberFormat="1" applyFont="1" applyBorder="1" applyAlignment="1">
      <alignment horizontal="center" vertical="center"/>
    </xf>
    <xf numFmtId="49" fontId="16" fillId="0" borderId="46" xfId="0" applyNumberFormat="1" applyFont="1" applyBorder="1" applyAlignment="1" applyProtection="1">
      <alignment horizontal="left" vertical="center"/>
      <protection locked="0"/>
    </xf>
    <xf numFmtId="49" fontId="16" fillId="0" borderId="47" xfId="0" applyNumberFormat="1" applyFont="1" applyBorder="1" applyAlignment="1" applyProtection="1">
      <alignment horizontal="left" vertical="center"/>
      <protection locked="0"/>
    </xf>
    <xf numFmtId="166" fontId="16" fillId="0" borderId="47" xfId="0" applyNumberFormat="1" applyFont="1" applyBorder="1" applyAlignment="1" applyProtection="1">
      <alignment horizontal="center" vertical="center"/>
      <protection locked="0"/>
    </xf>
    <xf numFmtId="3" fontId="16" fillId="0" borderId="47" xfId="0" applyNumberFormat="1" applyFont="1" applyBorder="1" applyAlignment="1" applyProtection="1">
      <alignment horizontal="center" vertical="center"/>
      <protection locked="0"/>
    </xf>
    <xf numFmtId="2" fontId="16" fillId="0" borderId="47" xfId="9" applyNumberFormat="1" applyFont="1" applyBorder="1" applyAlignment="1" applyProtection="1">
      <alignment horizontal="center" vertical="center"/>
      <protection locked="0"/>
    </xf>
    <xf numFmtId="165" fontId="16" fillId="0" borderId="52" xfId="0" applyNumberFormat="1" applyFont="1" applyBorder="1" applyAlignment="1">
      <alignment horizontal="center" vertical="center"/>
    </xf>
    <xf numFmtId="49" fontId="16" fillId="0" borderId="79" xfId="0" applyNumberFormat="1" applyFont="1" applyBorder="1" applyAlignment="1">
      <alignment horizontal="left" vertical="center"/>
    </xf>
    <xf numFmtId="49" fontId="16" fillId="0" borderId="89" xfId="0" applyNumberFormat="1" applyFont="1" applyBorder="1" applyAlignment="1">
      <alignment horizontal="left" vertical="center"/>
    </xf>
    <xf numFmtId="49" fontId="16" fillId="0" borderId="70" xfId="0" applyNumberFormat="1" applyFont="1" applyBorder="1" applyAlignment="1">
      <alignment horizontal="left" vertical="center"/>
    </xf>
    <xf numFmtId="49" fontId="16" fillId="0" borderId="95" xfId="0" applyNumberFormat="1" applyFont="1" applyBorder="1" applyAlignment="1">
      <alignment horizontal="left" vertical="center"/>
    </xf>
    <xf numFmtId="49" fontId="16" fillId="11" borderId="117" xfId="0" applyNumberFormat="1" applyFont="1" applyFill="1" applyBorder="1" applyAlignment="1">
      <alignment horizontal="center" vertical="center" wrapText="1"/>
    </xf>
    <xf numFmtId="49" fontId="16" fillId="11" borderId="118" xfId="0" applyNumberFormat="1" applyFont="1" applyFill="1" applyBorder="1" applyAlignment="1">
      <alignment horizontal="center" vertical="center" wrapText="1"/>
    </xf>
    <xf numFmtId="0" fontId="16" fillId="0" borderId="118" xfId="0" applyFont="1" applyBorder="1" applyAlignment="1">
      <alignment horizontal="center" vertical="center" wrapText="1"/>
    </xf>
    <xf numFmtId="4" fontId="16" fillId="0" borderId="45" xfId="0" applyNumberFormat="1" applyFont="1" applyBorder="1" applyAlignment="1">
      <alignment horizontal="center" vertical="center" wrapText="1"/>
    </xf>
    <xf numFmtId="4" fontId="16" fillId="0" borderId="43" xfId="0" applyNumberFormat="1" applyFont="1" applyBorder="1" applyAlignment="1">
      <alignment horizontal="center" vertical="center" wrapText="1"/>
    </xf>
    <xf numFmtId="4" fontId="16" fillId="0" borderId="36" xfId="0" applyNumberFormat="1" applyFont="1" applyBorder="1" applyAlignment="1">
      <alignment horizontal="center" vertical="center" wrapText="1"/>
    </xf>
    <xf numFmtId="0" fontId="16" fillId="0" borderId="119" xfId="0" applyFont="1" applyBorder="1" applyAlignment="1">
      <alignment horizontal="center" vertical="center" wrapText="1"/>
    </xf>
    <xf numFmtId="4" fontId="16" fillId="0" borderId="49" xfId="0" applyNumberFormat="1" applyFont="1" applyBorder="1" applyAlignment="1">
      <alignment horizontal="center" vertical="center" wrapText="1"/>
    </xf>
    <xf numFmtId="4" fontId="16" fillId="0" borderId="47" xfId="0" applyNumberFormat="1" applyFont="1" applyBorder="1" applyAlignment="1">
      <alignment horizontal="center" vertical="center" wrapText="1"/>
    </xf>
    <xf numFmtId="4" fontId="16" fillId="0" borderId="37" xfId="0" applyNumberFormat="1" applyFont="1" applyBorder="1" applyAlignment="1">
      <alignment horizontal="center" vertical="center" wrapText="1"/>
    </xf>
    <xf numFmtId="3" fontId="16" fillId="14" borderId="41" xfId="0" applyNumberFormat="1" applyFont="1" applyFill="1" applyBorder="1" applyAlignment="1">
      <alignment horizontal="center" vertical="center"/>
    </xf>
    <xf numFmtId="10" fontId="16" fillId="14" borderId="39" xfId="9" applyNumberFormat="1" applyFont="1" applyFill="1" applyBorder="1" applyAlignment="1" applyProtection="1">
      <alignment horizontal="center" vertical="center"/>
    </xf>
    <xf numFmtId="3" fontId="16" fillId="0" borderId="41" xfId="0" applyNumberFormat="1" applyFont="1" applyBorder="1" applyAlignment="1">
      <alignment horizontal="center" vertical="center"/>
    </xf>
    <xf numFmtId="10" fontId="16" fillId="0" borderId="39" xfId="9" applyNumberFormat="1" applyFont="1" applyBorder="1" applyAlignment="1" applyProtection="1">
      <alignment horizontal="center" vertical="center"/>
    </xf>
    <xf numFmtId="10" fontId="16" fillId="0" borderId="39" xfId="9" applyNumberFormat="1" applyFont="1" applyFill="1" applyBorder="1" applyAlignment="1" applyProtection="1">
      <alignment horizontal="center" vertical="center"/>
      <protection locked="0"/>
    </xf>
    <xf numFmtId="3" fontId="16" fillId="0" borderId="45" xfId="0" applyNumberFormat="1" applyFont="1" applyBorder="1" applyAlignment="1">
      <alignment horizontal="center" vertical="center"/>
    </xf>
    <xf numFmtId="10" fontId="16" fillId="0" borderId="43" xfId="9" applyNumberFormat="1" applyFont="1" applyBorder="1" applyAlignment="1" applyProtection="1">
      <alignment horizontal="center" vertical="center"/>
    </xf>
    <xf numFmtId="3" fontId="16" fillId="0" borderId="49" xfId="0" applyNumberFormat="1" applyFont="1" applyBorder="1" applyAlignment="1">
      <alignment horizontal="center" vertical="center"/>
    </xf>
    <xf numFmtId="10" fontId="16" fillId="0" borderId="47" xfId="9" applyNumberFormat="1" applyFont="1" applyBorder="1" applyAlignment="1" applyProtection="1">
      <alignment horizontal="center" vertical="center"/>
    </xf>
    <xf numFmtId="0" fontId="16" fillId="11" borderId="38" xfId="0" applyFont="1" applyFill="1" applyBorder="1" applyAlignment="1">
      <alignment horizontal="left" vertical="center" wrapText="1"/>
    </xf>
    <xf numFmtId="0" fontId="16" fillId="11" borderId="39" xfId="0" applyFont="1" applyFill="1" applyBorder="1" applyAlignment="1">
      <alignment horizontal="left" vertical="center" wrapText="1"/>
    </xf>
    <xf numFmtId="166" fontId="16" fillId="11" borderId="39" xfId="0" applyNumberFormat="1" applyFont="1" applyFill="1" applyBorder="1" applyAlignment="1">
      <alignment horizontal="center" vertical="center" wrapText="1"/>
    </xf>
    <xf numFmtId="3" fontId="16" fillId="11" borderId="41" xfId="0" applyNumberFormat="1" applyFont="1" applyFill="1" applyBorder="1" applyAlignment="1" applyProtection="1">
      <alignment horizontal="center" vertical="center"/>
      <protection locked="0"/>
    </xf>
    <xf numFmtId="10" fontId="16" fillId="11" borderId="39" xfId="9" applyNumberFormat="1" applyFont="1" applyFill="1" applyBorder="1" applyAlignment="1" applyProtection="1">
      <alignment horizontal="center" vertical="center"/>
      <protection locked="0"/>
    </xf>
    <xf numFmtId="0" fontId="16" fillId="11" borderId="42" xfId="0" applyFont="1" applyFill="1" applyBorder="1" applyAlignment="1">
      <alignment horizontal="left" vertical="center" wrapText="1"/>
    </xf>
    <xf numFmtId="0" fontId="16" fillId="11" borderId="43" xfId="0" applyFont="1" applyFill="1" applyBorder="1" applyAlignment="1">
      <alignment horizontal="left" vertical="center" wrapText="1"/>
    </xf>
    <xf numFmtId="166" fontId="16" fillId="11" borderId="43" xfId="0" applyNumberFormat="1" applyFont="1" applyFill="1" applyBorder="1" applyAlignment="1">
      <alignment horizontal="center" vertical="center" wrapText="1"/>
    </xf>
    <xf numFmtId="3" fontId="16" fillId="15" borderId="45" xfId="0" applyNumberFormat="1" applyFont="1" applyFill="1" applyBorder="1" applyAlignment="1" applyProtection="1">
      <alignment horizontal="center" vertical="center"/>
      <protection locked="0"/>
    </xf>
    <xf numFmtId="3" fontId="16" fillId="15" borderId="45" xfId="0" applyNumberFormat="1" applyFont="1" applyFill="1" applyBorder="1" applyAlignment="1">
      <alignment horizontal="center" vertical="center"/>
    </xf>
    <xf numFmtId="165" fontId="16" fillId="15" borderId="43" xfId="0" applyNumberFormat="1" applyFont="1" applyFill="1" applyBorder="1" applyAlignment="1">
      <alignment horizontal="center" vertical="center"/>
    </xf>
    <xf numFmtId="10" fontId="16" fillId="15" borderId="43" xfId="9" applyNumberFormat="1" applyFont="1" applyFill="1" applyBorder="1" applyAlignment="1" applyProtection="1">
      <alignment horizontal="center" vertical="center"/>
      <protection locked="0"/>
    </xf>
    <xf numFmtId="10" fontId="16" fillId="15" borderId="43" xfId="9" applyNumberFormat="1" applyFont="1" applyFill="1" applyBorder="1" applyAlignment="1" applyProtection="1">
      <alignment horizontal="center" vertical="center"/>
    </xf>
    <xf numFmtId="3" fontId="16" fillId="11" borderId="45" xfId="0" applyNumberFormat="1" applyFont="1" applyFill="1" applyBorder="1" applyAlignment="1" applyProtection="1">
      <alignment horizontal="center" vertical="center"/>
      <protection locked="0"/>
    </xf>
    <xf numFmtId="0" fontId="16" fillId="0" borderId="38" xfId="0" applyFont="1" applyBorder="1" applyAlignment="1">
      <alignment horizontal="left" vertical="center" wrapText="1"/>
    </xf>
    <xf numFmtId="0" fontId="16" fillId="0" borderId="39" xfId="0" applyFont="1" applyBorder="1" applyAlignment="1">
      <alignment horizontal="left" vertical="center" wrapText="1"/>
    </xf>
    <xf numFmtId="166" fontId="16" fillId="0" borderId="39" xfId="0" applyNumberFormat="1" applyFont="1" applyBorder="1" applyAlignment="1">
      <alignment horizontal="center" vertical="center" wrapText="1"/>
    </xf>
    <xf numFmtId="0" fontId="16" fillId="0" borderId="42" xfId="0" applyFont="1" applyBorder="1" applyAlignment="1">
      <alignment horizontal="left" vertical="center" wrapText="1"/>
    </xf>
    <xf numFmtId="0" fontId="16" fillId="0" borderId="43" xfId="0" applyFont="1" applyBorder="1" applyAlignment="1">
      <alignment horizontal="left" vertical="center" wrapText="1"/>
    </xf>
    <xf numFmtId="166" fontId="16" fillId="0" borderId="43" xfId="0" applyNumberFormat="1" applyFont="1" applyBorder="1" applyAlignment="1">
      <alignment horizontal="center" vertical="center" wrapText="1"/>
    </xf>
    <xf numFmtId="0" fontId="16" fillId="0" borderId="46" xfId="0" applyFont="1" applyBorder="1" applyAlignment="1">
      <alignment horizontal="left" vertical="center" wrapText="1"/>
    </xf>
    <xf numFmtId="0" fontId="16" fillId="0" borderId="47" xfId="0" applyFont="1" applyBorder="1" applyAlignment="1">
      <alignment horizontal="left" vertical="center" wrapText="1"/>
    </xf>
    <xf numFmtId="166" fontId="16" fillId="0" borderId="47" xfId="0" applyNumberFormat="1" applyFont="1" applyBorder="1" applyAlignment="1">
      <alignment horizontal="center" vertical="center" wrapText="1"/>
    </xf>
    <xf numFmtId="0" fontId="16" fillId="0" borderId="96" xfId="0" applyFont="1" applyBorder="1" applyAlignment="1">
      <alignment vertical="center" wrapText="1"/>
    </xf>
    <xf numFmtId="0" fontId="16" fillId="9" borderId="175" xfId="0" applyFont="1" applyFill="1" applyBorder="1" applyAlignment="1">
      <alignment vertical="center" wrapText="1"/>
    </xf>
    <xf numFmtId="49" fontId="16" fillId="0" borderId="118" xfId="0" applyNumberFormat="1" applyFont="1" applyBorder="1" applyAlignment="1" applyProtection="1">
      <alignment horizontal="center" vertical="center" wrapText="1"/>
      <protection locked="0"/>
    </xf>
    <xf numFmtId="49" fontId="16" fillId="0" borderId="119" xfId="0" applyNumberFormat="1" applyFont="1" applyBorder="1" applyAlignment="1" applyProtection="1">
      <alignment horizontal="center" vertical="center" wrapText="1"/>
      <protection locked="0"/>
    </xf>
    <xf numFmtId="49" fontId="40" fillId="11" borderId="0" xfId="0" applyNumberFormat="1" applyFont="1" applyFill="1"/>
    <xf numFmtId="49" fontId="40" fillId="11" borderId="0" xfId="0" applyNumberFormat="1" applyFont="1" applyFill="1" applyAlignment="1">
      <alignment horizontal="center" vertical="center"/>
    </xf>
    <xf numFmtId="49" fontId="16" fillId="0" borderId="144" xfId="0" applyNumberFormat="1" applyFont="1" applyBorder="1" applyAlignment="1" applyProtection="1">
      <alignment vertical="center" wrapText="1"/>
      <protection locked="0"/>
    </xf>
    <xf numFmtId="49" fontId="16" fillId="0" borderId="42" xfId="0" applyNumberFormat="1" applyFont="1" applyBorder="1" applyAlignment="1" applyProtection="1">
      <alignment vertical="center" wrapText="1"/>
      <protection locked="0"/>
    </xf>
    <xf numFmtId="49" fontId="16" fillId="0" borderId="46" xfId="0" applyNumberFormat="1" applyFont="1" applyBorder="1" applyAlignment="1" applyProtection="1">
      <alignment vertical="center" wrapText="1"/>
      <protection locked="0"/>
    </xf>
    <xf numFmtId="179" fontId="8" fillId="0" borderId="68" xfId="0" applyNumberFormat="1" applyFont="1" applyBorder="1" applyAlignment="1" applyProtection="1">
      <alignment horizontal="center" vertical="center"/>
      <protection locked="0"/>
    </xf>
    <xf numFmtId="179" fontId="8" fillId="0" borderId="66" xfId="0" applyNumberFormat="1" applyFont="1" applyBorder="1" applyAlignment="1" applyProtection="1">
      <alignment horizontal="center" vertical="center"/>
      <protection locked="0"/>
    </xf>
    <xf numFmtId="3" fontId="16" fillId="0" borderId="118" xfId="0" applyNumberFormat="1" applyFont="1" applyBorder="1" applyAlignment="1" applyProtection="1">
      <alignment horizontal="center" vertical="center" wrapText="1"/>
      <protection locked="0"/>
    </xf>
    <xf numFmtId="3" fontId="16" fillId="0" borderId="119" xfId="0" applyNumberFormat="1" applyFont="1" applyBorder="1" applyAlignment="1" applyProtection="1">
      <alignment horizontal="center" vertical="center" wrapText="1"/>
      <protection locked="0"/>
    </xf>
    <xf numFmtId="0" fontId="16" fillId="9" borderId="160" xfId="0" applyFont="1" applyFill="1" applyBorder="1" applyAlignment="1">
      <alignment vertical="center" wrapText="1"/>
    </xf>
    <xf numFmtId="180" fontId="16" fillId="0" borderId="117" xfId="0" applyNumberFormat="1" applyFont="1" applyBorder="1" applyAlignment="1" applyProtection="1">
      <alignment horizontal="center" vertical="center"/>
      <protection locked="0"/>
    </xf>
    <xf numFmtId="180" fontId="16" fillId="0" borderId="118" xfId="0" applyNumberFormat="1" applyFont="1" applyBorder="1" applyAlignment="1" applyProtection="1">
      <alignment horizontal="center" vertical="center"/>
      <protection locked="0"/>
    </xf>
    <xf numFmtId="180" fontId="16" fillId="0" borderId="119" xfId="0" applyNumberFormat="1" applyFont="1" applyBorder="1" applyAlignment="1" applyProtection="1">
      <alignment horizontal="center" vertical="center"/>
      <protection locked="0"/>
    </xf>
    <xf numFmtId="165" fontId="16" fillId="0" borderId="117" xfId="0" applyNumberFormat="1" applyFont="1" applyBorder="1" applyAlignment="1" applyProtection="1">
      <alignment horizontal="center" vertical="center"/>
      <protection locked="0"/>
    </xf>
    <xf numFmtId="165" fontId="16" fillId="0" borderId="118" xfId="0" applyNumberFormat="1" applyFont="1" applyBorder="1" applyAlignment="1" applyProtection="1">
      <alignment horizontal="center" vertical="center"/>
      <protection locked="0"/>
    </xf>
    <xf numFmtId="165" fontId="16" fillId="0" borderId="119" xfId="0" applyNumberFormat="1" applyFont="1" applyBorder="1" applyAlignment="1" applyProtection="1">
      <alignment horizontal="center" vertical="center"/>
      <protection locked="0"/>
    </xf>
    <xf numFmtId="0" fontId="19" fillId="0" borderId="133" xfId="0" applyFont="1" applyBorder="1" applyAlignment="1">
      <alignment horizontal="center" vertical="center" wrapText="1"/>
    </xf>
    <xf numFmtId="4" fontId="19" fillId="0" borderId="134" xfId="0" applyNumberFormat="1" applyFont="1" applyBorder="1" applyAlignment="1">
      <alignment horizontal="center" vertical="center" wrapText="1"/>
    </xf>
    <xf numFmtId="165" fontId="19" fillId="0" borderId="134" xfId="0" applyNumberFormat="1" applyFont="1" applyBorder="1" applyAlignment="1">
      <alignment horizontal="center" vertical="center" wrapText="1"/>
    </xf>
    <xf numFmtId="0" fontId="19" fillId="0" borderId="134" xfId="0" applyFont="1" applyBorder="1" applyAlignment="1">
      <alignment horizontal="center" vertical="center" wrapText="1"/>
    </xf>
    <xf numFmtId="0" fontId="8" fillId="11" borderId="0" xfId="0" quotePrefix="1" applyFont="1" applyFill="1" applyAlignment="1">
      <alignment horizontal="center" vertical="center" wrapText="1"/>
    </xf>
    <xf numFmtId="0" fontId="59" fillId="11" borderId="0" xfId="0" applyFont="1" applyFill="1" applyAlignment="1">
      <alignment vertical="top"/>
    </xf>
    <xf numFmtId="0" fontId="0" fillId="11" borderId="0" xfId="0" quotePrefix="1" applyFill="1"/>
    <xf numFmtId="0" fontId="40" fillId="11" borderId="1" xfId="0" applyFont="1" applyFill="1" applyBorder="1" applyAlignment="1" applyProtection="1">
      <alignment vertical="center"/>
      <protection locked="0"/>
    </xf>
    <xf numFmtId="4" fontId="19" fillId="0" borderId="1" xfId="0" quotePrefix="1" applyNumberFormat="1" applyFont="1" applyBorder="1" applyAlignment="1">
      <alignment horizontal="center" vertical="center" wrapText="1"/>
    </xf>
    <xf numFmtId="0" fontId="16" fillId="11" borderId="143" xfId="0" applyFont="1" applyFill="1" applyBorder="1" applyAlignment="1">
      <alignment vertical="center"/>
    </xf>
    <xf numFmtId="4" fontId="16" fillId="0" borderId="17" xfId="0" applyNumberFormat="1" applyFont="1" applyBorder="1" applyAlignment="1" applyProtection="1">
      <alignment horizontal="center" vertical="center" wrapText="1"/>
      <protection locked="0"/>
    </xf>
    <xf numFmtId="4" fontId="16" fillId="0" borderId="18" xfId="0" applyNumberFormat="1" applyFont="1" applyBorder="1" applyAlignment="1" applyProtection="1">
      <alignment horizontal="center" vertical="center" wrapText="1"/>
      <protection locked="0"/>
    </xf>
    <xf numFmtId="175" fontId="47" fillId="11" borderId="116" xfId="0" applyNumberFormat="1" applyFont="1" applyFill="1" applyBorder="1" applyAlignment="1">
      <alignment horizontal="left" vertical="center" wrapText="1"/>
    </xf>
    <xf numFmtId="4" fontId="16" fillId="11" borderId="181" xfId="0" applyNumberFormat="1" applyFont="1" applyFill="1" applyBorder="1" applyAlignment="1">
      <alignment horizontal="center" vertical="center" wrapText="1"/>
    </xf>
    <xf numFmtId="4" fontId="16" fillId="0" borderId="142" xfId="0" applyNumberFormat="1" applyFont="1" applyBorder="1" applyAlignment="1" applyProtection="1">
      <alignment horizontal="center" vertical="center" wrapText="1"/>
      <protection locked="0"/>
    </xf>
    <xf numFmtId="4" fontId="16" fillId="0" borderId="115" xfId="0" applyNumberFormat="1" applyFont="1" applyBorder="1" applyAlignment="1" applyProtection="1">
      <alignment horizontal="center" vertical="center" wrapText="1"/>
      <protection locked="0"/>
    </xf>
    <xf numFmtId="0" fontId="8" fillId="11" borderId="1" xfId="0" applyFont="1" applyFill="1" applyBorder="1" applyAlignment="1" applyProtection="1">
      <alignment vertical="center"/>
      <protection locked="0"/>
    </xf>
    <xf numFmtId="4" fontId="16" fillId="0" borderId="19" xfId="0" applyNumberFormat="1" applyFont="1" applyBorder="1" applyAlignment="1" applyProtection="1">
      <alignment horizontal="center" vertical="center" wrapText="1"/>
      <protection locked="0"/>
    </xf>
    <xf numFmtId="4" fontId="16" fillId="11" borderId="110" xfId="0" applyNumberFormat="1" applyFont="1" applyFill="1" applyBorder="1" applyAlignment="1">
      <alignment horizontal="center" vertical="center" wrapText="1"/>
    </xf>
    <xf numFmtId="4" fontId="16" fillId="11" borderId="142" xfId="0" applyNumberFormat="1" applyFont="1" applyFill="1" applyBorder="1" applyAlignment="1">
      <alignment horizontal="center" vertical="center" wrapText="1"/>
    </xf>
    <xf numFmtId="175" fontId="47" fillId="11" borderId="143" xfId="0" applyNumberFormat="1" applyFont="1" applyFill="1" applyBorder="1" applyAlignment="1">
      <alignment horizontal="right" vertical="center"/>
    </xf>
    <xf numFmtId="4" fontId="16" fillId="2" borderId="36" xfId="0" applyNumberFormat="1" applyFont="1" applyFill="1" applyBorder="1" applyAlignment="1">
      <alignment horizontal="center" vertical="center" wrapText="1"/>
    </xf>
    <xf numFmtId="0" fontId="16" fillId="0" borderId="59" xfId="0" applyFont="1" applyBorder="1" applyAlignment="1">
      <alignment horizontal="left" vertical="center" wrapText="1"/>
    </xf>
    <xf numFmtId="0" fontId="16" fillId="0" borderId="60" xfId="0" applyFont="1" applyBorder="1" applyAlignment="1">
      <alignment horizontal="left" vertical="center" wrapText="1"/>
    </xf>
    <xf numFmtId="0" fontId="16" fillId="6" borderId="133" xfId="0" applyFont="1" applyFill="1" applyBorder="1" applyAlignment="1">
      <alignment horizontal="center" vertical="center" wrapText="1"/>
    </xf>
    <xf numFmtId="0" fontId="8" fillId="11" borderId="1" xfId="0" applyFont="1" applyFill="1" applyBorder="1" applyAlignment="1" applyProtection="1">
      <alignment horizontal="center" vertical="center"/>
      <protection locked="0"/>
    </xf>
    <xf numFmtId="0" fontId="0" fillId="11" borderId="111" xfId="0" applyFill="1" applyBorder="1" applyAlignment="1">
      <alignment vertical="center"/>
    </xf>
    <xf numFmtId="0" fontId="16" fillId="6" borderId="182" xfId="0" applyFont="1" applyFill="1" applyBorder="1" applyAlignment="1">
      <alignment horizontal="center" vertical="center" wrapText="1"/>
    </xf>
    <xf numFmtId="9" fontId="0" fillId="6" borderId="152" xfId="9" applyFont="1" applyFill="1" applyBorder="1" applyAlignment="1">
      <alignment horizontal="center" vertical="center" wrapText="1"/>
    </xf>
    <xf numFmtId="9" fontId="0" fillId="6" borderId="4" xfId="9" applyFont="1" applyFill="1" applyBorder="1" applyAlignment="1">
      <alignment horizontal="center" vertical="center" wrapText="1"/>
    </xf>
    <xf numFmtId="0" fontId="0" fillId="6" borderId="4" xfId="0" applyFill="1" applyBorder="1" applyAlignment="1">
      <alignment horizontal="center" vertical="center" wrapText="1"/>
    </xf>
    <xf numFmtId="9" fontId="0" fillId="6" borderId="182" xfId="9" applyFont="1" applyFill="1" applyBorder="1" applyAlignment="1">
      <alignment horizontal="center" vertical="center" wrapText="1"/>
    </xf>
    <xf numFmtId="0" fontId="0" fillId="6" borderId="182" xfId="0" applyFill="1" applyBorder="1" applyAlignment="1">
      <alignment horizontal="center" vertical="center" wrapText="1"/>
    </xf>
    <xf numFmtId="0" fontId="7" fillId="11" borderId="0" xfId="0" applyFont="1" applyFill="1"/>
    <xf numFmtId="0" fontId="16" fillId="11" borderId="143" xfId="0" applyFont="1" applyFill="1" applyBorder="1" applyAlignment="1">
      <alignment horizontal="left" vertical="center"/>
    </xf>
    <xf numFmtId="175" fontId="16" fillId="11" borderId="132" xfId="0" applyNumberFormat="1" applyFont="1" applyFill="1" applyBorder="1" applyAlignment="1">
      <alignment horizontal="right" vertical="center"/>
    </xf>
    <xf numFmtId="0" fontId="16" fillId="11" borderId="132" xfId="0" applyFont="1" applyFill="1" applyBorder="1" applyAlignment="1">
      <alignment horizontal="left" vertical="center"/>
    </xf>
    <xf numFmtId="0" fontId="16" fillId="12" borderId="20" xfId="0" applyFont="1" applyFill="1" applyBorder="1" applyAlignment="1">
      <alignment horizontal="left" vertical="center"/>
    </xf>
    <xf numFmtId="0" fontId="16" fillId="3" borderId="20" xfId="0" applyFont="1" applyFill="1" applyBorder="1" applyAlignment="1">
      <alignment horizontal="left" vertical="center"/>
    </xf>
    <xf numFmtId="0" fontId="16" fillId="7" borderId="19" xfId="0" applyFont="1" applyFill="1" applyBorder="1" applyAlignment="1">
      <alignment vertical="center"/>
    </xf>
    <xf numFmtId="0" fontId="16" fillId="7" borderId="22" xfId="0" applyFont="1" applyFill="1" applyBorder="1" applyAlignment="1">
      <alignment vertical="center"/>
    </xf>
    <xf numFmtId="0" fontId="16" fillId="7" borderId="20" xfId="0" applyFont="1" applyFill="1" applyBorder="1" applyAlignment="1">
      <alignment vertical="center"/>
    </xf>
    <xf numFmtId="2" fontId="16" fillId="11" borderId="0" xfId="0" applyNumberFormat="1" applyFont="1" applyFill="1" applyAlignment="1">
      <alignment horizontal="center" vertical="center"/>
    </xf>
    <xf numFmtId="0" fontId="7" fillId="11" borderId="12" xfId="0" applyFont="1" applyFill="1" applyBorder="1" applyAlignment="1">
      <alignment horizontal="center" vertical="center"/>
    </xf>
    <xf numFmtId="0" fontId="7" fillId="11" borderId="12" xfId="0" applyFont="1" applyFill="1" applyBorder="1" applyAlignment="1">
      <alignment horizontal="center" vertical="center" wrapText="1"/>
    </xf>
    <xf numFmtId="0" fontId="7" fillId="11" borderId="31" xfId="0" applyFont="1" applyFill="1" applyBorder="1" applyAlignment="1">
      <alignment horizontal="center" vertical="center" wrapText="1"/>
    </xf>
    <xf numFmtId="0" fontId="8" fillId="0" borderId="0" xfId="0" applyFont="1"/>
    <xf numFmtId="0" fontId="47" fillId="11" borderId="143" xfId="5" applyFont="1" applyFill="1" applyBorder="1" applyAlignment="1" applyProtection="1">
      <alignment horizontal="left" vertical="center" wrapText="1"/>
    </xf>
    <xf numFmtId="10" fontId="7" fillId="11" borderId="12" xfId="0" applyNumberFormat="1" applyFont="1" applyFill="1" applyBorder="1" applyAlignment="1">
      <alignment horizontal="center" vertical="center" wrapText="1"/>
    </xf>
    <xf numFmtId="49" fontId="16" fillId="0" borderId="39" xfId="0" applyNumberFormat="1" applyFont="1" applyBorder="1" applyAlignment="1" applyProtection="1">
      <alignment horizontal="center" vertical="center" wrapText="1"/>
      <protection locked="0"/>
    </xf>
    <xf numFmtId="49" fontId="16" fillId="0" borderId="43" xfId="0" applyNumberFormat="1" applyFont="1" applyBorder="1" applyAlignment="1" applyProtection="1">
      <alignment horizontal="center" vertical="center" wrapText="1"/>
      <protection locked="0"/>
    </xf>
    <xf numFmtId="49" fontId="16" fillId="0" borderId="47" xfId="0" applyNumberFormat="1" applyFont="1" applyBorder="1" applyAlignment="1" applyProtection="1">
      <alignment horizontal="center" vertical="center" wrapText="1"/>
      <protection locked="0"/>
    </xf>
    <xf numFmtId="49" fontId="16" fillId="11" borderId="39" xfId="0" applyNumberFormat="1" applyFont="1" applyFill="1" applyBorder="1" applyAlignment="1">
      <alignment horizontal="center" vertical="center" wrapText="1"/>
    </xf>
    <xf numFmtId="49" fontId="16" fillId="11" borderId="43" xfId="0" applyNumberFormat="1" applyFont="1" applyFill="1" applyBorder="1" applyAlignment="1">
      <alignment horizontal="center" vertical="center" wrapText="1"/>
    </xf>
    <xf numFmtId="2" fontId="16" fillId="16" borderId="41" xfId="0" applyNumberFormat="1" applyFont="1" applyFill="1" applyBorder="1" applyAlignment="1">
      <alignment horizontal="center" vertical="center"/>
    </xf>
    <xf numFmtId="10" fontId="16" fillId="16" borderId="44" xfId="9" applyNumberFormat="1" applyFont="1" applyFill="1" applyBorder="1" applyAlignment="1" applyProtection="1">
      <alignment horizontal="center" vertical="center"/>
    </xf>
    <xf numFmtId="0" fontId="0" fillId="11" borderId="143" xfId="0" applyFill="1" applyBorder="1" applyAlignment="1">
      <alignment horizontal="center" vertical="center"/>
    </xf>
    <xf numFmtId="49" fontId="16" fillId="0" borderId="39" xfId="0" applyNumberFormat="1" applyFont="1" applyBorder="1" applyAlignment="1" applyProtection="1">
      <alignment horizontal="center" vertical="center"/>
      <protection locked="0"/>
    </xf>
    <xf numFmtId="49" fontId="16" fillId="0" borderId="43" xfId="0" applyNumberFormat="1" applyFont="1" applyBorder="1" applyAlignment="1" applyProtection="1">
      <alignment horizontal="center" vertical="center"/>
      <protection locked="0"/>
    </xf>
    <xf numFmtId="49" fontId="16" fillId="0" borderId="47" xfId="0" applyNumberFormat="1" applyFont="1" applyBorder="1" applyAlignment="1" applyProtection="1">
      <alignment horizontal="center" vertical="center"/>
      <protection locked="0"/>
    </xf>
    <xf numFmtId="49" fontId="16" fillId="11" borderId="38" xfId="0" applyNumberFormat="1" applyFont="1" applyFill="1" applyBorder="1" applyAlignment="1">
      <alignment horizontal="left" vertical="center"/>
    </xf>
    <xf numFmtId="49" fontId="16" fillId="11" borderId="39" xfId="0" applyNumberFormat="1" applyFont="1" applyFill="1" applyBorder="1" applyAlignment="1">
      <alignment horizontal="left" vertical="center"/>
    </xf>
    <xf numFmtId="166" fontId="16" fillId="11" borderId="39" xfId="0" applyNumberFormat="1" applyFont="1" applyFill="1" applyBorder="1" applyAlignment="1">
      <alignment horizontal="center" vertical="center"/>
    </xf>
    <xf numFmtId="49" fontId="16" fillId="11" borderId="39" xfId="0" applyNumberFormat="1" applyFont="1" applyFill="1" applyBorder="1" applyAlignment="1">
      <alignment horizontal="center" vertical="center"/>
    </xf>
    <xf numFmtId="3" fontId="16" fillId="11" borderId="39" xfId="0" quotePrefix="1" applyNumberFormat="1" applyFont="1" applyFill="1" applyBorder="1" applyAlignment="1">
      <alignment horizontal="center" vertical="center"/>
    </xf>
    <xf numFmtId="2" fontId="16" fillId="11" borderId="39" xfId="9" applyNumberFormat="1" applyFont="1" applyFill="1" applyBorder="1" applyAlignment="1" applyProtection="1">
      <alignment horizontal="center" vertical="center"/>
    </xf>
    <xf numFmtId="2" fontId="16" fillId="11" borderId="41" xfId="0" applyNumberFormat="1" applyFont="1" applyFill="1" applyBorder="1" applyAlignment="1">
      <alignment horizontal="center" vertical="center"/>
    </xf>
    <xf numFmtId="165" fontId="16" fillId="11" borderId="50" xfId="0" applyNumberFormat="1" applyFont="1" applyFill="1" applyBorder="1" applyAlignment="1">
      <alignment horizontal="center" vertical="center"/>
    </xf>
    <xf numFmtId="49" fontId="16" fillId="11" borderId="42" xfId="0" applyNumberFormat="1" applyFont="1" applyFill="1" applyBorder="1" applyAlignment="1">
      <alignment horizontal="left" vertical="center"/>
    </xf>
    <xf numFmtId="49" fontId="16" fillId="11" borderId="43" xfId="0" applyNumberFormat="1" applyFont="1" applyFill="1" applyBorder="1" applyAlignment="1">
      <alignment horizontal="left" vertical="center"/>
    </xf>
    <xf numFmtId="166" fontId="16" fillId="11" borderId="43" xfId="0" applyNumberFormat="1" applyFont="1" applyFill="1" applyBorder="1" applyAlignment="1">
      <alignment horizontal="center" vertical="center"/>
    </xf>
    <xf numFmtId="49" fontId="16" fillId="17" borderId="43" xfId="0" applyNumberFormat="1" applyFont="1" applyFill="1" applyBorder="1" applyAlignment="1">
      <alignment horizontal="center" vertical="center"/>
    </xf>
    <xf numFmtId="2" fontId="16" fillId="11" borderId="43" xfId="9" applyNumberFormat="1" applyFont="1" applyFill="1" applyBorder="1" applyAlignment="1" applyProtection="1">
      <alignment horizontal="center" vertical="center"/>
    </xf>
    <xf numFmtId="165" fontId="16" fillId="11" borderId="51" xfId="0" applyNumberFormat="1" applyFont="1" applyFill="1" applyBorder="1" applyAlignment="1">
      <alignment horizontal="center" vertical="center"/>
    </xf>
    <xf numFmtId="49" fontId="16" fillId="11" borderId="43" xfId="0" applyNumberFormat="1" applyFont="1" applyFill="1" applyBorder="1" applyAlignment="1">
      <alignment horizontal="center" vertical="center"/>
    </xf>
    <xf numFmtId="3" fontId="16" fillId="11" borderId="43" xfId="0" applyNumberFormat="1" applyFont="1" applyFill="1" applyBorder="1" applyAlignment="1">
      <alignment horizontal="center" vertical="center"/>
    </xf>
    <xf numFmtId="3" fontId="16" fillId="17" borderId="43" xfId="0" applyNumberFormat="1" applyFont="1" applyFill="1" applyBorder="1" applyAlignment="1">
      <alignment horizontal="center" vertical="center"/>
    </xf>
    <xf numFmtId="3" fontId="16" fillId="17" borderId="45" xfId="0" applyNumberFormat="1" applyFont="1" applyFill="1" applyBorder="1" applyAlignment="1">
      <alignment horizontal="center" vertical="center"/>
    </xf>
    <xf numFmtId="10" fontId="16" fillId="17" borderId="43" xfId="9" applyNumberFormat="1" applyFont="1" applyFill="1" applyBorder="1" applyAlignment="1" applyProtection="1">
      <alignment horizontal="center" vertical="center"/>
    </xf>
    <xf numFmtId="0" fontId="47" fillId="11" borderId="0" xfId="0" applyFont="1" applyFill="1" applyAlignment="1">
      <alignment vertical="center"/>
    </xf>
    <xf numFmtId="0" fontId="20" fillId="11" borderId="12" xfId="0" applyFont="1" applyFill="1" applyBorder="1" applyAlignment="1">
      <alignment horizontal="center" vertical="center" wrapText="1"/>
    </xf>
    <xf numFmtId="0" fontId="3" fillId="11" borderId="15" xfId="0" applyFont="1" applyFill="1" applyBorder="1" applyAlignment="1">
      <alignment horizontal="center" vertical="center"/>
    </xf>
    <xf numFmtId="2" fontId="47" fillId="11" borderId="39" xfId="0" applyNumberFormat="1" applyFont="1" applyFill="1" applyBorder="1" applyAlignment="1">
      <alignment horizontal="center" vertical="center"/>
    </xf>
    <xf numFmtId="2" fontId="47" fillId="17" borderId="43" xfId="0" applyNumberFormat="1" applyFont="1" applyFill="1" applyBorder="1" applyAlignment="1">
      <alignment horizontal="center" vertical="center"/>
    </xf>
    <xf numFmtId="0" fontId="49" fillId="11" borderId="0" xfId="0" applyFont="1" applyFill="1" applyAlignment="1">
      <alignment vertical="center"/>
    </xf>
    <xf numFmtId="0" fontId="61" fillId="11" borderId="3" xfId="0" applyFont="1" applyFill="1" applyBorder="1" applyAlignment="1">
      <alignment horizontal="center" vertical="center" wrapText="1"/>
    </xf>
    <xf numFmtId="0" fontId="40" fillId="0" borderId="0" xfId="0" applyFont="1"/>
    <xf numFmtId="2" fontId="47" fillId="0" borderId="39" xfId="0" applyNumberFormat="1" applyFont="1" applyBorder="1" applyAlignment="1" applyProtection="1">
      <alignment horizontal="center" vertical="center"/>
      <protection locked="0"/>
    </xf>
    <xf numFmtId="2" fontId="47" fillId="0" borderId="43" xfId="0" applyNumberFormat="1" applyFont="1" applyBorder="1" applyAlignment="1" applyProtection="1">
      <alignment horizontal="center" vertical="center"/>
      <protection locked="0"/>
    </xf>
    <xf numFmtId="2" fontId="47" fillId="0" borderId="47" xfId="0" applyNumberFormat="1" applyFont="1" applyBorder="1" applyAlignment="1" applyProtection="1">
      <alignment horizontal="center" vertical="center"/>
      <protection locked="0"/>
    </xf>
    <xf numFmtId="0" fontId="16" fillId="0" borderId="41"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9" xfId="0" applyFont="1" applyBorder="1" applyAlignment="1">
      <alignment horizontal="center" vertical="center" wrapText="1"/>
    </xf>
    <xf numFmtId="166" fontId="16" fillId="11" borderId="45" xfId="0" applyNumberFormat="1" applyFont="1" applyFill="1" applyBorder="1" applyAlignment="1">
      <alignment horizontal="center" vertical="center" wrapText="1"/>
    </xf>
    <xf numFmtId="0" fontId="8" fillId="11" borderId="71" xfId="0" applyFont="1" applyFill="1" applyBorder="1" applyAlignment="1">
      <alignment vertical="center"/>
    </xf>
    <xf numFmtId="0" fontId="7" fillId="11" borderId="0" xfId="0" applyFont="1" applyFill="1" applyAlignment="1">
      <alignment horizontal="left" vertical="center" wrapText="1"/>
    </xf>
    <xf numFmtId="0" fontId="7" fillId="11" borderId="59" xfId="0" applyFont="1" applyFill="1" applyBorder="1" applyAlignment="1">
      <alignment horizontal="center" vertical="center" wrapText="1"/>
    </xf>
    <xf numFmtId="0" fontId="8" fillId="11" borderId="1" xfId="0" applyFont="1" applyFill="1" applyBorder="1" applyAlignment="1">
      <alignment vertical="center" wrapText="1"/>
    </xf>
    <xf numFmtId="0" fontId="8" fillId="11" borderId="1" xfId="0" applyFont="1" applyFill="1" applyBorder="1" applyAlignment="1">
      <alignment horizontal="center" vertical="center" wrapText="1"/>
    </xf>
    <xf numFmtId="0" fontId="63" fillId="11" borderId="0" xfId="0" applyFont="1" applyFill="1" applyAlignment="1">
      <alignment vertical="center"/>
    </xf>
    <xf numFmtId="181" fontId="16" fillId="11" borderId="0" xfId="0" applyNumberFormat="1" applyFont="1" applyFill="1" applyAlignment="1">
      <alignment vertical="center"/>
    </xf>
    <xf numFmtId="0" fontId="16" fillId="11" borderId="0" xfId="0" applyFont="1" applyFill="1" applyAlignment="1">
      <alignment horizontal="center" vertical="center"/>
    </xf>
    <xf numFmtId="0" fontId="16" fillId="11" borderId="0" xfId="0" applyFont="1" applyFill="1" applyAlignment="1">
      <alignment horizontal="center"/>
    </xf>
    <xf numFmtId="0" fontId="0" fillId="11" borderId="0" xfId="0" applyFill="1" applyAlignment="1">
      <alignment horizontal="center"/>
    </xf>
    <xf numFmtId="0" fontId="16" fillId="9" borderId="117" xfId="0" applyFont="1" applyFill="1" applyBorder="1" applyAlignment="1" applyProtection="1">
      <alignment horizontal="center" vertical="center"/>
      <protection locked="0"/>
    </xf>
    <xf numFmtId="0" fontId="16" fillId="9" borderId="118" xfId="0" applyFont="1" applyFill="1" applyBorder="1" applyAlignment="1" applyProtection="1">
      <alignment horizontal="center" vertical="center"/>
      <protection locked="0"/>
    </xf>
    <xf numFmtId="0" fontId="16" fillId="9" borderId="119" xfId="0" applyFont="1" applyFill="1" applyBorder="1" applyAlignment="1" applyProtection="1">
      <alignment horizontal="center" vertical="center"/>
      <protection locked="0"/>
    </xf>
    <xf numFmtId="0" fontId="16" fillId="11" borderId="118" xfId="0" applyFont="1" applyFill="1" applyBorder="1" applyAlignment="1">
      <alignment horizontal="center" vertical="center"/>
    </xf>
    <xf numFmtId="0" fontId="16" fillId="0" borderId="118" xfId="0" applyFont="1" applyBorder="1" applyAlignment="1">
      <alignment horizontal="center" vertical="center"/>
    </xf>
    <xf numFmtId="0" fontId="0" fillId="11" borderId="0" xfId="0" applyFill="1" applyAlignment="1" applyProtection="1">
      <alignment vertical="center"/>
      <protection locked="0"/>
    </xf>
    <xf numFmtId="0" fontId="16" fillId="9" borderId="181" xfId="0" applyFont="1" applyFill="1" applyBorder="1" applyAlignment="1" applyProtection="1">
      <alignment horizontal="center" vertical="center"/>
      <protection locked="0"/>
    </xf>
    <xf numFmtId="0" fontId="16" fillId="11" borderId="144" xfId="0" applyFont="1" applyFill="1" applyBorder="1" applyAlignment="1">
      <alignment horizontal="center" vertical="center"/>
    </xf>
    <xf numFmtId="0" fontId="16" fillId="11" borderId="148" xfId="0" applyFont="1" applyFill="1" applyBorder="1" applyAlignment="1">
      <alignment horizontal="center" vertical="center"/>
    </xf>
    <xf numFmtId="167" fontId="16" fillId="11" borderId="148" xfId="0" applyNumberFormat="1" applyFont="1" applyFill="1" applyBorder="1" applyAlignment="1">
      <alignment horizontal="center" vertical="center"/>
    </xf>
    <xf numFmtId="174" fontId="16" fillId="11" borderId="148" xfId="0" applyNumberFormat="1" applyFont="1" applyFill="1" applyBorder="1" applyAlignment="1">
      <alignment horizontal="center" vertical="center"/>
    </xf>
    <xf numFmtId="4" fontId="16" fillId="11" borderId="148" xfId="0" applyNumberFormat="1" applyFont="1" applyFill="1" applyBorder="1" applyAlignment="1">
      <alignment horizontal="center" vertical="center"/>
    </xf>
    <xf numFmtId="4" fontId="16" fillId="11" borderId="145" xfId="0" applyNumberFormat="1" applyFont="1" applyFill="1" applyBorder="1" applyAlignment="1">
      <alignment horizontal="center" vertical="center"/>
    </xf>
    <xf numFmtId="4" fontId="16" fillId="11" borderId="154" xfId="0" applyNumberFormat="1" applyFont="1" applyFill="1" applyBorder="1" applyAlignment="1">
      <alignment horizontal="center" vertical="center"/>
    </xf>
    <xf numFmtId="0" fontId="49" fillId="7" borderId="30" xfId="0" applyFont="1" applyFill="1" applyBorder="1" applyAlignment="1">
      <alignment vertical="center"/>
    </xf>
    <xf numFmtId="166" fontId="49" fillId="7" borderId="7" xfId="0" applyNumberFormat="1" applyFont="1" applyFill="1" applyBorder="1" applyAlignment="1">
      <alignment horizontal="center" vertical="center"/>
    </xf>
    <xf numFmtId="0" fontId="49" fillId="7" borderId="7" xfId="0" applyFont="1" applyFill="1" applyBorder="1" applyAlignment="1">
      <alignment vertical="center"/>
    </xf>
    <xf numFmtId="0" fontId="49" fillId="7" borderId="9" xfId="0" applyFont="1" applyFill="1" applyBorder="1" applyAlignment="1">
      <alignment vertical="center"/>
    </xf>
    <xf numFmtId="166" fontId="49" fillId="7" borderId="1" xfId="0" applyNumberFormat="1" applyFont="1" applyFill="1" applyBorder="1" applyAlignment="1">
      <alignment horizontal="center" vertical="center"/>
    </xf>
    <xf numFmtId="0" fontId="49" fillId="7" borderId="1" xfId="0" applyFont="1" applyFill="1" applyBorder="1" applyAlignment="1">
      <alignment vertical="center"/>
    </xf>
    <xf numFmtId="0" fontId="49" fillId="7" borderId="11" xfId="0" applyFont="1" applyFill="1" applyBorder="1" applyAlignment="1">
      <alignment vertical="center"/>
    </xf>
    <xf numFmtId="0" fontId="49" fillId="7" borderId="10" xfId="0" applyFont="1" applyFill="1" applyBorder="1" applyAlignment="1">
      <alignment vertical="center"/>
    </xf>
    <xf numFmtId="166" fontId="49" fillId="7" borderId="11" xfId="0" applyNumberFormat="1" applyFont="1" applyFill="1" applyBorder="1" applyAlignment="1">
      <alignment horizontal="center" vertical="center"/>
    </xf>
    <xf numFmtId="0" fontId="49" fillId="7" borderId="99" xfId="0" applyFont="1" applyFill="1" applyBorder="1" applyAlignment="1">
      <alignment vertical="center"/>
    </xf>
    <xf numFmtId="166" fontId="49" fillId="7" borderId="2" xfId="0" applyNumberFormat="1" applyFont="1" applyFill="1" applyBorder="1" applyAlignment="1">
      <alignment horizontal="center" vertical="center"/>
    </xf>
    <xf numFmtId="0" fontId="47" fillId="3" borderId="19" xfId="0" applyFont="1" applyFill="1" applyBorder="1" applyAlignment="1">
      <alignment horizontal="left" vertical="center"/>
    </xf>
    <xf numFmtId="0" fontId="47" fillId="3" borderId="17" xfId="0" applyFont="1" applyFill="1" applyBorder="1" applyAlignment="1">
      <alignment horizontal="left" vertical="center"/>
    </xf>
    <xf numFmtId="0" fontId="47" fillId="3" borderId="18" xfId="0" applyFont="1" applyFill="1" applyBorder="1" applyAlignment="1">
      <alignment horizontal="center" vertical="center"/>
    </xf>
    <xf numFmtId="3" fontId="0" fillId="0" borderId="183" xfId="0" applyNumberFormat="1" applyBorder="1" applyAlignment="1">
      <alignment vertical="center"/>
    </xf>
    <xf numFmtId="3" fontId="0" fillId="0" borderId="136" xfId="0" applyNumberFormat="1" applyBorder="1" applyAlignment="1">
      <alignment vertical="center"/>
    </xf>
    <xf numFmtId="0" fontId="49" fillId="7" borderId="131" xfId="0" applyFont="1" applyFill="1" applyBorder="1" applyAlignment="1">
      <alignment vertical="center"/>
    </xf>
    <xf numFmtId="166" fontId="49" fillId="7" borderId="134" xfId="0" applyNumberFormat="1" applyFont="1" applyFill="1" applyBorder="1" applyAlignment="1">
      <alignment horizontal="center" vertical="center"/>
    </xf>
    <xf numFmtId="0" fontId="49" fillId="7" borderId="134" xfId="0" applyFont="1" applyFill="1" applyBorder="1" applyAlignment="1">
      <alignment vertical="center"/>
    </xf>
    <xf numFmtId="3" fontId="0" fillId="0" borderId="135" xfId="0" applyNumberFormat="1" applyBorder="1" applyAlignment="1">
      <alignment vertical="center"/>
    </xf>
    <xf numFmtId="3" fontId="0" fillId="0" borderId="184" xfId="0" applyNumberFormat="1" applyBorder="1" applyAlignment="1">
      <alignment vertical="center"/>
    </xf>
    <xf numFmtId="3" fontId="0" fillId="0" borderId="137" xfId="0" applyNumberFormat="1" applyBorder="1" applyAlignment="1">
      <alignment vertical="center"/>
    </xf>
    <xf numFmtId="0" fontId="49" fillId="7" borderId="28" xfId="0" applyFont="1" applyFill="1" applyBorder="1" applyAlignment="1">
      <alignment vertical="center"/>
    </xf>
    <xf numFmtId="166" fontId="49" fillId="7" borderId="15" xfId="0" applyNumberFormat="1" applyFont="1" applyFill="1" applyBorder="1" applyAlignment="1">
      <alignment horizontal="center" vertical="center"/>
    </xf>
    <xf numFmtId="0" fontId="49" fillId="7" borderId="15" xfId="0" applyFont="1" applyFill="1" applyBorder="1" applyAlignment="1">
      <alignment vertical="center"/>
    </xf>
    <xf numFmtId="3" fontId="0" fillId="0" borderId="63" xfId="0" applyNumberFormat="1" applyBorder="1" applyAlignment="1">
      <alignment vertical="center"/>
    </xf>
    <xf numFmtId="0" fontId="49" fillId="7" borderId="9" xfId="0" applyFont="1" applyFill="1" applyBorder="1" applyAlignment="1">
      <alignment vertical="center" wrapText="1"/>
    </xf>
    <xf numFmtId="0" fontId="19" fillId="0" borderId="0" xfId="0" applyFont="1" applyAlignment="1">
      <alignment vertical="center"/>
    </xf>
    <xf numFmtId="0" fontId="0" fillId="0" borderId="0" xfId="0" applyAlignment="1">
      <alignment vertical="center"/>
    </xf>
    <xf numFmtId="0" fontId="16" fillId="9" borderId="5" xfId="0" applyFont="1" applyFill="1" applyBorder="1" applyAlignment="1">
      <alignment horizontal="center" vertical="center" wrapText="1"/>
    </xf>
    <xf numFmtId="0" fontId="0" fillId="11" borderId="0" xfId="0" applyFill="1" applyAlignment="1">
      <alignment horizontal="left" vertical="center"/>
    </xf>
    <xf numFmtId="4" fontId="16" fillId="3" borderId="45" xfId="0" applyNumberFormat="1" applyFont="1" applyFill="1" applyBorder="1" applyAlignment="1">
      <alignment horizontal="center" vertical="center" wrapText="1"/>
    </xf>
    <xf numFmtId="4" fontId="16" fillId="3" borderId="43" xfId="0" applyNumberFormat="1" applyFont="1" applyFill="1" applyBorder="1" applyAlignment="1">
      <alignment horizontal="center" vertical="center" wrapText="1"/>
    </xf>
    <xf numFmtId="4" fontId="16" fillId="3" borderId="36" xfId="0" applyNumberFormat="1" applyFont="1" applyFill="1" applyBorder="1" applyAlignment="1">
      <alignment horizontal="center" vertical="center" wrapText="1"/>
    </xf>
    <xf numFmtId="0" fontId="47" fillId="11" borderId="68" xfId="5" applyFont="1" applyFill="1" applyBorder="1" applyAlignment="1" applyProtection="1">
      <alignment horizontal="right" vertical="center" wrapText="1"/>
    </xf>
    <xf numFmtId="3" fontId="47" fillId="9" borderId="5" xfId="5" applyNumberFormat="1" applyFont="1" applyFill="1" applyBorder="1" applyAlignment="1" applyProtection="1">
      <alignment horizontal="center" vertical="center" wrapText="1"/>
      <protection locked="0"/>
    </xf>
    <xf numFmtId="4" fontId="16" fillId="9" borderId="118" xfId="0" applyNumberFormat="1" applyFont="1" applyFill="1" applyBorder="1" applyAlignment="1">
      <alignment horizontal="center" vertical="center" wrapText="1"/>
    </xf>
    <xf numFmtId="4" fontId="16" fillId="9" borderId="45" xfId="0" applyNumberFormat="1" applyFont="1" applyFill="1" applyBorder="1" applyAlignment="1">
      <alignment horizontal="center" vertical="center" wrapText="1"/>
    </xf>
    <xf numFmtId="4" fontId="16" fillId="9" borderId="43" xfId="0" applyNumberFormat="1" applyFont="1" applyFill="1" applyBorder="1" applyAlignment="1">
      <alignment horizontal="center" vertical="center" wrapText="1"/>
    </xf>
    <xf numFmtId="165" fontId="47" fillId="9" borderId="5" xfId="5" applyNumberFormat="1" applyFont="1" applyFill="1" applyBorder="1" applyAlignment="1" applyProtection="1">
      <alignment horizontal="center" vertical="center" wrapText="1"/>
      <protection locked="0"/>
    </xf>
    <xf numFmtId="0" fontId="0" fillId="11" borderId="0" xfId="0" quotePrefix="1" applyFill="1" applyAlignment="1">
      <alignment horizontal="center" vertical="center"/>
    </xf>
    <xf numFmtId="0" fontId="16" fillId="11" borderId="0" xfId="0" quotePrefix="1" applyFont="1" applyFill="1" applyAlignment="1">
      <alignment horizontal="center" vertical="center" wrapText="1"/>
    </xf>
    <xf numFmtId="0" fontId="8" fillId="11" borderId="0" xfId="0" applyFont="1" applyFill="1" applyAlignment="1">
      <alignment horizontal="left" vertical="top" wrapText="1"/>
    </xf>
    <xf numFmtId="0" fontId="8" fillId="11" borderId="1" xfId="0" applyFont="1" applyFill="1" applyBorder="1" applyAlignment="1">
      <alignment horizontal="left" vertical="top" wrapText="1"/>
    </xf>
    <xf numFmtId="0" fontId="8" fillId="11" borderId="1" xfId="0" quotePrefix="1" applyFont="1" applyFill="1" applyBorder="1" applyAlignment="1">
      <alignment vertical="center"/>
    </xf>
    <xf numFmtId="0" fontId="8" fillId="11" borderId="11" xfId="0" applyFont="1" applyFill="1" applyBorder="1" applyAlignment="1">
      <alignment horizontal="left" vertical="top" wrapText="1"/>
    </xf>
    <xf numFmtId="49" fontId="47" fillId="0" borderId="70" xfId="0" applyNumberFormat="1" applyFont="1" applyBorder="1" applyAlignment="1">
      <alignment horizontal="left" vertical="center"/>
    </xf>
    <xf numFmtId="49" fontId="47" fillId="0" borderId="95" xfId="0" applyNumberFormat="1" applyFont="1" applyBorder="1" applyAlignment="1">
      <alignment horizontal="left" vertical="center"/>
    </xf>
    <xf numFmtId="0" fontId="12" fillId="8" borderId="12"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165" fontId="19" fillId="18" borderId="1" xfId="0" applyNumberFormat="1" applyFont="1" applyFill="1" applyBorder="1" applyAlignment="1">
      <alignment horizontal="center" vertical="center" wrapText="1"/>
    </xf>
    <xf numFmtId="0" fontId="72" fillId="18" borderId="1" xfId="0" applyFont="1" applyFill="1" applyBorder="1" applyAlignment="1">
      <alignment horizontal="center" vertical="center" wrapText="1"/>
    </xf>
    <xf numFmtId="0" fontId="7" fillId="0" borderId="9" xfId="0" applyFont="1" applyBorder="1" applyAlignment="1">
      <alignment horizontal="left" vertical="center" wrapText="1"/>
    </xf>
    <xf numFmtId="0" fontId="7" fillId="9" borderId="9" xfId="0" applyFont="1" applyFill="1" applyBorder="1" applyAlignment="1">
      <alignment horizontal="left" vertical="center" wrapText="1"/>
    </xf>
    <xf numFmtId="4" fontId="16" fillId="11" borderId="35" xfId="0" applyNumberFormat="1" applyFont="1" applyFill="1" applyBorder="1" applyAlignment="1">
      <alignment horizontal="center" vertical="center" wrapText="1"/>
    </xf>
    <xf numFmtId="4" fontId="16" fillId="11" borderId="149" xfId="0" applyNumberFormat="1" applyFont="1" applyFill="1" applyBorder="1" applyAlignment="1">
      <alignment horizontal="center" vertical="center" wrapText="1"/>
    </xf>
    <xf numFmtId="4" fontId="16" fillId="11" borderId="148" xfId="0" applyNumberFormat="1" applyFont="1" applyFill="1" applyBorder="1" applyAlignment="1">
      <alignment horizontal="center" vertical="center" wrapText="1"/>
    </xf>
    <xf numFmtId="4" fontId="16" fillId="11" borderId="154" xfId="0" applyNumberFormat="1" applyFont="1" applyFill="1" applyBorder="1" applyAlignment="1">
      <alignment horizontal="center" vertical="center" wrapText="1"/>
    </xf>
    <xf numFmtId="0" fontId="8" fillId="11" borderId="0" xfId="0" applyFont="1" applyFill="1" applyAlignment="1">
      <alignment wrapText="1"/>
    </xf>
    <xf numFmtId="0" fontId="19" fillId="0" borderId="137" xfId="0" applyFont="1" applyBorder="1" applyAlignment="1">
      <alignment horizontal="center" vertical="center" wrapText="1"/>
    </xf>
    <xf numFmtId="0" fontId="19" fillId="0" borderId="136" xfId="0" applyFont="1" applyBorder="1" applyAlignment="1">
      <alignment horizontal="center" vertical="center" wrapText="1"/>
    </xf>
    <xf numFmtId="0" fontId="12" fillId="7" borderId="22" xfId="0" applyFont="1" applyFill="1" applyBorder="1" applyAlignment="1">
      <alignment horizontal="center" vertical="center" wrapText="1"/>
    </xf>
    <xf numFmtId="0" fontId="19" fillId="0" borderId="135" xfId="0" applyFont="1" applyBorder="1" applyAlignment="1">
      <alignment horizontal="center" vertical="center" wrapText="1"/>
    </xf>
    <xf numFmtId="165" fontId="72" fillId="18" borderId="1" xfId="0" applyNumberFormat="1" applyFont="1" applyFill="1" applyBorder="1" applyAlignment="1">
      <alignment horizontal="center" vertical="center" wrapText="1"/>
    </xf>
    <xf numFmtId="0" fontId="72" fillId="18" borderId="136" xfId="0" applyFont="1" applyFill="1" applyBorder="1" applyAlignment="1">
      <alignment horizontal="center" vertical="center" wrapText="1"/>
    </xf>
    <xf numFmtId="4" fontId="16" fillId="0" borderId="118" xfId="0" quotePrefix="1" applyNumberFormat="1" applyFont="1" applyBorder="1" applyAlignment="1">
      <alignment horizontal="center" vertical="center" wrapText="1"/>
    </xf>
    <xf numFmtId="0" fontId="16" fillId="11" borderId="24" xfId="0" applyFont="1" applyFill="1" applyBorder="1" applyAlignment="1">
      <alignment horizontal="center" vertical="center"/>
    </xf>
    <xf numFmtId="0" fontId="16" fillId="11" borderId="3" xfId="0" applyFont="1" applyFill="1" applyBorder="1" applyAlignment="1">
      <alignment horizontal="center" vertical="center"/>
    </xf>
    <xf numFmtId="0" fontId="19" fillId="18" borderId="136" xfId="0" applyFont="1" applyFill="1" applyBorder="1" applyAlignment="1">
      <alignment horizontal="center" vertical="center" wrapText="1"/>
    </xf>
    <xf numFmtId="165" fontId="19" fillId="18" borderId="4" xfId="0" applyNumberFormat="1" applyFont="1" applyFill="1" applyBorder="1" applyAlignment="1">
      <alignment horizontal="center" vertical="center" wrapText="1"/>
    </xf>
    <xf numFmtId="0" fontId="16" fillId="11" borderId="27" xfId="0" applyFont="1" applyFill="1" applyBorder="1" applyAlignment="1">
      <alignment vertical="center"/>
    </xf>
    <xf numFmtId="0" fontId="16" fillId="11" borderId="132" xfId="0" applyFont="1" applyFill="1" applyBorder="1" applyAlignment="1">
      <alignment vertical="center"/>
    </xf>
    <xf numFmtId="0" fontId="16" fillId="9" borderId="60" xfId="0" applyFont="1" applyFill="1" applyBorder="1" applyAlignment="1" applyProtection="1">
      <alignment horizontal="center" vertical="center"/>
      <protection locked="0"/>
    </xf>
    <xf numFmtId="0" fontId="47" fillId="11" borderId="132" xfId="5" applyFont="1" applyFill="1" applyBorder="1" applyAlignment="1" applyProtection="1">
      <alignment horizontal="left" vertical="center" wrapText="1"/>
    </xf>
    <xf numFmtId="0" fontId="47" fillId="11" borderId="0" xfId="5" applyFont="1" applyFill="1" applyBorder="1" applyAlignment="1" applyProtection="1">
      <alignment horizontal="left" vertical="center" wrapText="1"/>
    </xf>
    <xf numFmtId="0" fontId="0" fillId="11" borderId="66" xfId="0" applyFill="1" applyBorder="1" applyAlignment="1">
      <alignment horizontal="left"/>
    </xf>
    <xf numFmtId="0" fontId="0" fillId="11" borderId="66" xfId="0" applyFill="1" applyBorder="1"/>
    <xf numFmtId="0" fontId="8" fillId="11" borderId="66" xfId="0" applyFont="1" applyFill="1" applyBorder="1" applyAlignment="1">
      <alignment horizontal="center" vertical="center"/>
    </xf>
    <xf numFmtId="0" fontId="78" fillId="11" borderId="1" xfId="0" applyFont="1" applyFill="1" applyBorder="1" applyAlignment="1">
      <alignment horizontal="center" vertical="center"/>
    </xf>
    <xf numFmtId="0" fontId="78" fillId="11" borderId="0" xfId="0" applyFont="1" applyFill="1" applyAlignment="1">
      <alignment vertical="center"/>
    </xf>
    <xf numFmtId="0" fontId="0" fillId="11" borderId="186" xfId="0" applyFill="1" applyBorder="1" applyAlignment="1" applyProtection="1">
      <alignment horizontal="center" vertical="center"/>
      <protection locked="0"/>
    </xf>
    <xf numFmtId="0" fontId="0" fillId="11" borderId="105" xfId="0" applyFill="1" applyBorder="1" applyAlignment="1" applyProtection="1">
      <alignment horizontal="center" vertical="center"/>
      <protection locked="0"/>
    </xf>
    <xf numFmtId="0" fontId="0" fillId="11" borderId="106" xfId="0" applyFill="1" applyBorder="1" applyAlignment="1" applyProtection="1">
      <alignment horizontal="center" vertical="center"/>
      <protection locked="0"/>
    </xf>
    <xf numFmtId="0" fontId="0" fillId="11" borderId="187" xfId="0" applyFill="1" applyBorder="1" applyAlignment="1" applyProtection="1">
      <alignment horizontal="center" vertical="center"/>
      <protection locked="0"/>
    </xf>
    <xf numFmtId="0" fontId="0" fillId="11" borderId="188" xfId="0" applyFill="1" applyBorder="1" applyAlignment="1" applyProtection="1">
      <alignment horizontal="center" vertical="center"/>
      <protection locked="0"/>
    </xf>
    <xf numFmtId="0" fontId="0" fillId="11" borderId="189" xfId="0" applyFill="1" applyBorder="1" applyAlignment="1" applyProtection="1">
      <alignment horizontal="center" vertical="center"/>
      <protection locked="0"/>
    </xf>
    <xf numFmtId="3" fontId="47" fillId="9" borderId="60" xfId="5" applyNumberFormat="1" applyFont="1" applyFill="1" applyBorder="1" applyAlignment="1" applyProtection="1">
      <alignment horizontal="center" vertical="center" wrapText="1"/>
      <protection locked="0"/>
    </xf>
    <xf numFmtId="182" fontId="47" fillId="11" borderId="132" xfId="5" applyNumberFormat="1" applyFont="1" applyFill="1" applyBorder="1" applyAlignment="1" applyProtection="1">
      <alignment horizontal="center" vertical="center" wrapText="1"/>
    </xf>
    <xf numFmtId="3" fontId="47" fillId="9" borderId="5" xfId="5" applyNumberFormat="1" applyFont="1" applyFill="1" applyBorder="1" applyAlignment="1" applyProtection="1">
      <alignment horizontal="center" vertical="center" wrapText="1"/>
    </xf>
    <xf numFmtId="9" fontId="79" fillId="11" borderId="0" xfId="9" applyFont="1" applyFill="1" applyBorder="1" applyAlignment="1" applyProtection="1">
      <alignment horizontal="center" vertical="center" wrapText="1"/>
    </xf>
    <xf numFmtId="2" fontId="47" fillId="11" borderId="0" xfId="5" applyNumberFormat="1" applyFont="1" applyFill="1" applyBorder="1" applyAlignment="1" applyProtection="1">
      <alignment horizontal="center" wrapText="1"/>
    </xf>
    <xf numFmtId="0" fontId="51" fillId="11" borderId="0" xfId="5" quotePrefix="1" applyFont="1" applyFill="1" applyBorder="1" applyAlignment="1" applyProtection="1">
      <alignment horizontal="right" vertical="center" wrapText="1"/>
    </xf>
    <xf numFmtId="0" fontId="16" fillId="11" borderId="68" xfId="0" applyFont="1" applyFill="1" applyBorder="1" applyAlignment="1">
      <alignment vertical="center"/>
    </xf>
    <xf numFmtId="10" fontId="80" fillId="11" borderId="72" xfId="5" applyNumberFormat="1" applyFont="1" applyFill="1" applyBorder="1" applyAlignment="1" applyProtection="1">
      <alignment horizontal="center" vertical="center" wrapText="1"/>
    </xf>
    <xf numFmtId="0" fontId="47" fillId="11" borderId="0" xfId="5" quotePrefix="1" applyFont="1" applyFill="1" applyBorder="1" applyAlignment="1" applyProtection="1">
      <alignment horizontal="left" vertical="center"/>
    </xf>
    <xf numFmtId="10" fontId="47" fillId="9" borderId="5" xfId="5" applyNumberFormat="1" applyFont="1" applyFill="1" applyBorder="1" applyAlignment="1" applyProtection="1">
      <alignment horizontal="center" vertical="center" wrapText="1"/>
      <protection locked="0"/>
    </xf>
    <xf numFmtId="182" fontId="47" fillId="11" borderId="0" xfId="5" applyNumberFormat="1" applyFont="1" applyFill="1" applyBorder="1" applyAlignment="1" applyProtection="1">
      <alignment horizontal="center" vertical="center" wrapText="1"/>
    </xf>
    <xf numFmtId="4" fontId="47" fillId="9" borderId="5" xfId="5" applyNumberFormat="1" applyFont="1" applyFill="1" applyBorder="1" applyAlignment="1" applyProtection="1">
      <alignment horizontal="center" vertical="center" wrapText="1"/>
    </xf>
    <xf numFmtId="2" fontId="16" fillId="0" borderId="19" xfId="0" applyNumberFormat="1" applyFont="1" applyBorder="1" applyAlignment="1">
      <alignment horizontal="center" vertical="center"/>
    </xf>
    <xf numFmtId="0" fontId="7" fillId="11" borderId="16" xfId="0" applyFont="1" applyFill="1" applyBorder="1" applyAlignment="1">
      <alignment horizontal="center" vertical="center" wrapText="1"/>
    </xf>
    <xf numFmtId="0" fontId="7" fillId="11" borderId="147" xfId="0" applyFont="1" applyFill="1" applyBorder="1" applyAlignment="1">
      <alignment horizontal="center" vertical="center" wrapText="1"/>
    </xf>
    <xf numFmtId="11" fontId="0" fillId="11" borderId="185" xfId="0" applyNumberFormat="1" applyFill="1" applyBorder="1" applyAlignment="1">
      <alignment horizontal="center" vertical="center"/>
    </xf>
    <xf numFmtId="0" fontId="0" fillId="11" borderId="186" xfId="0" applyFill="1" applyBorder="1" applyAlignment="1">
      <alignment horizontal="center" vertical="center"/>
    </xf>
    <xf numFmtId="0" fontId="0" fillId="11" borderId="105" xfId="0" applyFill="1" applyBorder="1" applyAlignment="1">
      <alignment horizontal="center" vertical="center"/>
    </xf>
    <xf numFmtId="0" fontId="0" fillId="11" borderId="106" xfId="0" applyFill="1" applyBorder="1" applyAlignment="1">
      <alignment horizontal="center" vertical="center"/>
    </xf>
    <xf numFmtId="11" fontId="0" fillId="11" borderId="105" xfId="0" applyNumberFormat="1" applyFill="1" applyBorder="1" applyAlignment="1">
      <alignment horizontal="center" vertical="center"/>
    </xf>
    <xf numFmtId="0" fontId="0" fillId="11" borderId="186" xfId="0" applyFill="1" applyBorder="1" applyAlignment="1">
      <alignment horizontal="center" vertical="center" wrapText="1"/>
    </xf>
    <xf numFmtId="0" fontId="0" fillId="11" borderId="105" xfId="0" applyFill="1" applyBorder="1" applyAlignment="1">
      <alignment horizontal="center" vertical="center" wrapText="1"/>
    </xf>
    <xf numFmtId="0" fontId="8" fillId="11" borderId="23" xfId="0" applyFont="1" applyFill="1" applyBorder="1" applyAlignment="1">
      <alignment vertical="center"/>
    </xf>
    <xf numFmtId="0" fontId="8" fillId="11" borderId="26" xfId="0" applyFont="1" applyFill="1" applyBorder="1" applyAlignment="1">
      <alignment vertical="center"/>
    </xf>
    <xf numFmtId="0" fontId="16" fillId="11" borderId="27" xfId="0" applyFont="1" applyFill="1" applyBorder="1" applyAlignment="1">
      <alignment horizontal="center" vertical="center"/>
    </xf>
    <xf numFmtId="4" fontId="0" fillId="11" borderId="105" xfId="0" applyNumberFormat="1" applyFill="1" applyBorder="1" applyAlignment="1">
      <alignment horizontal="center" vertical="center" wrapText="1"/>
    </xf>
    <xf numFmtId="4" fontId="0" fillId="11" borderId="124" xfId="0" applyNumberFormat="1" applyFill="1" applyBorder="1" applyAlignment="1">
      <alignment horizontal="center" vertical="center"/>
    </xf>
    <xf numFmtId="0" fontId="0" fillId="11" borderId="124" xfId="0" applyFill="1" applyBorder="1" applyAlignment="1">
      <alignment horizontal="center" vertical="center"/>
    </xf>
    <xf numFmtId="3" fontId="0" fillId="11" borderId="105" xfId="0" applyNumberFormat="1" applyFill="1" applyBorder="1" applyAlignment="1">
      <alignment horizontal="center" vertical="center"/>
    </xf>
    <xf numFmtId="0" fontId="16" fillId="11" borderId="26" xfId="0" applyFont="1" applyFill="1" applyBorder="1" applyAlignment="1">
      <alignment horizontal="center" vertical="center"/>
    </xf>
    <xf numFmtId="3" fontId="0" fillId="11" borderId="106" xfId="0" applyNumberFormat="1" applyFill="1" applyBorder="1" applyAlignment="1">
      <alignment horizontal="center" vertical="center"/>
    </xf>
    <xf numFmtId="0" fontId="16" fillId="11" borderId="28" xfId="0" applyFont="1" applyFill="1" applyBorder="1" applyAlignment="1">
      <alignment horizontal="center" vertical="center"/>
    </xf>
    <xf numFmtId="3" fontId="0" fillId="11" borderId="188" xfId="0" applyNumberFormat="1" applyFill="1" applyBorder="1" applyAlignment="1">
      <alignment horizontal="center" vertical="center"/>
    </xf>
    <xf numFmtId="3" fontId="0" fillId="11" borderId="189" xfId="0" applyNumberFormat="1" applyFill="1" applyBorder="1" applyAlignment="1">
      <alignment horizontal="center" vertical="center"/>
    </xf>
    <xf numFmtId="0" fontId="0" fillId="11" borderId="187" xfId="0" applyFill="1" applyBorder="1" applyAlignment="1">
      <alignment horizontal="center" vertical="center"/>
    </xf>
    <xf numFmtId="0" fontId="0" fillId="11" borderId="188" xfId="0" applyFill="1" applyBorder="1" applyAlignment="1">
      <alignment horizontal="center" vertical="center"/>
    </xf>
    <xf numFmtId="0" fontId="0" fillId="11" borderId="189" xfId="0" applyFill="1" applyBorder="1" applyAlignment="1">
      <alignment horizontal="center" vertical="center"/>
    </xf>
    <xf numFmtId="0" fontId="8" fillId="19" borderId="1" xfId="0" quotePrefix="1" applyFont="1" applyFill="1" applyBorder="1" applyAlignment="1">
      <alignment vertical="center"/>
    </xf>
    <xf numFmtId="0" fontId="8" fillId="19" borderId="1" xfId="0" applyFont="1" applyFill="1" applyBorder="1" applyAlignment="1">
      <alignment horizontal="left" vertical="top" wrapText="1"/>
    </xf>
    <xf numFmtId="0" fontId="8" fillId="19" borderId="0" xfId="0" applyFont="1" applyFill="1" applyAlignment="1">
      <alignment vertical="center"/>
    </xf>
    <xf numFmtId="0" fontId="8" fillId="19" borderId="1" xfId="0" applyFont="1" applyFill="1" applyBorder="1" applyAlignment="1">
      <alignment vertical="center"/>
    </xf>
    <xf numFmtId="178" fontId="43" fillId="11" borderId="0" xfId="0" applyNumberFormat="1" applyFont="1" applyFill="1" applyAlignment="1">
      <alignment horizontal="center" vertical="center"/>
    </xf>
    <xf numFmtId="4" fontId="81" fillId="18" borderId="118" xfId="0" applyNumberFormat="1" applyFont="1" applyFill="1" applyBorder="1" applyAlignment="1">
      <alignment horizontal="center" vertical="center" wrapText="1"/>
    </xf>
    <xf numFmtId="3" fontId="16" fillId="0" borderId="118" xfId="0" applyNumberFormat="1" applyFont="1" applyBorder="1" applyAlignment="1">
      <alignment horizontal="center" vertical="center" wrapText="1"/>
    </xf>
    <xf numFmtId="49" fontId="16" fillId="0" borderId="118" xfId="0" applyNumberFormat="1" applyFont="1" applyBorder="1" applyAlignment="1">
      <alignment horizontal="center" vertical="center" wrapText="1"/>
    </xf>
    <xf numFmtId="0" fontId="52" fillId="11" borderId="0" xfId="5" applyNumberFormat="1" applyFont="1" applyFill="1" applyBorder="1" applyAlignment="1" applyProtection="1">
      <alignment horizontal="center" vertical="center"/>
    </xf>
    <xf numFmtId="0" fontId="7" fillId="20" borderId="59" xfId="0" applyFont="1" applyFill="1" applyBorder="1" applyAlignment="1">
      <alignment horizontal="center" vertical="center" wrapText="1"/>
    </xf>
    <xf numFmtId="0" fontId="7" fillId="20" borderId="25" xfId="0" applyFont="1" applyFill="1" applyBorder="1" applyAlignment="1">
      <alignment horizontal="center" vertical="center" wrapText="1"/>
    </xf>
    <xf numFmtId="167" fontId="20" fillId="20" borderId="12" xfId="5" applyNumberFormat="1" applyFont="1" applyFill="1" applyBorder="1" applyAlignment="1" applyProtection="1">
      <alignment horizontal="center" vertical="center" wrapText="1"/>
    </xf>
    <xf numFmtId="167" fontId="20" fillId="20" borderId="12" xfId="0" applyNumberFormat="1" applyFont="1" applyFill="1" applyBorder="1" applyAlignment="1">
      <alignment horizontal="center" vertical="center" wrapText="1"/>
    </xf>
    <xf numFmtId="4" fontId="20" fillId="20" borderId="12" xfId="0" applyNumberFormat="1" applyFont="1" applyFill="1" applyBorder="1" applyAlignment="1">
      <alignment horizontal="center" vertical="center" wrapText="1"/>
    </xf>
    <xf numFmtId="167" fontId="1" fillId="20" borderId="15" xfId="0" applyNumberFormat="1" applyFont="1" applyFill="1" applyBorder="1" applyAlignment="1">
      <alignment horizontal="center" vertical="center" wrapText="1"/>
    </xf>
    <xf numFmtId="4" fontId="8" fillId="20" borderId="15" xfId="0" applyNumberFormat="1" applyFont="1" applyFill="1" applyBorder="1" applyAlignment="1">
      <alignment horizontal="center" vertical="center" wrapText="1"/>
    </xf>
    <xf numFmtId="4" fontId="1" fillId="20" borderId="64" xfId="0" applyNumberFormat="1" applyFont="1" applyFill="1" applyBorder="1" applyAlignment="1">
      <alignment horizontal="center" vertical="center" wrapText="1"/>
    </xf>
    <xf numFmtId="4" fontId="1" fillId="20" borderId="15" xfId="0" applyNumberFormat="1" applyFont="1" applyFill="1" applyBorder="1" applyAlignment="1">
      <alignment horizontal="center" vertical="center" wrapText="1"/>
    </xf>
    <xf numFmtId="0" fontId="7" fillId="20" borderId="5" xfId="0" applyFont="1" applyFill="1" applyBorder="1" applyAlignment="1">
      <alignment vertical="center" wrapText="1"/>
    </xf>
    <xf numFmtId="0" fontId="7" fillId="20" borderId="22" xfId="0" applyFont="1" applyFill="1" applyBorder="1" applyAlignment="1">
      <alignment vertical="center" wrapText="1"/>
    </xf>
    <xf numFmtId="0" fontId="9" fillId="20" borderId="5"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7" fillId="20" borderId="17" xfId="0" applyFont="1" applyFill="1" applyBorder="1" applyAlignment="1">
      <alignment horizontal="center" vertical="center" wrapText="1"/>
    </xf>
    <xf numFmtId="2" fontId="7" fillId="20" borderId="5" xfId="0" applyNumberFormat="1" applyFont="1" applyFill="1" applyBorder="1" applyAlignment="1">
      <alignment horizontal="center" vertical="center" wrapText="1"/>
    </xf>
    <xf numFmtId="0" fontId="7" fillId="20" borderId="5" xfId="0" applyFont="1" applyFill="1" applyBorder="1" applyAlignment="1">
      <alignment horizontal="center" vertical="center" wrapText="1"/>
    </xf>
    <xf numFmtId="0" fontId="7" fillId="20" borderId="21" xfId="0" applyFont="1" applyFill="1" applyBorder="1" applyAlignment="1">
      <alignment horizontal="center" vertical="center" wrapText="1"/>
    </xf>
    <xf numFmtId="0" fontId="7" fillId="20" borderId="18" xfId="0" applyFont="1" applyFill="1" applyBorder="1" applyAlignment="1">
      <alignment horizontal="center" vertical="center" wrapText="1"/>
    </xf>
    <xf numFmtId="0" fontId="7" fillId="20" borderId="31" xfId="0" applyFont="1" applyFill="1" applyBorder="1" applyAlignment="1">
      <alignment horizontal="center" vertical="center" wrapText="1"/>
    </xf>
    <xf numFmtId="0" fontId="7" fillId="20" borderId="12" xfId="0" applyFont="1" applyFill="1" applyBorder="1" applyAlignment="1">
      <alignment horizontal="center" vertical="center" wrapText="1"/>
    </xf>
    <xf numFmtId="0" fontId="7" fillId="20" borderId="12" xfId="0" applyFont="1" applyFill="1" applyBorder="1" applyAlignment="1">
      <alignment horizontal="center" vertical="center"/>
    </xf>
    <xf numFmtId="10" fontId="7" fillId="20" borderId="12" xfId="0" applyNumberFormat="1" applyFont="1" applyFill="1" applyBorder="1" applyAlignment="1">
      <alignment horizontal="center" vertical="center" wrapText="1"/>
    </xf>
    <xf numFmtId="0" fontId="9" fillId="20" borderId="34" xfId="0" applyFont="1" applyFill="1" applyBorder="1" applyAlignment="1">
      <alignment horizontal="center" vertical="center"/>
    </xf>
    <xf numFmtId="0" fontId="9" fillId="20" borderId="15" xfId="0" applyFont="1" applyFill="1" applyBorder="1" applyAlignment="1">
      <alignment horizontal="center" vertical="center"/>
    </xf>
    <xf numFmtId="0" fontId="9" fillId="20" borderId="33" xfId="0" applyFont="1" applyFill="1" applyBorder="1" applyAlignment="1">
      <alignment horizontal="center" vertical="center"/>
    </xf>
    <xf numFmtId="10" fontId="9" fillId="20" borderId="15" xfId="0" applyNumberFormat="1" applyFont="1" applyFill="1" applyBorder="1" applyAlignment="1">
      <alignment horizontal="center" vertical="center"/>
    </xf>
    <xf numFmtId="0" fontId="9" fillId="20" borderId="29" xfId="0" applyFont="1" applyFill="1" applyBorder="1" applyAlignment="1">
      <alignment horizontal="center" vertical="center"/>
    </xf>
    <xf numFmtId="0" fontId="20" fillId="20" borderId="12" xfId="0" applyFont="1" applyFill="1" applyBorder="1" applyAlignment="1" applyProtection="1">
      <alignment horizontal="center" vertical="center" wrapText="1"/>
      <protection locked="0"/>
    </xf>
    <xf numFmtId="0" fontId="7" fillId="20" borderId="12" xfId="0" applyFont="1" applyFill="1" applyBorder="1" applyAlignment="1" applyProtection="1">
      <alignment horizontal="center" vertical="center" wrapText="1"/>
      <protection locked="0"/>
    </xf>
    <xf numFmtId="10" fontId="7" fillId="20" borderId="12" xfId="0" applyNumberFormat="1" applyFont="1" applyFill="1" applyBorder="1" applyAlignment="1" applyProtection="1">
      <alignment horizontal="center" vertical="center" wrapText="1"/>
      <protection locked="0"/>
    </xf>
    <xf numFmtId="0" fontId="7" fillId="20" borderId="25" xfId="0" applyFont="1" applyFill="1" applyBorder="1" applyAlignment="1" applyProtection="1">
      <alignment horizontal="center" vertical="center" wrapText="1"/>
      <protection locked="0"/>
    </xf>
    <xf numFmtId="0" fontId="3" fillId="20" borderId="15" xfId="0" applyFont="1" applyFill="1" applyBorder="1" applyAlignment="1" applyProtection="1">
      <alignment horizontal="center" vertical="center"/>
      <protection locked="0"/>
    </xf>
    <xf numFmtId="0" fontId="1" fillId="20" borderId="15" xfId="0" applyFont="1" applyFill="1" applyBorder="1" applyAlignment="1" applyProtection="1">
      <alignment horizontal="center" vertical="center"/>
      <protection locked="0"/>
    </xf>
    <xf numFmtId="10" fontId="1" fillId="20" borderId="15" xfId="0" applyNumberFormat="1" applyFont="1" applyFill="1" applyBorder="1" applyAlignment="1" applyProtection="1">
      <alignment horizontal="center" vertical="center"/>
      <protection locked="0"/>
    </xf>
    <xf numFmtId="0" fontId="1" fillId="20" borderId="29" xfId="0" applyFont="1" applyFill="1" applyBorder="1" applyAlignment="1" applyProtection="1">
      <alignment horizontal="center" vertical="center"/>
      <protection locked="0"/>
    </xf>
    <xf numFmtId="0" fontId="47" fillId="11" borderId="0" xfId="5" applyNumberFormat="1" applyFont="1" applyFill="1" applyBorder="1" applyAlignment="1" applyProtection="1">
      <alignment horizontal="center" vertical="center"/>
    </xf>
    <xf numFmtId="0" fontId="7" fillId="20" borderId="13" xfId="0" applyFont="1" applyFill="1" applyBorder="1" applyAlignment="1">
      <alignment vertical="center" wrapText="1"/>
    </xf>
    <xf numFmtId="0" fontId="8" fillId="20" borderId="14" xfId="0" applyFont="1" applyFill="1" applyBorder="1" applyAlignment="1">
      <alignment vertical="center" wrapText="1"/>
    </xf>
    <xf numFmtId="170" fontId="16" fillId="8" borderId="135" xfId="0" applyNumberFormat="1" applyFont="1" applyFill="1" applyBorder="1" applyAlignment="1">
      <alignment horizontal="center" vertical="center"/>
    </xf>
    <xf numFmtId="0" fontId="16" fillId="21" borderId="19" xfId="0" applyFont="1" applyFill="1" applyBorder="1" applyAlignment="1">
      <alignment horizontal="center" vertical="center"/>
    </xf>
    <xf numFmtId="0" fontId="16" fillId="21" borderId="20" xfId="0" applyFont="1" applyFill="1" applyBorder="1" applyAlignment="1">
      <alignment horizontal="center" vertical="center"/>
    </xf>
    <xf numFmtId="0" fontId="16" fillId="21" borderId="22" xfId="0" applyFont="1" applyFill="1" applyBorder="1" applyAlignment="1">
      <alignment horizontal="center" vertical="center"/>
    </xf>
    <xf numFmtId="183" fontId="16" fillId="8" borderId="19" xfId="0" applyNumberFormat="1" applyFont="1" applyFill="1" applyBorder="1" applyAlignment="1">
      <alignment horizontal="center" vertical="center"/>
    </xf>
    <xf numFmtId="183" fontId="16" fillId="8" borderId="20" xfId="0" applyNumberFormat="1" applyFont="1" applyFill="1" applyBorder="1" applyAlignment="1">
      <alignment horizontal="center" vertical="center"/>
    </xf>
    <xf numFmtId="183" fontId="16" fillId="8" borderId="22" xfId="0" applyNumberFormat="1" applyFont="1" applyFill="1" applyBorder="1" applyAlignment="1">
      <alignment horizontal="center" vertical="center"/>
    </xf>
    <xf numFmtId="0" fontId="16" fillId="7" borderId="26" xfId="0" applyFont="1" applyFill="1" applyBorder="1" applyAlignment="1">
      <alignment vertical="center" wrapText="1"/>
    </xf>
    <xf numFmtId="0" fontId="16" fillId="7" borderId="0" xfId="0" applyFont="1" applyFill="1" applyAlignment="1">
      <alignment vertical="center" wrapText="1"/>
    </xf>
    <xf numFmtId="0" fontId="16" fillId="7" borderId="54" xfId="0" applyFont="1" applyFill="1" applyBorder="1" applyAlignment="1">
      <alignment vertical="center" wrapText="1"/>
    </xf>
    <xf numFmtId="0" fontId="42" fillId="7" borderId="26" xfId="0" applyFont="1" applyFill="1" applyBorder="1" applyAlignment="1">
      <alignment vertical="center"/>
    </xf>
    <xf numFmtId="0" fontId="42" fillId="7" borderId="0" xfId="0" applyFont="1" applyFill="1" applyAlignment="1">
      <alignment vertical="center"/>
    </xf>
    <xf numFmtId="0" fontId="42" fillId="7" borderId="54" xfId="0" applyFont="1" applyFill="1" applyBorder="1" applyAlignment="1">
      <alignment vertical="center"/>
    </xf>
    <xf numFmtId="0" fontId="41" fillId="7" borderId="23" xfId="0" applyFont="1" applyFill="1" applyBorder="1" applyAlignment="1">
      <alignment vertical="center"/>
    </xf>
    <xf numFmtId="0" fontId="41" fillId="7" borderId="24" xfId="0" applyFont="1" applyFill="1" applyBorder="1" applyAlignment="1">
      <alignment vertical="center"/>
    </xf>
    <xf numFmtId="0" fontId="41" fillId="7" borderId="125" xfId="0" applyFont="1" applyFill="1" applyBorder="1" applyAlignment="1">
      <alignment vertical="center"/>
    </xf>
    <xf numFmtId="0" fontId="16" fillId="7" borderId="23" xfId="0" applyFont="1" applyFill="1" applyBorder="1" applyAlignment="1">
      <alignment vertical="center" wrapText="1"/>
    </xf>
    <xf numFmtId="0" fontId="16" fillId="7" borderId="24" xfId="0" applyFont="1" applyFill="1" applyBorder="1" applyAlignment="1">
      <alignment vertical="center" wrapText="1"/>
    </xf>
    <xf numFmtId="0" fontId="16" fillId="7" borderId="125" xfId="0" applyFont="1" applyFill="1" applyBorder="1" applyAlignment="1">
      <alignment vertical="center" wrapText="1"/>
    </xf>
    <xf numFmtId="0" fontId="7" fillId="10" borderId="20" xfId="0" applyFont="1" applyFill="1" applyBorder="1" applyAlignment="1">
      <alignment horizontal="left" vertical="center" wrapText="1"/>
    </xf>
    <xf numFmtId="0" fontId="7" fillId="10" borderId="53" xfId="0" applyFont="1" applyFill="1" applyBorder="1" applyAlignment="1">
      <alignment horizontal="left" vertical="center" wrapText="1"/>
    </xf>
    <xf numFmtId="49" fontId="8" fillId="2" borderId="19" xfId="0" applyNumberFormat="1" applyFont="1" applyFill="1" applyBorder="1" applyAlignment="1">
      <alignment horizontal="left" vertical="center"/>
    </xf>
    <xf numFmtId="49" fontId="8" fillId="2" borderId="20" xfId="0" applyNumberFormat="1" applyFont="1" applyFill="1" applyBorder="1" applyAlignment="1">
      <alignment horizontal="left" vertical="center"/>
    </xf>
    <xf numFmtId="49" fontId="8" fillId="2" borderId="22" xfId="0" applyNumberFormat="1" applyFont="1" applyFill="1" applyBorder="1" applyAlignment="1">
      <alignment horizontal="left" vertical="center"/>
    </xf>
    <xf numFmtId="0" fontId="7" fillId="0" borderId="19" xfId="0" applyFont="1" applyBorder="1" applyAlignment="1">
      <alignment vertical="center" wrapText="1"/>
    </xf>
    <xf numFmtId="0" fontId="7" fillId="0" borderId="22" xfId="0" applyFont="1" applyBorder="1" applyAlignment="1">
      <alignment vertical="center" wrapText="1"/>
    </xf>
    <xf numFmtId="49" fontId="8" fillId="2" borderId="53" xfId="0" applyNumberFormat="1" applyFont="1" applyFill="1" applyBorder="1" applyAlignment="1">
      <alignment horizontal="left" vertical="center"/>
    </xf>
    <xf numFmtId="0" fontId="7" fillId="0" borderId="19" xfId="0" applyFont="1" applyBorder="1" applyAlignment="1">
      <alignment vertical="center"/>
    </xf>
    <xf numFmtId="0" fontId="7" fillId="0" borderId="20" xfId="0" applyFont="1" applyBorder="1" applyAlignment="1">
      <alignment vertical="center"/>
    </xf>
    <xf numFmtId="0" fontId="7" fillId="0" borderId="22" xfId="0" applyFont="1" applyBorder="1" applyAlignment="1">
      <alignment vertical="center"/>
    </xf>
    <xf numFmtId="49" fontId="8" fillId="9" borderId="19" xfId="0" applyNumberFormat="1" applyFont="1" applyFill="1" applyBorder="1" applyAlignment="1">
      <alignment horizontal="left" vertical="center"/>
    </xf>
    <xf numFmtId="49" fontId="8" fillId="9" borderId="20" xfId="0" applyNumberFormat="1" applyFont="1" applyFill="1" applyBorder="1" applyAlignment="1">
      <alignment horizontal="left" vertical="center"/>
    </xf>
    <xf numFmtId="49" fontId="8" fillId="9" borderId="53" xfId="0" applyNumberFormat="1" applyFont="1" applyFill="1" applyBorder="1" applyAlignment="1">
      <alignment horizontal="left" vertical="center"/>
    </xf>
    <xf numFmtId="0" fontId="44" fillId="7" borderId="55" xfId="0" applyFont="1" applyFill="1" applyBorder="1" applyAlignment="1">
      <alignment horizontal="center" vertical="center" wrapText="1"/>
    </xf>
    <xf numFmtId="0" fontId="44" fillId="7" borderId="56" xfId="0" applyFont="1" applyFill="1" applyBorder="1" applyAlignment="1">
      <alignment horizontal="center" vertical="center" wrapText="1"/>
    </xf>
    <xf numFmtId="0" fontId="44" fillId="7" borderId="57" xfId="0" applyFont="1" applyFill="1" applyBorder="1" applyAlignment="1">
      <alignment horizontal="center" vertical="center" wrapText="1"/>
    </xf>
    <xf numFmtId="0" fontId="16" fillId="13" borderId="19" xfId="0" applyFont="1" applyFill="1" applyBorder="1" applyAlignment="1">
      <alignment vertical="center"/>
    </xf>
    <xf numFmtId="0" fontId="16" fillId="13" borderId="20" xfId="0" applyFont="1" applyFill="1" applyBorder="1" applyAlignment="1">
      <alignment vertical="center"/>
    </xf>
    <xf numFmtId="0" fontId="16" fillId="13" borderId="53" xfId="0" applyFont="1" applyFill="1" applyBorder="1" applyAlignment="1">
      <alignment vertical="center"/>
    </xf>
    <xf numFmtId="49" fontId="8" fillId="9" borderId="22" xfId="0" applyNumberFormat="1" applyFont="1" applyFill="1" applyBorder="1" applyAlignment="1">
      <alignment horizontal="left" vertical="center"/>
    </xf>
    <xf numFmtId="0" fontId="7" fillId="9" borderId="20" xfId="0" applyFont="1" applyFill="1" applyBorder="1" applyAlignment="1">
      <alignment horizontal="left" vertical="center" wrapText="1"/>
    </xf>
    <xf numFmtId="0" fontId="7" fillId="9" borderId="53" xfId="0" applyFont="1" applyFill="1" applyBorder="1" applyAlignment="1">
      <alignment horizontal="left" vertical="center" wrapText="1"/>
    </xf>
    <xf numFmtId="0" fontId="16" fillId="7" borderId="26"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54" xfId="0" applyFont="1" applyFill="1" applyBorder="1" applyAlignment="1">
      <alignment horizontal="left" vertical="center" wrapText="1"/>
    </xf>
    <xf numFmtId="0" fontId="7" fillId="0" borderId="91" xfId="0" applyFont="1" applyBorder="1" applyAlignment="1">
      <alignment vertical="center" wrapText="1"/>
    </xf>
    <xf numFmtId="0" fontId="7" fillId="0" borderId="88" xfId="0" applyFont="1" applyBorder="1" applyAlignment="1">
      <alignment vertical="center" wrapText="1"/>
    </xf>
    <xf numFmtId="0" fontId="7" fillId="9" borderId="10" xfId="0" applyFont="1" applyFill="1" applyBorder="1" applyAlignment="1">
      <alignment vertical="center" wrapText="1"/>
    </xf>
    <xf numFmtId="0" fontId="7" fillId="9" borderId="99" xfId="0" applyFont="1" applyFill="1" applyBorder="1" applyAlignment="1">
      <alignment vertical="center" wrapText="1"/>
    </xf>
    <xf numFmtId="0" fontId="7" fillId="9" borderId="85" xfId="0" applyFont="1" applyFill="1" applyBorder="1" applyAlignment="1">
      <alignment vertical="center"/>
    </xf>
    <xf numFmtId="0" fontId="7" fillId="9" borderId="98" xfId="0" applyFont="1" applyFill="1" applyBorder="1" applyAlignment="1">
      <alignment vertical="center"/>
    </xf>
    <xf numFmtId="0" fontId="7" fillId="9" borderId="66" xfId="0" applyFont="1" applyFill="1" applyBorder="1" applyAlignment="1">
      <alignment vertical="center"/>
    </xf>
    <xf numFmtId="0" fontId="7" fillId="9" borderId="95" xfId="0" applyFont="1" applyFill="1" applyBorder="1" applyAlignment="1">
      <alignment vertical="center"/>
    </xf>
    <xf numFmtId="0" fontId="53" fillId="12" borderId="19" xfId="0" applyFont="1" applyFill="1" applyBorder="1" applyAlignment="1">
      <alignment horizontal="left" vertical="center"/>
    </xf>
    <xf numFmtId="0" fontId="53" fillId="12" borderId="20" xfId="0" applyFont="1" applyFill="1" applyBorder="1" applyAlignment="1">
      <alignment horizontal="left" vertical="center"/>
    </xf>
    <xf numFmtId="0" fontId="53" fillId="12" borderId="22" xfId="0" applyFont="1" applyFill="1" applyBorder="1" applyAlignment="1">
      <alignment horizontal="left" vertical="center"/>
    </xf>
    <xf numFmtId="168" fontId="8" fillId="0" borderId="79" xfId="0" applyNumberFormat="1" applyFont="1" applyBorder="1" applyAlignment="1" applyProtection="1">
      <alignment horizontal="center" vertical="center"/>
      <protection locked="0"/>
    </xf>
    <xf numFmtId="168" fontId="8" fillId="0" borderId="89" xfId="0" applyNumberFormat="1" applyFont="1" applyBorder="1" applyAlignment="1" applyProtection="1">
      <alignment horizontal="center" vertical="center"/>
      <protection locked="0"/>
    </xf>
    <xf numFmtId="0" fontId="16" fillId="9" borderId="70" xfId="0" applyFont="1" applyFill="1" applyBorder="1" applyAlignment="1">
      <alignment horizontal="left" vertical="center"/>
    </xf>
    <xf numFmtId="0" fontId="16" fillId="9" borderId="75" xfId="0" applyFont="1" applyFill="1" applyBorder="1" applyAlignment="1">
      <alignment horizontal="left" vertical="center"/>
    </xf>
    <xf numFmtId="0" fontId="16" fillId="0" borderId="85" xfId="0" applyFont="1" applyBorder="1" applyAlignment="1">
      <alignment horizontal="left" vertical="center"/>
    </xf>
    <xf numFmtId="0" fontId="16" fillId="0" borderId="98" xfId="0" applyFont="1" applyBorder="1" applyAlignment="1">
      <alignment horizontal="left" vertical="center"/>
    </xf>
    <xf numFmtId="0" fontId="16" fillId="0" borderId="78" xfId="0" applyFont="1" applyBorder="1" applyAlignment="1">
      <alignment horizontal="left" vertical="center"/>
    </xf>
    <xf numFmtId="0" fontId="16" fillId="0" borderId="66" xfId="0" applyFont="1" applyBorder="1" applyAlignment="1">
      <alignment horizontal="left" vertical="center"/>
    </xf>
    <xf numFmtId="0" fontId="16" fillId="0" borderId="95" xfId="0" applyFont="1" applyBorder="1" applyAlignment="1">
      <alignment horizontal="left" vertical="center"/>
    </xf>
    <xf numFmtId="0" fontId="16" fillId="0" borderId="70" xfId="0" applyFont="1" applyBorder="1" applyAlignment="1">
      <alignment horizontal="left" vertical="center"/>
    </xf>
    <xf numFmtId="0" fontId="7" fillId="0" borderId="10" xfId="0" applyFont="1" applyBorder="1" applyAlignment="1">
      <alignment horizontal="left" vertical="center" wrapText="1"/>
    </xf>
    <xf numFmtId="0" fontId="7" fillId="0" borderId="85" xfId="0" applyFont="1" applyBorder="1" applyAlignment="1">
      <alignment horizontal="left" vertical="center" wrapText="1"/>
    </xf>
    <xf numFmtId="0" fontId="7" fillId="0" borderId="76" xfId="0" applyFont="1" applyBorder="1" applyAlignment="1">
      <alignment horizontal="left" vertical="center" wrapText="1"/>
    </xf>
    <xf numFmtId="0" fontId="7" fillId="0" borderId="26" xfId="0" applyFont="1" applyBorder="1" applyAlignment="1">
      <alignment horizontal="left" vertical="center" wrapText="1"/>
    </xf>
    <xf numFmtId="0" fontId="7" fillId="0" borderId="0" xfId="0" applyFont="1" applyAlignment="1">
      <alignment horizontal="left" vertical="center" wrapText="1"/>
    </xf>
    <xf numFmtId="0" fontId="7" fillId="0" borderId="28" xfId="0" applyFont="1" applyBorder="1" applyAlignment="1">
      <alignment horizontal="left" vertical="center" wrapText="1"/>
    </xf>
    <xf numFmtId="0" fontId="7" fillId="0" borderId="3" xfId="0" applyFont="1" applyBorder="1" applyAlignment="1">
      <alignment horizontal="left" vertical="center" wrapText="1"/>
    </xf>
    <xf numFmtId="0" fontId="16" fillId="0" borderId="157" xfId="0" applyFont="1" applyBorder="1" applyAlignment="1">
      <alignment horizontal="left" vertical="center"/>
    </xf>
    <xf numFmtId="0" fontId="16" fillId="0" borderId="3" xfId="0" applyFont="1" applyBorder="1" applyAlignment="1">
      <alignment horizontal="left" vertical="center"/>
    </xf>
    <xf numFmtId="0" fontId="16" fillId="0" borderId="29" xfId="0" applyFont="1" applyBorder="1" applyAlignment="1">
      <alignment horizontal="left" vertical="center"/>
    </xf>
    <xf numFmtId="0" fontId="16" fillId="0" borderId="81"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8" fillId="9" borderId="19" xfId="0" applyFont="1" applyFill="1" applyBorder="1" applyAlignment="1">
      <alignment horizontal="center" vertical="center"/>
    </xf>
    <xf numFmtId="0" fontId="8" fillId="9" borderId="20" xfId="0" applyFont="1" applyFill="1" applyBorder="1" applyAlignment="1">
      <alignment horizontal="center" vertical="center"/>
    </xf>
    <xf numFmtId="0" fontId="8" fillId="9" borderId="22" xfId="0" applyFont="1" applyFill="1" applyBorder="1" applyAlignment="1">
      <alignment horizontal="center" vertical="center"/>
    </xf>
    <xf numFmtId="0" fontId="8" fillId="0" borderId="82"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81" xfId="0" applyFont="1" applyBorder="1" applyAlignment="1">
      <alignment vertical="center" wrapText="1"/>
    </xf>
    <xf numFmtId="0" fontId="8" fillId="0" borderId="0" xfId="0" applyFont="1" applyAlignment="1">
      <alignment vertical="center" wrapText="1"/>
    </xf>
    <xf numFmtId="0" fontId="8" fillId="0" borderId="27" xfId="0" applyFont="1" applyBorder="1" applyAlignment="1">
      <alignment vertical="center" wrapText="1"/>
    </xf>
    <xf numFmtId="0" fontId="8" fillId="0" borderId="124" xfId="0" applyFont="1" applyBorder="1" applyAlignment="1">
      <alignment horizontal="left" vertical="center" wrapText="1"/>
    </xf>
    <xf numFmtId="0" fontId="8" fillId="0" borderId="143" xfId="0" applyFont="1" applyBorder="1" applyAlignment="1">
      <alignment horizontal="left" vertical="center" wrapText="1"/>
    </xf>
    <xf numFmtId="0" fontId="8" fillId="0" borderId="51" xfId="0" applyFont="1" applyBorder="1" applyAlignment="1">
      <alignment horizontal="left" vertical="center" wrapText="1"/>
    </xf>
    <xf numFmtId="168" fontId="5" fillId="0" borderId="79" xfId="5" applyNumberFormat="1" applyBorder="1" applyAlignment="1" applyProtection="1">
      <alignment horizontal="center" vertical="center" wrapText="1"/>
      <protection locked="0"/>
    </xf>
    <xf numFmtId="168" fontId="8" fillId="0" borderId="89" xfId="0" applyNumberFormat="1" applyFont="1" applyBorder="1" applyAlignment="1" applyProtection="1">
      <alignment horizontal="center" vertical="center" wrapText="1"/>
      <protection locked="0"/>
    </xf>
    <xf numFmtId="168" fontId="8" fillId="0" borderId="70" xfId="0" applyNumberFormat="1" applyFont="1" applyBorder="1" applyAlignment="1" applyProtection="1">
      <alignment horizontal="center" vertical="center"/>
      <protection locked="0"/>
    </xf>
    <xf numFmtId="168" fontId="8" fillId="0" borderId="66" xfId="0" applyNumberFormat="1" applyFont="1" applyBorder="1" applyAlignment="1" applyProtection="1">
      <alignment horizontal="center" vertical="center"/>
      <protection locked="0"/>
    </xf>
    <xf numFmtId="49" fontId="8" fillId="0" borderId="83" xfId="0" applyNumberFormat="1" applyFont="1" applyBorder="1" applyAlignment="1" applyProtection="1">
      <alignment vertical="center"/>
      <protection locked="0"/>
    </xf>
    <xf numFmtId="49" fontId="8" fillId="0" borderId="67" xfId="0" applyNumberFormat="1" applyFont="1" applyBorder="1" applyAlignment="1" applyProtection="1">
      <alignment vertical="center"/>
      <protection locked="0"/>
    </xf>
    <xf numFmtId="49" fontId="8" fillId="0" borderId="87" xfId="0" applyNumberFormat="1" applyFont="1" applyBorder="1" applyAlignment="1" applyProtection="1">
      <alignment vertical="center"/>
      <protection locked="0"/>
    </xf>
    <xf numFmtId="49" fontId="8" fillId="0" borderId="70" xfId="0" applyNumberFormat="1" applyFont="1" applyBorder="1" applyAlignment="1" applyProtection="1">
      <alignment vertical="center"/>
      <protection locked="0"/>
    </xf>
    <xf numFmtId="49" fontId="8" fillId="0" borderId="66" xfId="0" applyNumberFormat="1" applyFont="1" applyBorder="1" applyAlignment="1" applyProtection="1">
      <alignment vertical="center"/>
      <protection locked="0"/>
    </xf>
    <xf numFmtId="49" fontId="8" fillId="0" borderId="95" xfId="0" applyNumberFormat="1" applyFont="1" applyBorder="1" applyAlignment="1" applyProtection="1">
      <alignment vertical="center"/>
      <protection locked="0"/>
    </xf>
    <xf numFmtId="0" fontId="7" fillId="0" borderId="99" xfId="0" applyFont="1" applyBorder="1" applyAlignment="1">
      <alignment horizontal="left" vertical="center" wrapText="1"/>
    </xf>
    <xf numFmtId="0" fontId="7" fillId="0" borderId="66" xfId="0" applyFont="1" applyBorder="1" applyAlignment="1">
      <alignment horizontal="left" vertical="center" wrapText="1"/>
    </xf>
    <xf numFmtId="0" fontId="7" fillId="0" borderId="75" xfId="0" applyFont="1" applyBorder="1" applyAlignment="1">
      <alignment horizontal="left" vertical="center" wrapText="1"/>
    </xf>
    <xf numFmtId="0" fontId="7" fillId="0" borderId="30" xfId="0" applyFont="1" applyBorder="1" applyAlignment="1">
      <alignment vertical="center"/>
    </xf>
    <xf numFmtId="0" fontId="7" fillId="0" borderId="67" xfId="0" applyFont="1" applyBorder="1" applyAlignment="1">
      <alignment vertical="center"/>
    </xf>
    <xf numFmtId="0" fontId="7" fillId="0" borderId="74" xfId="0" applyFont="1" applyBorder="1" applyAlignment="1">
      <alignment vertical="center"/>
    </xf>
    <xf numFmtId="0" fontId="16" fillId="9" borderId="158" xfId="0" applyFont="1" applyFill="1" applyBorder="1" applyAlignment="1">
      <alignment horizontal="left" vertical="center"/>
    </xf>
    <xf numFmtId="0" fontId="7" fillId="0" borderId="104" xfId="0" applyFont="1" applyBorder="1" applyAlignment="1">
      <alignment horizontal="center" vertical="center"/>
    </xf>
    <xf numFmtId="0" fontId="7" fillId="0" borderId="93" xfId="0" applyFont="1" applyBorder="1" applyAlignment="1">
      <alignment horizontal="center" vertical="center"/>
    </xf>
    <xf numFmtId="0" fontId="7" fillId="9" borderId="158" xfId="0" applyFont="1" applyFill="1" applyBorder="1" applyAlignment="1">
      <alignment vertical="center"/>
    </xf>
    <xf numFmtId="0" fontId="7" fillId="9" borderId="159" xfId="0" applyFont="1" applyFill="1" applyBorder="1" applyAlignment="1">
      <alignment vertical="center"/>
    </xf>
    <xf numFmtId="0" fontId="7" fillId="9" borderId="162" xfId="0" applyFont="1" applyFill="1" applyBorder="1" applyAlignment="1">
      <alignment vertical="center"/>
    </xf>
    <xf numFmtId="0" fontId="7" fillId="9" borderId="163" xfId="0" applyFont="1" applyFill="1" applyBorder="1" applyAlignment="1">
      <alignment vertical="center"/>
    </xf>
    <xf numFmtId="0" fontId="7" fillId="9" borderId="91" xfId="0" applyFont="1" applyFill="1" applyBorder="1" applyAlignment="1">
      <alignment vertical="center" wrapText="1"/>
    </xf>
    <xf numFmtId="0" fontId="7" fillId="9" borderId="88" xfId="0" applyFont="1" applyFill="1" applyBorder="1" applyAlignment="1">
      <alignment vertical="center" wrapText="1"/>
    </xf>
    <xf numFmtId="49" fontId="8" fillId="0" borderId="71" xfId="0" applyNumberFormat="1" applyFont="1" applyBorder="1" applyAlignment="1" applyProtection="1">
      <alignment horizontal="left" vertical="center"/>
      <protection locked="0"/>
    </xf>
    <xf numFmtId="49" fontId="8" fillId="0" borderId="89" xfId="0" applyNumberFormat="1" applyFont="1" applyBorder="1" applyAlignment="1" applyProtection="1">
      <alignment horizontal="left" vertical="center"/>
      <protection locked="0"/>
    </xf>
    <xf numFmtId="0" fontId="7" fillId="0" borderId="158" xfId="0" applyFont="1" applyBorder="1" applyAlignment="1">
      <alignment horizontal="left" vertical="center" wrapText="1"/>
    </xf>
    <xf numFmtId="0" fontId="7" fillId="0" borderId="162" xfId="0" applyFont="1" applyBorder="1" applyAlignment="1">
      <alignment horizontal="left" vertical="center" wrapText="1"/>
    </xf>
    <xf numFmtId="0" fontId="8" fillId="9" borderId="0" xfId="0" applyFont="1" applyFill="1" applyAlignment="1">
      <alignment horizontal="left" vertical="top" wrapText="1"/>
    </xf>
    <xf numFmtId="0" fontId="8" fillId="9" borderId="27" xfId="0" applyFont="1" applyFill="1" applyBorder="1" applyAlignment="1">
      <alignment horizontal="left" vertical="top" wrapText="1"/>
    </xf>
    <xf numFmtId="0" fontId="8" fillId="9" borderId="26" xfId="0" applyFont="1" applyFill="1" applyBorder="1" applyAlignment="1">
      <alignment horizontal="left" vertical="top" wrapText="1"/>
    </xf>
    <xf numFmtId="0" fontId="19" fillId="0" borderId="0" xfId="0" applyFont="1" applyAlignment="1">
      <alignment horizontal="center" vertical="center"/>
    </xf>
    <xf numFmtId="49" fontId="8" fillId="0" borderId="67" xfId="0" applyNumberFormat="1" applyFont="1" applyBorder="1" applyAlignment="1" applyProtection="1">
      <alignment horizontal="left" vertical="center"/>
      <protection locked="0"/>
    </xf>
    <xf numFmtId="49" fontId="8" fillId="0" borderId="87" xfId="0" applyNumberFormat="1" applyFont="1" applyBorder="1" applyAlignment="1" applyProtection="1">
      <alignment horizontal="left" vertical="center"/>
      <protection locked="0"/>
    </xf>
    <xf numFmtId="0" fontId="8" fillId="0" borderId="180" xfId="0" applyFont="1" applyBorder="1" applyAlignment="1">
      <alignment horizontal="left" vertical="center" wrapText="1"/>
    </xf>
    <xf numFmtId="0" fontId="8" fillId="0" borderId="113" xfId="0" applyFont="1" applyBorder="1" applyAlignment="1">
      <alignment horizontal="left" vertical="center" wrapText="1"/>
    </xf>
    <xf numFmtId="0" fontId="8" fillId="0" borderId="114" xfId="0" applyFont="1" applyBorder="1" applyAlignment="1">
      <alignment horizontal="left" vertical="center" wrapText="1"/>
    </xf>
    <xf numFmtId="0" fontId="8" fillId="0" borderId="179" xfId="0" applyFont="1" applyBorder="1" applyAlignment="1">
      <alignment horizontal="left" vertical="center" wrapText="1"/>
    </xf>
    <xf numFmtId="0" fontId="8" fillId="0" borderId="69" xfId="0" applyFont="1" applyBorder="1" applyAlignment="1">
      <alignment horizontal="left" vertical="center" wrapText="1"/>
    </xf>
    <xf numFmtId="0" fontId="8" fillId="0" borderId="92" xfId="0" applyFont="1" applyBorder="1" applyAlignment="1">
      <alignment horizontal="left" vertical="center" wrapText="1"/>
    </xf>
    <xf numFmtId="0" fontId="7" fillId="0" borderId="91" xfId="0" applyFont="1" applyBorder="1" applyAlignment="1">
      <alignment horizontal="left" vertical="center"/>
    </xf>
    <xf numFmtId="0" fontId="7" fillId="0" borderId="93" xfId="0" applyFont="1" applyBorder="1" applyAlignment="1">
      <alignment horizontal="left" vertical="center"/>
    </xf>
    <xf numFmtId="0" fontId="7" fillId="0" borderId="88" xfId="0" applyFont="1" applyBorder="1" applyAlignment="1">
      <alignment horizontal="left" vertical="center"/>
    </xf>
    <xf numFmtId="169" fontId="8" fillId="0" borderId="71" xfId="0" applyNumberFormat="1" applyFont="1" applyBorder="1" applyAlignment="1" applyProtection="1">
      <alignment horizontal="left" vertical="center"/>
      <protection locked="0"/>
    </xf>
    <xf numFmtId="169" fontId="8" fillId="0" borderId="89" xfId="0" applyNumberFormat="1" applyFont="1" applyBorder="1" applyAlignment="1" applyProtection="1">
      <alignment horizontal="left" vertical="center"/>
      <protection locked="0"/>
    </xf>
    <xf numFmtId="0" fontId="7" fillId="0" borderId="0" xfId="0" applyFont="1" applyAlignment="1">
      <alignment vertical="center"/>
    </xf>
    <xf numFmtId="0" fontId="29" fillId="0" borderId="3" xfId="0" applyFont="1" applyBorder="1" applyAlignment="1">
      <alignment vertical="center"/>
    </xf>
    <xf numFmtId="0" fontId="16" fillId="9" borderId="0" xfId="0" applyFont="1" applyFill="1" applyAlignment="1">
      <alignment vertical="center"/>
    </xf>
    <xf numFmtId="49" fontId="8" fillId="0" borderId="158" xfId="0" applyNumberFormat="1" applyFont="1" applyBorder="1" applyAlignment="1" applyProtection="1">
      <alignment horizontal="left" vertical="center"/>
      <protection locked="0"/>
    </xf>
    <xf numFmtId="49" fontId="8" fillId="0" borderId="159" xfId="0" applyNumberFormat="1" applyFont="1" applyBorder="1" applyAlignment="1" applyProtection="1">
      <alignment horizontal="left" vertical="center"/>
      <protection locked="0"/>
    </xf>
    <xf numFmtId="49" fontId="8" fillId="0" borderId="165" xfId="0" applyNumberFormat="1" applyFont="1" applyBorder="1" applyAlignment="1" applyProtection="1">
      <alignment horizontal="left" vertical="center"/>
      <protection locked="0"/>
    </xf>
    <xf numFmtId="49" fontId="8" fillId="0" borderId="166" xfId="0" applyNumberFormat="1" applyFont="1" applyBorder="1" applyAlignment="1" applyProtection="1">
      <alignment horizontal="left" vertical="center"/>
      <protection locked="0"/>
    </xf>
    <xf numFmtId="0" fontId="7" fillId="0" borderId="158" xfId="0" applyFont="1" applyBorder="1" applyAlignment="1">
      <alignment vertical="center" wrapText="1"/>
    </xf>
    <xf numFmtId="0" fontId="7" fillId="0" borderId="165" xfId="0" applyFont="1" applyBorder="1" applyAlignment="1">
      <alignment vertical="center" wrapText="1"/>
    </xf>
    <xf numFmtId="0" fontId="7" fillId="0" borderId="164" xfId="0" applyFont="1" applyBorder="1" applyAlignment="1">
      <alignment vertical="center" wrapText="1"/>
    </xf>
    <xf numFmtId="0" fontId="27" fillId="9" borderId="19" xfId="5" applyFont="1" applyFill="1" applyBorder="1" applyAlignment="1" applyProtection="1">
      <alignment horizontal="center" vertical="center"/>
    </xf>
    <xf numFmtId="0" fontId="7" fillId="9" borderId="20" xfId="0" applyFont="1" applyFill="1" applyBorder="1" applyAlignment="1">
      <alignment horizontal="center" vertical="center"/>
    </xf>
    <xf numFmtId="0" fontId="7" fillId="9" borderId="22" xfId="0" applyFont="1" applyFill="1" applyBorder="1" applyAlignment="1">
      <alignment horizontal="center" vertical="center"/>
    </xf>
    <xf numFmtId="0" fontId="28" fillId="11" borderId="72" xfId="0" applyFont="1" applyFill="1" applyBorder="1" applyAlignment="1">
      <alignment horizontal="center" vertical="center" textRotation="180"/>
    </xf>
    <xf numFmtId="0" fontId="7" fillId="11" borderId="26" xfId="0" applyFont="1" applyFill="1" applyBorder="1" applyAlignment="1">
      <alignment vertical="center"/>
    </xf>
    <xf numFmtId="0" fontId="7" fillId="11" borderId="0" xfId="0" applyFont="1" applyFill="1" applyAlignment="1">
      <alignment vertical="center"/>
    </xf>
    <xf numFmtId="0" fontId="7" fillId="11" borderId="26"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1" borderId="26" xfId="0" applyFont="1" applyFill="1" applyBorder="1" applyAlignment="1">
      <alignment horizontal="left" vertical="center" wrapText="1"/>
    </xf>
    <xf numFmtId="0" fontId="7" fillId="11" borderId="0" xfId="0" applyFont="1" applyFill="1" applyAlignment="1">
      <alignment horizontal="left" vertical="center" wrapText="1"/>
    </xf>
    <xf numFmtId="0" fontId="8" fillId="3" borderId="23" xfId="0" applyFont="1" applyFill="1" applyBorder="1" applyAlignment="1">
      <alignment horizontal="left" vertical="center" wrapText="1"/>
    </xf>
    <xf numFmtId="0" fontId="8" fillId="3" borderId="24" xfId="0" applyFont="1" applyFill="1" applyBorder="1" applyAlignment="1">
      <alignment horizontal="left" vertical="center" wrapText="1"/>
    </xf>
    <xf numFmtId="0" fontId="8" fillId="3" borderId="25"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27" xfId="0" applyFont="1" applyFill="1" applyBorder="1" applyAlignment="1">
      <alignment horizontal="left" vertical="center" wrapText="1"/>
    </xf>
    <xf numFmtId="0" fontId="8" fillId="3" borderId="28" xfId="0" applyFont="1" applyFill="1" applyBorder="1" applyAlignment="1">
      <alignment horizontal="left" vertical="center" wrapText="1"/>
    </xf>
    <xf numFmtId="0" fontId="8" fillId="3" borderId="3" xfId="0" applyFont="1" applyFill="1" applyBorder="1" applyAlignment="1">
      <alignment horizontal="left" vertical="center" wrapText="1"/>
    </xf>
    <xf numFmtId="0" fontId="8" fillId="3" borderId="29" xfId="0" applyFont="1" applyFill="1" applyBorder="1" applyAlignment="1">
      <alignment horizontal="left" vertical="center" wrapText="1"/>
    </xf>
    <xf numFmtId="0" fontId="28" fillId="11" borderId="27" xfId="0" applyFont="1" applyFill="1" applyBorder="1" applyAlignment="1">
      <alignment horizontal="center" vertical="center" textRotation="180"/>
    </xf>
    <xf numFmtId="0" fontId="62" fillId="9" borderId="23" xfId="0" applyFont="1" applyFill="1" applyBorder="1" applyAlignment="1">
      <alignment vertical="top" wrapText="1"/>
    </xf>
    <xf numFmtId="0" fontId="62" fillId="9" borderId="24" xfId="0" applyFont="1" applyFill="1" applyBorder="1" applyAlignment="1">
      <alignment vertical="top" wrapText="1"/>
    </xf>
    <xf numFmtId="0" fontId="62" fillId="9" borderId="25" xfId="0" applyFont="1" applyFill="1" applyBorder="1" applyAlignment="1">
      <alignment vertical="top" wrapText="1"/>
    </xf>
    <xf numFmtId="0" fontId="62" fillId="9" borderId="26" xfId="0" applyFont="1" applyFill="1" applyBorder="1" applyAlignment="1">
      <alignment vertical="top" wrapText="1"/>
    </xf>
    <xf numFmtId="0" fontId="62" fillId="9" borderId="0" xfId="0" applyFont="1" applyFill="1" applyAlignment="1">
      <alignment vertical="top" wrapText="1"/>
    </xf>
    <xf numFmtId="0" fontId="62" fillId="9" borderId="27" xfId="0" applyFont="1" applyFill="1" applyBorder="1" applyAlignment="1">
      <alignment vertical="top" wrapText="1"/>
    </xf>
    <xf numFmtId="0" fontId="62" fillId="9" borderId="28" xfId="0" applyFont="1" applyFill="1" applyBorder="1" applyAlignment="1">
      <alignment vertical="top" wrapText="1"/>
    </xf>
    <xf numFmtId="0" fontId="62" fillId="9" borderId="3" xfId="0" applyFont="1" applyFill="1" applyBorder="1" applyAlignment="1">
      <alignment vertical="top" wrapText="1"/>
    </xf>
    <xf numFmtId="0" fontId="62" fillId="9" borderId="29" xfId="0" applyFont="1" applyFill="1" applyBorder="1" applyAlignment="1">
      <alignment vertical="top" wrapText="1"/>
    </xf>
    <xf numFmtId="0" fontId="8" fillId="9" borderId="23"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26"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27" xfId="0" applyFont="1" applyFill="1" applyBorder="1" applyAlignment="1">
      <alignment horizontal="center" vertical="center" wrapText="1"/>
    </xf>
    <xf numFmtId="0" fontId="8" fillId="9" borderId="28" xfId="0" applyFont="1" applyFill="1" applyBorder="1" applyAlignment="1">
      <alignment horizontal="center" vertical="center" wrapText="1"/>
    </xf>
    <xf numFmtId="0" fontId="8" fillId="9" borderId="3" xfId="0" applyFont="1" applyFill="1" applyBorder="1" applyAlignment="1">
      <alignment horizontal="center" vertical="center" wrapText="1"/>
    </xf>
    <xf numFmtId="0" fontId="8" fillId="9" borderId="29" xfId="0" applyFont="1" applyFill="1" applyBorder="1" applyAlignment="1">
      <alignment horizontal="center" vertical="center" wrapText="1"/>
    </xf>
    <xf numFmtId="0" fontId="8" fillId="11" borderId="130" xfId="0" applyFont="1" applyFill="1" applyBorder="1" applyAlignment="1">
      <alignment vertical="center"/>
    </xf>
    <xf numFmtId="0" fontId="8" fillId="11" borderId="71" xfId="0" applyFont="1" applyFill="1" applyBorder="1" applyAlignment="1">
      <alignment vertical="center"/>
    </xf>
    <xf numFmtId="0" fontId="8" fillId="11" borderId="4" xfId="0" applyFont="1" applyFill="1" applyBorder="1" applyAlignment="1">
      <alignment vertical="center"/>
    </xf>
    <xf numFmtId="0" fontId="28" fillId="11" borderId="26" xfId="0" applyFont="1" applyFill="1" applyBorder="1" applyAlignment="1">
      <alignment horizontal="center" vertical="center" textRotation="180"/>
    </xf>
    <xf numFmtId="0" fontId="7" fillId="9" borderId="23"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7" fillId="9" borderId="25" xfId="0" applyFont="1" applyFill="1" applyBorder="1" applyAlignment="1">
      <alignment horizontal="center" vertical="center" wrapText="1"/>
    </xf>
    <xf numFmtId="0" fontId="7" fillId="9" borderId="26" xfId="0" applyFont="1" applyFill="1" applyBorder="1" applyAlignment="1">
      <alignment horizontal="center" vertical="center" wrapText="1"/>
    </xf>
    <xf numFmtId="0" fontId="7" fillId="9" borderId="0" xfId="0" applyFont="1" applyFill="1" applyAlignment="1">
      <alignment horizontal="center" vertical="center" wrapText="1"/>
    </xf>
    <xf numFmtId="0" fontId="7" fillId="9" borderId="27" xfId="0" applyFont="1" applyFill="1" applyBorder="1" applyAlignment="1">
      <alignment horizontal="center" vertical="center" wrapText="1"/>
    </xf>
    <xf numFmtId="0" fontId="7" fillId="9" borderId="28"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29" xfId="0" applyFont="1" applyFill="1" applyBorder="1" applyAlignment="1">
      <alignment horizontal="center" vertical="center" wrapText="1"/>
    </xf>
    <xf numFmtId="0" fontId="8" fillId="0" borderId="158" xfId="0" applyFont="1" applyBorder="1" applyAlignment="1">
      <alignment horizontal="left" vertical="center" wrapText="1"/>
    </xf>
    <xf numFmtId="0" fontId="8" fillId="0" borderId="159" xfId="0" applyFont="1" applyBorder="1" applyAlignment="1">
      <alignment horizontal="left" vertical="center" wrapText="1"/>
    </xf>
    <xf numFmtId="0" fontId="8" fillId="0" borderId="160" xfId="0" applyFont="1" applyBorder="1" applyAlignment="1">
      <alignment horizontal="left" vertical="center" wrapText="1"/>
    </xf>
    <xf numFmtId="0" fontId="8" fillId="0" borderId="161" xfId="0" applyFont="1" applyBorder="1" applyAlignment="1">
      <alignment horizontal="left" vertical="center" wrapText="1"/>
    </xf>
    <xf numFmtId="0" fontId="8" fillId="0" borderId="162" xfId="0" applyFont="1" applyBorder="1" applyAlignment="1">
      <alignment horizontal="left" vertical="center" wrapText="1"/>
    </xf>
    <xf numFmtId="0" fontId="8" fillId="0" borderId="163" xfId="0" applyFont="1" applyBorder="1" applyAlignment="1">
      <alignment horizontal="left" vertical="center" wrapText="1"/>
    </xf>
    <xf numFmtId="168" fontId="5" fillId="0" borderId="66" xfId="5" applyNumberFormat="1" applyBorder="1" applyAlignment="1" applyProtection="1">
      <alignment horizontal="center" vertical="center"/>
      <protection locked="0"/>
    </xf>
    <xf numFmtId="168" fontId="8" fillId="0" borderId="95" xfId="0" applyNumberFormat="1" applyFont="1" applyBorder="1" applyAlignment="1" applyProtection="1">
      <alignment horizontal="center" vertical="center"/>
      <protection locked="0"/>
    </xf>
    <xf numFmtId="49" fontId="8" fillId="0" borderId="66" xfId="0" applyNumberFormat="1" applyFont="1" applyBorder="1" applyAlignment="1" applyProtection="1">
      <alignment horizontal="left" vertical="center"/>
      <protection locked="0"/>
    </xf>
    <xf numFmtId="49" fontId="8" fillId="0" borderId="95" xfId="0" applyNumberFormat="1" applyFont="1" applyBorder="1" applyAlignment="1" applyProtection="1">
      <alignment horizontal="left" vertical="center"/>
      <protection locked="0"/>
    </xf>
    <xf numFmtId="0" fontId="8" fillId="0" borderId="79" xfId="0" applyFont="1" applyBorder="1" applyAlignment="1" applyProtection="1">
      <alignment horizontal="left" vertical="center"/>
      <protection locked="0"/>
    </xf>
    <xf numFmtId="0" fontId="8" fillId="0" borderId="71" xfId="0" applyFont="1" applyBorder="1" applyAlignment="1" applyProtection="1">
      <alignment horizontal="left" vertical="center"/>
      <protection locked="0"/>
    </xf>
    <xf numFmtId="0" fontId="8" fillId="0" borderId="89" xfId="0" applyFont="1" applyBorder="1" applyAlignment="1" applyProtection="1">
      <alignment horizontal="left" vertical="center"/>
      <protection locked="0"/>
    </xf>
    <xf numFmtId="0" fontId="8" fillId="0" borderId="70" xfId="0" applyFont="1" applyBorder="1" applyAlignment="1" applyProtection="1">
      <alignment horizontal="left" vertical="center"/>
      <protection locked="0"/>
    </xf>
    <xf numFmtId="0" fontId="8" fillId="0" borderId="66" xfId="0" applyFont="1" applyBorder="1" applyAlignment="1" applyProtection="1">
      <alignment horizontal="left" vertical="center"/>
      <protection locked="0"/>
    </xf>
    <xf numFmtId="0" fontId="8" fillId="0" borderId="95" xfId="0" applyFont="1" applyBorder="1" applyAlignment="1" applyProtection="1">
      <alignment horizontal="left" vertical="center"/>
      <protection locked="0"/>
    </xf>
    <xf numFmtId="0" fontId="8" fillId="0" borderId="70" xfId="0" applyFont="1" applyBorder="1" applyAlignment="1">
      <alignment horizontal="left" vertical="center"/>
    </xf>
    <xf numFmtId="0" fontId="8" fillId="0" borderId="66" xfId="0" applyFont="1" applyBorder="1" applyAlignment="1">
      <alignment horizontal="left" vertical="center"/>
    </xf>
    <xf numFmtId="0" fontId="8" fillId="0" borderId="95" xfId="0" applyFont="1" applyBorder="1" applyAlignment="1">
      <alignment horizontal="left" vertical="center"/>
    </xf>
    <xf numFmtId="0" fontId="8" fillId="0" borderId="70" xfId="0" applyFont="1" applyBorder="1" applyAlignment="1">
      <alignment vertical="center" wrapText="1"/>
    </xf>
    <xf numFmtId="0" fontId="8" fillId="0" borderId="66" xfId="0" applyFont="1" applyBorder="1" applyAlignment="1">
      <alignment vertical="center" wrapText="1"/>
    </xf>
    <xf numFmtId="0" fontId="8" fillId="0" borderId="95" xfId="0" applyFont="1" applyBorder="1" applyAlignment="1">
      <alignment vertical="center" wrapText="1"/>
    </xf>
    <xf numFmtId="0" fontId="8" fillId="0" borderId="78" xfId="0" applyFont="1" applyBorder="1" applyAlignment="1">
      <alignment horizontal="left" vertical="center" wrapText="1"/>
    </xf>
    <xf numFmtId="0" fontId="8" fillId="0" borderId="85" xfId="0" applyFont="1" applyBorder="1" applyAlignment="1">
      <alignment horizontal="left" vertical="center" wrapText="1"/>
    </xf>
    <xf numFmtId="0" fontId="8" fillId="0" borderId="98" xfId="0" applyFont="1" applyBorder="1" applyAlignment="1">
      <alignment horizontal="left" vertical="center" wrapText="1"/>
    </xf>
    <xf numFmtId="0" fontId="8" fillId="0" borderId="81" xfId="0" applyFont="1" applyBorder="1" applyAlignment="1">
      <alignment horizontal="left" vertical="center" wrapText="1"/>
    </xf>
    <xf numFmtId="0" fontId="8" fillId="0" borderId="0" xfId="0" applyFont="1" applyAlignment="1">
      <alignment horizontal="left" vertical="center" wrapText="1"/>
    </xf>
    <xf numFmtId="0" fontId="8" fillId="0" borderId="27" xfId="0" applyFont="1" applyBorder="1" applyAlignment="1">
      <alignment horizontal="left" vertical="center" wrapText="1"/>
    </xf>
    <xf numFmtId="0" fontId="8" fillId="0" borderId="70" xfId="0" applyFont="1" applyBorder="1" applyAlignment="1">
      <alignment horizontal="left" vertical="center" wrapText="1"/>
    </xf>
    <xf numFmtId="0" fontId="8" fillId="0" borderId="66" xfId="0" applyFont="1" applyBorder="1" applyAlignment="1">
      <alignment horizontal="left" vertical="center" wrapText="1"/>
    </xf>
    <xf numFmtId="0" fontId="8" fillId="0" borderId="95" xfId="0" applyFont="1" applyBorder="1" applyAlignment="1">
      <alignment horizontal="left" vertical="center" wrapText="1"/>
    </xf>
    <xf numFmtId="0" fontId="7" fillId="0" borderId="9" xfId="0" applyFont="1" applyBorder="1" applyAlignment="1">
      <alignment horizontal="left" vertical="center" wrapText="1"/>
    </xf>
    <xf numFmtId="0" fontId="7" fillId="0" borderId="71" xfId="0" applyFont="1" applyBorder="1" applyAlignment="1">
      <alignment horizontal="left" vertical="center" wrapText="1"/>
    </xf>
    <xf numFmtId="0" fontId="7" fillId="0" borderId="107" xfId="0" applyFont="1" applyBorder="1" applyAlignment="1">
      <alignment horizontal="left" vertical="center" wrapText="1"/>
    </xf>
    <xf numFmtId="14" fontId="8" fillId="0" borderId="79" xfId="0" applyNumberFormat="1" applyFont="1" applyBorder="1" applyAlignment="1" applyProtection="1">
      <alignment horizontal="center" vertical="center"/>
      <protection locked="0"/>
    </xf>
    <xf numFmtId="14" fontId="8" fillId="0" borderId="89" xfId="0" applyNumberFormat="1" applyFont="1" applyBorder="1" applyAlignment="1" applyProtection="1">
      <alignment horizontal="center" vertical="center"/>
      <protection locked="0"/>
    </xf>
    <xf numFmtId="170" fontId="8" fillId="0" borderId="80" xfId="0" applyNumberFormat="1" applyFont="1" applyBorder="1" applyAlignment="1" applyProtection="1">
      <alignment horizontal="center" vertical="center"/>
      <protection locked="0"/>
    </xf>
    <xf numFmtId="170" fontId="8" fillId="0" borderId="77" xfId="0" applyNumberFormat="1" applyFont="1" applyBorder="1" applyAlignment="1" applyProtection="1">
      <alignment horizontal="center" vertical="center"/>
      <protection locked="0"/>
    </xf>
    <xf numFmtId="170" fontId="8" fillId="0" borderId="182" xfId="0" applyNumberFormat="1" applyFont="1" applyBorder="1" applyAlignment="1" applyProtection="1">
      <alignment horizontal="center" vertical="center"/>
      <protection locked="0"/>
    </xf>
    <xf numFmtId="0" fontId="7" fillId="9" borderId="158"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62" xfId="0" applyFont="1" applyFill="1" applyBorder="1" applyAlignment="1">
      <alignment horizontal="left" vertical="center" wrapText="1"/>
    </xf>
    <xf numFmtId="0" fontId="7" fillId="9" borderId="163" xfId="0" applyFont="1" applyFill="1" applyBorder="1" applyAlignment="1">
      <alignment horizontal="left" vertical="center" wrapText="1"/>
    </xf>
    <xf numFmtId="0" fontId="8" fillId="0" borderId="0" xfId="0" applyFont="1" applyAlignment="1">
      <alignment vertical="center"/>
    </xf>
    <xf numFmtId="0" fontId="8" fillId="0" borderId="110" xfId="0" applyFont="1" applyBorder="1" applyAlignment="1">
      <alignment vertical="center" wrapText="1"/>
    </xf>
    <xf numFmtId="0" fontId="8" fillId="0" borderId="111" xfId="0" applyFont="1" applyBorder="1" applyAlignment="1">
      <alignment vertical="center" wrapText="1"/>
    </xf>
    <xf numFmtId="0" fontId="8" fillId="0" borderId="50" xfId="0" applyFont="1" applyBorder="1" applyAlignment="1">
      <alignment vertical="center" wrapText="1"/>
    </xf>
    <xf numFmtId="0" fontId="7" fillId="0" borderId="102" xfId="0" applyFont="1" applyBorder="1" applyAlignment="1">
      <alignment horizontal="right" vertical="center"/>
    </xf>
    <xf numFmtId="0" fontId="16" fillId="0" borderId="123" xfId="0" applyFont="1" applyBorder="1" applyAlignment="1" applyProtection="1">
      <alignment horizontal="center" vertical="center"/>
      <protection locked="0"/>
    </xf>
    <xf numFmtId="0" fontId="16" fillId="0" borderId="52" xfId="0" applyFont="1" applyBorder="1" applyAlignment="1" applyProtection="1">
      <alignment horizontal="center" vertical="center"/>
      <protection locked="0"/>
    </xf>
    <xf numFmtId="0" fontId="16" fillId="0" borderId="108" xfId="0" applyFont="1" applyBorder="1" applyAlignment="1" applyProtection="1">
      <alignment horizontal="left" vertical="top"/>
      <protection locked="0"/>
    </xf>
    <xf numFmtId="0" fontId="16" fillId="0" borderId="109" xfId="0" applyFont="1" applyBorder="1" applyAlignment="1" applyProtection="1">
      <alignment horizontal="left" vertical="top"/>
      <protection locked="0"/>
    </xf>
    <xf numFmtId="0" fontId="7" fillId="0" borderId="100" xfId="0" applyFont="1" applyBorder="1" applyAlignment="1">
      <alignment horizontal="right" vertical="center"/>
    </xf>
    <xf numFmtId="0" fontId="16" fillId="0" borderId="100" xfId="0" applyFont="1" applyBorder="1" applyAlignment="1" applyProtection="1">
      <alignment horizontal="center" vertical="center"/>
      <protection locked="0"/>
    </xf>
    <xf numFmtId="0" fontId="16" fillId="0" borderId="101" xfId="0" applyFont="1" applyBorder="1" applyAlignment="1" applyProtection="1">
      <alignment horizontal="center" vertical="center"/>
      <protection locked="0"/>
    </xf>
    <xf numFmtId="0" fontId="7" fillId="0" borderId="105" xfId="0" applyFont="1" applyBorder="1" applyAlignment="1">
      <alignment horizontal="right" vertical="center"/>
    </xf>
    <xf numFmtId="0" fontId="16" fillId="0" borderId="105" xfId="0" applyFont="1" applyBorder="1" applyAlignment="1" applyProtection="1">
      <alignment horizontal="center" vertical="center"/>
      <protection locked="0"/>
    </xf>
    <xf numFmtId="0" fontId="16" fillId="0" borderId="106" xfId="0" applyFont="1" applyBorder="1" applyAlignment="1" applyProtection="1">
      <alignment horizontal="center" vertical="center"/>
      <protection locked="0"/>
    </xf>
    <xf numFmtId="0" fontId="7" fillId="0" borderId="83" xfId="0" applyFont="1" applyBorder="1" applyAlignment="1">
      <alignment horizontal="left" vertical="center" wrapText="1"/>
    </xf>
    <xf numFmtId="0" fontId="7" fillId="0" borderId="67" xfId="0" applyFont="1" applyBorder="1" applyAlignment="1">
      <alignment horizontal="left" vertical="center" wrapText="1"/>
    </xf>
    <xf numFmtId="0" fontId="7" fillId="0" borderId="87" xfId="0" applyFont="1" applyBorder="1" applyAlignment="1">
      <alignment horizontal="left" vertical="center" wrapText="1"/>
    </xf>
    <xf numFmtId="49" fontId="16" fillId="0" borderId="102" xfId="0" applyNumberFormat="1" applyFont="1" applyBorder="1" applyAlignment="1" applyProtection="1">
      <alignment horizontal="center" vertical="center"/>
      <protection locked="0"/>
    </xf>
    <xf numFmtId="49" fontId="16" fillId="0" borderId="103" xfId="0" applyNumberFormat="1" applyFont="1" applyBorder="1" applyAlignment="1" applyProtection="1">
      <alignment horizontal="center" vertical="center"/>
      <protection locked="0"/>
    </xf>
    <xf numFmtId="49" fontId="16" fillId="0" borderId="124" xfId="0" applyNumberFormat="1" applyFont="1" applyBorder="1" applyAlignment="1" applyProtection="1">
      <alignment horizontal="center" vertical="center"/>
      <protection locked="0"/>
    </xf>
    <xf numFmtId="49" fontId="16" fillId="0" borderId="51" xfId="0" applyNumberFormat="1" applyFont="1" applyBorder="1" applyAlignment="1" applyProtection="1">
      <alignment horizontal="center" vertical="center"/>
      <protection locked="0"/>
    </xf>
    <xf numFmtId="49" fontId="16" fillId="0" borderId="100" xfId="0" applyNumberFormat="1" applyFont="1" applyBorder="1" applyAlignment="1" applyProtection="1">
      <alignment horizontal="center" vertical="center"/>
      <protection locked="0"/>
    </xf>
    <xf numFmtId="49" fontId="16" fillId="0" borderId="101" xfId="0" applyNumberFormat="1" applyFont="1" applyBorder="1" applyAlignment="1" applyProtection="1">
      <alignment horizontal="center" vertical="center"/>
      <protection locked="0"/>
    </xf>
    <xf numFmtId="0" fontId="16" fillId="0" borderId="142" xfId="0" applyFont="1" applyBorder="1" applyAlignment="1">
      <alignment vertical="center"/>
    </xf>
    <xf numFmtId="0" fontId="16" fillId="0" borderId="143" xfId="0" applyFont="1" applyBorder="1" applyAlignment="1">
      <alignment vertical="center"/>
    </xf>
    <xf numFmtId="0" fontId="16" fillId="0" borderId="51" xfId="0" applyFont="1" applyBorder="1" applyAlignment="1">
      <alignment vertical="center"/>
    </xf>
    <xf numFmtId="0" fontId="0" fillId="0" borderId="124" xfId="0" applyBorder="1" applyAlignment="1" applyProtection="1">
      <alignment horizontal="left" vertical="center"/>
      <protection locked="0"/>
    </xf>
    <xf numFmtId="0" fontId="0" fillId="0" borderId="143" xfId="0" applyBorder="1" applyAlignment="1" applyProtection="1">
      <alignment horizontal="left" vertical="center"/>
      <protection locked="0"/>
    </xf>
    <xf numFmtId="0" fontId="0" fillId="0" borderId="51" xfId="0" applyBorder="1" applyAlignment="1" applyProtection="1">
      <alignment horizontal="left" vertical="center"/>
      <protection locked="0"/>
    </xf>
    <xf numFmtId="0" fontId="0" fillId="0" borderId="123" xfId="0" applyBorder="1" applyAlignment="1" applyProtection="1">
      <alignment horizontal="left" vertical="center"/>
      <protection locked="0"/>
    </xf>
    <xf numFmtId="0" fontId="0" fillId="0" borderId="116" xfId="0" applyBorder="1" applyAlignment="1" applyProtection="1">
      <alignment horizontal="left" vertical="center"/>
      <protection locked="0"/>
    </xf>
    <xf numFmtId="0" fontId="0" fillId="0" borderId="52" xfId="0" applyBorder="1" applyAlignment="1" applyProtection="1">
      <alignment horizontal="left" vertical="center"/>
      <protection locked="0"/>
    </xf>
    <xf numFmtId="0" fontId="16" fillId="0" borderId="149" xfId="0" applyFont="1" applyBorder="1" applyAlignment="1">
      <alignment vertical="center"/>
    </xf>
    <xf numFmtId="0" fontId="16" fillId="0" borderId="68" xfId="0" applyFont="1" applyBorder="1" applyAlignment="1">
      <alignment vertical="center"/>
    </xf>
    <xf numFmtId="0" fontId="16" fillId="0" borderId="94" xfId="0" applyFont="1" applyBorder="1" applyAlignment="1">
      <alignment vertical="center"/>
    </xf>
    <xf numFmtId="0" fontId="7" fillId="0" borderId="30" xfId="0" applyFont="1" applyBorder="1" applyAlignment="1">
      <alignment vertical="center" wrapText="1"/>
    </xf>
    <xf numFmtId="0" fontId="7" fillId="0" borderId="67" xfId="0" applyFont="1" applyBorder="1" applyAlignment="1">
      <alignment vertical="center" wrapText="1"/>
    </xf>
    <xf numFmtId="0" fontId="7" fillId="0" borderId="87" xfId="0" applyFont="1" applyBorder="1" applyAlignment="1">
      <alignment vertical="center" wrapText="1"/>
    </xf>
    <xf numFmtId="0" fontId="7" fillId="0" borderId="74" xfId="0" applyFont="1" applyBorder="1" applyAlignment="1">
      <alignment vertical="center" wrapText="1"/>
    </xf>
    <xf numFmtId="0" fontId="7" fillId="0" borderId="10" xfId="0" applyFont="1" applyBorder="1" applyAlignment="1">
      <alignment vertical="center" wrapText="1"/>
    </xf>
    <xf numFmtId="0" fontId="7" fillId="0" borderId="76" xfId="0" applyFont="1" applyBorder="1" applyAlignment="1">
      <alignment vertical="center" wrapText="1"/>
    </xf>
    <xf numFmtId="0" fontId="7" fillId="0" borderId="26" xfId="0" applyFont="1" applyBorder="1" applyAlignment="1">
      <alignment vertical="center" wrapText="1"/>
    </xf>
    <xf numFmtId="0" fontId="7" fillId="0" borderId="168" xfId="0" applyFont="1" applyBorder="1" applyAlignment="1">
      <alignment vertical="center" wrapText="1"/>
    </xf>
    <xf numFmtId="0" fontId="7" fillId="0" borderId="99" xfId="0" applyFont="1" applyBorder="1" applyAlignment="1">
      <alignment vertical="center" wrapText="1"/>
    </xf>
    <xf numFmtId="0" fontId="7" fillId="0" borderId="75" xfId="0" applyFont="1" applyBorder="1" applyAlignment="1">
      <alignment vertical="center" wrapText="1"/>
    </xf>
    <xf numFmtId="0" fontId="7" fillId="0" borderId="28" xfId="0" applyFont="1" applyBorder="1" applyAlignment="1">
      <alignment vertical="center" wrapText="1"/>
    </xf>
    <xf numFmtId="0" fontId="7" fillId="0" borderId="169" xfId="0" applyFont="1" applyBorder="1" applyAlignment="1">
      <alignment vertical="center" wrapText="1"/>
    </xf>
    <xf numFmtId="0" fontId="7" fillId="0" borderId="9" xfId="0" applyFont="1" applyBorder="1" applyAlignment="1">
      <alignment vertical="center" wrapText="1"/>
    </xf>
    <xf numFmtId="0" fontId="7" fillId="0" borderId="107" xfId="0" applyFont="1" applyBorder="1" applyAlignment="1">
      <alignment vertical="center" wrapText="1"/>
    </xf>
    <xf numFmtId="0" fontId="16" fillId="0" borderId="115" xfId="0" applyFont="1" applyBorder="1" applyAlignment="1">
      <alignment vertical="center"/>
    </xf>
    <xf numFmtId="0" fontId="16" fillId="0" borderId="173" xfId="0" applyFont="1" applyBorder="1" applyAlignment="1">
      <alignment vertical="center"/>
    </xf>
    <xf numFmtId="0" fontId="16" fillId="0" borderId="172" xfId="0" applyFont="1" applyBorder="1" applyAlignment="1">
      <alignment vertical="center"/>
    </xf>
    <xf numFmtId="0" fontId="16" fillId="0" borderId="167" xfId="0" applyFont="1" applyBorder="1" applyAlignment="1">
      <alignment vertical="center"/>
    </xf>
    <xf numFmtId="0" fontId="7" fillId="9" borderId="158" xfId="0" applyFont="1" applyFill="1" applyBorder="1" applyAlignment="1">
      <alignment vertical="center" wrapText="1"/>
    </xf>
    <xf numFmtId="0" fontId="7" fillId="9" borderId="162" xfId="0" applyFont="1" applyFill="1" applyBorder="1" applyAlignment="1">
      <alignment vertical="center" wrapText="1"/>
    </xf>
    <xf numFmtId="0" fontId="38" fillId="7" borderId="28" xfId="0" applyFont="1" applyFill="1" applyBorder="1" applyAlignment="1">
      <alignment horizontal="left" vertical="center" wrapText="1"/>
    </xf>
    <xf numFmtId="0" fontId="38" fillId="7" borderId="3" xfId="0" applyFont="1" applyFill="1" applyBorder="1" applyAlignment="1">
      <alignment horizontal="left" vertical="center" wrapText="1"/>
    </xf>
    <xf numFmtId="0" fontId="38" fillId="7" borderId="20" xfId="0" applyFont="1" applyFill="1" applyBorder="1" applyAlignment="1">
      <alignment horizontal="left" vertical="center" wrapText="1"/>
    </xf>
    <xf numFmtId="0" fontId="38" fillId="7" borderId="22" xfId="0" applyFont="1" applyFill="1" applyBorder="1" applyAlignment="1">
      <alignment horizontal="left" vertical="center" wrapText="1"/>
    </xf>
    <xf numFmtId="0" fontId="7" fillId="0" borderId="175" xfId="0" applyFont="1" applyBorder="1" applyAlignment="1">
      <alignment vertical="center" wrapText="1"/>
    </xf>
    <xf numFmtId="0" fontId="7" fillId="0" borderId="176" xfId="0" applyFont="1" applyBorder="1" applyAlignment="1">
      <alignment vertical="center" wrapText="1"/>
    </xf>
    <xf numFmtId="0" fontId="7" fillId="0" borderId="166" xfId="0" applyFont="1" applyBorder="1" applyAlignment="1">
      <alignment vertical="center" wrapText="1"/>
    </xf>
    <xf numFmtId="0" fontId="8" fillId="0" borderId="174" xfId="0" applyFont="1" applyBorder="1" applyAlignment="1">
      <alignment vertical="center"/>
    </xf>
    <xf numFmtId="0" fontId="8" fillId="0" borderId="175" xfId="0" applyFont="1" applyBorder="1" applyAlignment="1">
      <alignment vertical="center"/>
    </xf>
    <xf numFmtId="0" fontId="8" fillId="0" borderId="164" xfId="0" applyFont="1" applyBorder="1" applyAlignment="1">
      <alignment vertical="center"/>
    </xf>
    <xf numFmtId="0" fontId="8" fillId="0" borderId="165" xfId="0" applyFont="1" applyBorder="1" applyAlignment="1">
      <alignment vertical="center"/>
    </xf>
    <xf numFmtId="0" fontId="7" fillId="9" borderId="177" xfId="0" applyFont="1" applyFill="1" applyBorder="1" applyAlignment="1">
      <alignment vertical="center" wrapText="1"/>
    </xf>
    <xf numFmtId="0" fontId="7" fillId="9" borderId="178" xfId="0" applyFont="1" applyFill="1" applyBorder="1" applyAlignment="1">
      <alignment vertical="center" wrapText="1"/>
    </xf>
    <xf numFmtId="0" fontId="7" fillId="9" borderId="157" xfId="0" applyFont="1" applyFill="1" applyBorder="1" applyAlignment="1">
      <alignment vertical="center" wrapText="1"/>
    </xf>
    <xf numFmtId="0" fontId="7" fillId="9" borderId="29" xfId="0" applyFont="1" applyFill="1" applyBorder="1" applyAlignment="1">
      <alignment vertical="center" wrapText="1"/>
    </xf>
    <xf numFmtId="0" fontId="8" fillId="9" borderId="170" xfId="0" applyFont="1" applyFill="1" applyBorder="1" applyAlignment="1">
      <alignment vertical="center"/>
    </xf>
    <xf numFmtId="0" fontId="8" fillId="9" borderId="132" xfId="0" applyFont="1" applyFill="1" applyBorder="1" applyAlignment="1">
      <alignment vertical="center"/>
    </xf>
    <xf numFmtId="0" fontId="8" fillId="9" borderId="171" xfId="0" applyFont="1" applyFill="1" applyBorder="1" applyAlignment="1">
      <alignment vertical="center"/>
    </xf>
    <xf numFmtId="0" fontId="8" fillId="9" borderId="28" xfId="0" applyFont="1" applyFill="1" applyBorder="1" applyAlignment="1">
      <alignment vertical="center"/>
    </xf>
    <xf numFmtId="0" fontId="8" fillId="9" borderId="3" xfId="0" applyFont="1" applyFill="1" applyBorder="1" applyAlignment="1">
      <alignment vertical="center"/>
    </xf>
    <xf numFmtId="0" fontId="8" fillId="9" borderId="169" xfId="0" applyFont="1" applyFill="1" applyBorder="1" applyAlignment="1">
      <alignment vertical="center"/>
    </xf>
    <xf numFmtId="0" fontId="16" fillId="11" borderId="24" xfId="0" applyFont="1" applyFill="1" applyBorder="1" applyAlignment="1">
      <alignment vertical="center" wrapText="1"/>
    </xf>
    <xf numFmtId="0" fontId="36" fillId="12" borderId="20" xfId="0" applyFont="1" applyFill="1" applyBorder="1" applyAlignment="1">
      <alignment vertical="center"/>
    </xf>
    <xf numFmtId="0" fontId="7" fillId="11" borderId="19" xfId="0" applyFont="1" applyFill="1" applyBorder="1" applyAlignment="1">
      <alignment horizontal="center" vertical="center" wrapText="1"/>
    </xf>
    <xf numFmtId="0" fontId="7" fillId="11" borderId="22" xfId="0" applyFont="1" applyFill="1" applyBorder="1" applyAlignment="1">
      <alignment horizontal="center" vertical="center" wrapText="1"/>
    </xf>
    <xf numFmtId="0" fontId="7" fillId="11" borderId="59" xfId="0" applyFont="1" applyFill="1" applyBorder="1" applyAlignment="1">
      <alignment horizontal="center" vertical="center" wrapText="1"/>
    </xf>
    <xf numFmtId="0" fontId="7" fillId="11" borderId="60" xfId="0" applyFont="1" applyFill="1" applyBorder="1" applyAlignment="1">
      <alignment horizontal="center" vertical="center" wrapText="1"/>
    </xf>
    <xf numFmtId="0" fontId="7" fillId="11" borderId="59" xfId="0" applyFont="1" applyFill="1" applyBorder="1" applyAlignment="1">
      <alignment horizontal="center" vertical="center"/>
    </xf>
    <xf numFmtId="0" fontId="7" fillId="11" borderId="60" xfId="0" applyFont="1" applyFill="1" applyBorder="1" applyAlignment="1">
      <alignment horizontal="center" vertical="center"/>
    </xf>
    <xf numFmtId="0" fontId="16" fillId="11" borderId="0" xfId="0" applyFont="1" applyFill="1" applyAlignment="1">
      <alignment vertical="center"/>
    </xf>
    <xf numFmtId="0" fontId="16" fillId="11" borderId="27" xfId="0" applyFont="1" applyFill="1" applyBorder="1" applyAlignment="1">
      <alignment vertical="center"/>
    </xf>
    <xf numFmtId="0" fontId="16" fillId="11" borderId="0" xfId="0" applyFont="1" applyFill="1" applyAlignment="1">
      <alignment vertical="center" wrapText="1"/>
    </xf>
    <xf numFmtId="0" fontId="16" fillId="11" borderId="27" xfId="0" applyFont="1" applyFill="1" applyBorder="1" applyAlignment="1">
      <alignment vertical="center" wrapText="1"/>
    </xf>
    <xf numFmtId="0" fontId="16" fillId="11" borderId="68" xfId="0" applyFont="1" applyFill="1" applyBorder="1" applyAlignment="1">
      <alignment vertical="center" wrapText="1"/>
    </xf>
    <xf numFmtId="49" fontId="65" fillId="20" borderId="110" xfId="0" applyNumberFormat="1" applyFont="1" applyFill="1" applyBorder="1" applyAlignment="1">
      <alignment horizontal="left" vertical="center" wrapText="1"/>
    </xf>
    <xf numFmtId="49" fontId="65" fillId="20" borderId="111" xfId="0" applyNumberFormat="1" applyFont="1" applyFill="1" applyBorder="1" applyAlignment="1">
      <alignment horizontal="left" vertical="center" wrapText="1"/>
    </xf>
    <xf numFmtId="49" fontId="65" fillId="20" borderId="50" xfId="0" applyNumberFormat="1" applyFont="1" applyFill="1" applyBorder="1" applyAlignment="1">
      <alignment horizontal="left" vertical="center" wrapText="1"/>
    </xf>
    <xf numFmtId="0" fontId="65" fillId="11" borderId="110" xfId="0" applyFont="1" applyFill="1" applyBorder="1" applyAlignment="1">
      <alignment horizontal="left" vertical="center" wrapText="1"/>
    </xf>
    <xf numFmtId="0" fontId="65" fillId="11" borderId="111" xfId="0" applyFont="1" applyFill="1" applyBorder="1" applyAlignment="1">
      <alignment horizontal="left" vertical="center" wrapText="1"/>
    </xf>
    <xf numFmtId="0" fontId="65" fillId="11" borderId="50" xfId="0" applyFont="1" applyFill="1" applyBorder="1" applyAlignment="1">
      <alignment horizontal="left" vertical="center" wrapText="1"/>
    </xf>
    <xf numFmtId="0" fontId="16" fillId="11" borderId="3" xfId="0" applyFont="1" applyFill="1" applyBorder="1" applyAlignment="1">
      <alignment horizontal="left" vertical="center" wrapText="1"/>
    </xf>
    <xf numFmtId="0" fontId="68" fillId="11" borderId="0" xfId="0" applyFont="1" applyFill="1" applyAlignment="1">
      <alignment horizontal="left"/>
    </xf>
    <xf numFmtId="0" fontId="70" fillId="11" borderId="0" xfId="0" applyFont="1" applyFill="1" applyAlignment="1">
      <alignment horizontal="left"/>
    </xf>
    <xf numFmtId="0" fontId="41" fillId="12" borderId="20" xfId="0" applyFont="1" applyFill="1" applyBorder="1" applyAlignment="1">
      <alignment horizontal="center" vertical="center"/>
    </xf>
    <xf numFmtId="0" fontId="16" fillId="11" borderId="132" xfId="0" applyFont="1" applyFill="1" applyBorder="1" applyAlignment="1">
      <alignment vertical="center"/>
    </xf>
    <xf numFmtId="0" fontId="29" fillId="0" borderId="0" xfId="0" applyFont="1" applyAlignment="1">
      <alignment horizontal="left" vertical="center"/>
    </xf>
    <xf numFmtId="0" fontId="7" fillId="0" borderId="3" xfId="0" applyFont="1" applyBorder="1" applyAlignment="1">
      <alignment horizontal="left" vertical="center"/>
    </xf>
    <xf numFmtId="0" fontId="7" fillId="20" borderId="19" xfId="0" applyFont="1" applyFill="1" applyBorder="1" applyAlignment="1">
      <alignment horizontal="center" vertical="center" wrapText="1"/>
    </xf>
    <xf numFmtId="0" fontId="7" fillId="20" borderId="22" xfId="0" applyFont="1" applyFill="1" applyBorder="1" applyAlignment="1">
      <alignment horizontal="center" vertical="center" wrapText="1"/>
    </xf>
    <xf numFmtId="0" fontId="7" fillId="20" borderId="59" xfId="0" applyFont="1" applyFill="1" applyBorder="1" applyAlignment="1">
      <alignment horizontal="center" vertical="center"/>
    </xf>
    <xf numFmtId="0" fontId="7" fillId="20" borderId="60" xfId="0" applyFont="1" applyFill="1" applyBorder="1" applyAlignment="1">
      <alignment horizontal="center" vertical="center"/>
    </xf>
    <xf numFmtId="0" fontId="7" fillId="20" borderId="59" xfId="0" applyFont="1" applyFill="1" applyBorder="1" applyAlignment="1">
      <alignment horizontal="center" vertical="center" wrapText="1"/>
    </xf>
    <xf numFmtId="0" fontId="7" fillId="20" borderId="60" xfId="0" applyFont="1" applyFill="1" applyBorder="1" applyAlignment="1">
      <alignment horizontal="center" vertical="center" wrapText="1"/>
    </xf>
    <xf numFmtId="0" fontId="16" fillId="11" borderId="26" xfId="0" applyFont="1" applyFill="1" applyBorder="1" applyAlignment="1">
      <alignment vertical="center" wrapText="1"/>
    </xf>
    <xf numFmtId="0" fontId="16" fillId="11" borderId="143" xfId="0" applyFont="1" applyFill="1" applyBorder="1" applyAlignment="1">
      <alignment vertical="center" wrapText="1"/>
    </xf>
    <xf numFmtId="0" fontId="39" fillId="11" borderId="3" xfId="0" applyFont="1" applyFill="1" applyBorder="1" applyAlignment="1">
      <alignment horizontal="center" vertical="center" wrapText="1"/>
    </xf>
    <xf numFmtId="0" fontId="16" fillId="7" borderId="19" xfId="0" applyFont="1" applyFill="1" applyBorder="1" applyAlignment="1">
      <alignment vertical="center"/>
    </xf>
    <xf numFmtId="0" fontId="16" fillId="7" borderId="22" xfId="0" applyFont="1" applyFill="1" applyBorder="1" applyAlignment="1">
      <alignment vertical="center"/>
    </xf>
    <xf numFmtId="0" fontId="16" fillId="7" borderId="23" xfId="0" applyFont="1" applyFill="1" applyBorder="1" applyAlignment="1">
      <alignment vertical="center"/>
    </xf>
    <xf numFmtId="0" fontId="16" fillId="7" borderId="25" xfId="0" applyFont="1" applyFill="1" applyBorder="1" applyAlignment="1">
      <alignment vertical="center"/>
    </xf>
    <xf numFmtId="0" fontId="16" fillId="7" borderId="28" xfId="0" applyFont="1" applyFill="1" applyBorder="1" applyAlignment="1">
      <alignment vertical="center"/>
    </xf>
    <xf numFmtId="0" fontId="16" fillId="7" borderId="29" xfId="0" applyFont="1" applyFill="1" applyBorder="1" applyAlignment="1">
      <alignment vertical="center"/>
    </xf>
    <xf numFmtId="2" fontId="16" fillId="7" borderId="23" xfId="0" applyNumberFormat="1" applyFont="1" applyFill="1" applyBorder="1" applyAlignment="1">
      <alignment horizontal="center" vertical="center"/>
    </xf>
    <xf numFmtId="2" fontId="16" fillId="7" borderId="25" xfId="0" applyNumberFormat="1" applyFont="1" applyFill="1" applyBorder="1" applyAlignment="1">
      <alignment horizontal="center" vertical="center"/>
    </xf>
    <xf numFmtId="2" fontId="16" fillId="7" borderId="28" xfId="0" applyNumberFormat="1" applyFont="1" applyFill="1" applyBorder="1" applyAlignment="1">
      <alignment horizontal="center" vertical="center"/>
    </xf>
    <xf numFmtId="2" fontId="16" fillId="7" borderId="29" xfId="0" applyNumberFormat="1" applyFont="1" applyFill="1" applyBorder="1" applyAlignment="1">
      <alignment horizontal="center" vertical="center"/>
    </xf>
    <xf numFmtId="0" fontId="16" fillId="9" borderId="59" xfId="0" applyFont="1" applyFill="1" applyBorder="1" applyAlignment="1" applyProtection="1">
      <alignment horizontal="center" vertical="center"/>
      <protection locked="0"/>
    </xf>
    <xf numFmtId="0" fontId="16" fillId="9" borderId="60" xfId="0" applyFont="1" applyFill="1" applyBorder="1" applyAlignment="1" applyProtection="1">
      <alignment horizontal="center" vertical="center"/>
      <protection locked="0"/>
    </xf>
    <xf numFmtId="4" fontId="20" fillId="11" borderId="0" xfId="0" applyNumberFormat="1" applyFont="1" applyFill="1" applyAlignment="1">
      <alignment horizontal="center" vertical="center" wrapText="1"/>
    </xf>
    <xf numFmtId="0" fontId="18" fillId="0" borderId="3" xfId="5" applyFont="1" applyBorder="1" applyAlignment="1" applyProtection="1">
      <alignment horizontal="left" vertical="center"/>
    </xf>
    <xf numFmtId="0" fontId="7" fillId="20" borderId="61" xfId="0" applyFont="1" applyFill="1" applyBorder="1" applyAlignment="1">
      <alignment horizontal="center" vertical="center" wrapText="1"/>
    </xf>
    <xf numFmtId="0" fontId="7" fillId="20" borderId="34" xfId="0" applyFont="1" applyFill="1" applyBorder="1" applyAlignment="1">
      <alignment horizontal="center" vertical="center" wrapText="1"/>
    </xf>
    <xf numFmtId="0" fontId="7" fillId="20" borderId="13" xfId="0" applyFont="1" applyFill="1" applyBorder="1" applyAlignment="1">
      <alignment horizontal="center" vertical="center" wrapText="1"/>
    </xf>
    <xf numFmtId="0" fontId="7" fillId="20" borderId="14" xfId="0" applyFont="1" applyFill="1" applyBorder="1" applyAlignment="1">
      <alignment horizontal="center" vertical="center" wrapText="1"/>
    </xf>
    <xf numFmtId="4" fontId="20" fillId="20" borderId="65" xfId="0" applyNumberFormat="1" applyFont="1" applyFill="1" applyBorder="1" applyAlignment="1">
      <alignment horizontal="center" vertical="center" wrapText="1"/>
    </xf>
    <xf numFmtId="4" fontId="20" fillId="20" borderId="64" xfId="0" applyNumberFormat="1" applyFont="1" applyFill="1" applyBorder="1" applyAlignment="1">
      <alignment horizontal="center" vertical="center" wrapText="1"/>
    </xf>
    <xf numFmtId="4" fontId="20" fillId="20" borderId="62" xfId="0" applyNumberFormat="1" applyFont="1" applyFill="1" applyBorder="1" applyAlignment="1">
      <alignment horizontal="center" vertical="center" wrapText="1"/>
    </xf>
    <xf numFmtId="4" fontId="20" fillId="20" borderId="63" xfId="0" applyNumberFormat="1" applyFont="1" applyFill="1" applyBorder="1" applyAlignment="1">
      <alignment horizontal="center" vertical="center" wrapText="1"/>
    </xf>
    <xf numFmtId="0" fontId="36" fillId="12" borderId="3" xfId="0" applyFont="1" applyFill="1" applyBorder="1" applyAlignment="1">
      <alignment vertical="center"/>
    </xf>
    <xf numFmtId="0" fontId="7" fillId="11" borderId="13" xfId="0" applyFont="1" applyFill="1" applyBorder="1" applyAlignment="1">
      <alignment horizontal="center" vertical="center" wrapText="1"/>
    </xf>
    <xf numFmtId="0" fontId="7" fillId="11" borderId="14" xfId="0" applyFont="1" applyFill="1" applyBorder="1" applyAlignment="1">
      <alignment horizontal="center" vertical="center" wrapText="1"/>
    </xf>
    <xf numFmtId="0" fontId="7" fillId="11" borderId="61" xfId="0" applyFont="1" applyFill="1" applyBorder="1" applyAlignment="1">
      <alignment horizontal="center" vertical="center" wrapText="1"/>
    </xf>
    <xf numFmtId="0" fontId="7" fillId="11" borderId="34" xfId="0" applyFont="1" applyFill="1" applyBorder="1" applyAlignment="1">
      <alignment horizontal="center" vertical="center" wrapText="1"/>
    </xf>
    <xf numFmtId="4" fontId="20" fillId="11" borderId="65" xfId="0" applyNumberFormat="1" applyFont="1" applyFill="1" applyBorder="1" applyAlignment="1">
      <alignment horizontal="center" vertical="center" wrapText="1"/>
    </xf>
    <xf numFmtId="4" fontId="20" fillId="11" borderId="64" xfId="0" applyNumberFormat="1" applyFont="1" applyFill="1" applyBorder="1" applyAlignment="1">
      <alignment horizontal="center" vertical="center" wrapText="1"/>
    </xf>
    <xf numFmtId="4" fontId="20" fillId="11" borderId="62" xfId="0" applyNumberFormat="1" applyFont="1" applyFill="1" applyBorder="1" applyAlignment="1">
      <alignment horizontal="center" vertical="center" wrapText="1"/>
    </xf>
    <xf numFmtId="4" fontId="20" fillId="11" borderId="63" xfId="0" applyNumberFormat="1" applyFont="1" applyFill="1" applyBorder="1" applyAlignment="1">
      <alignment horizontal="center" vertical="center" wrapText="1"/>
    </xf>
    <xf numFmtId="0" fontId="64" fillId="20" borderId="110" xfId="0" applyFont="1" applyFill="1" applyBorder="1" applyAlignment="1">
      <alignment horizontal="left" vertical="center"/>
    </xf>
    <xf numFmtId="0" fontId="64" fillId="20" borderId="111" xfId="0" applyFont="1" applyFill="1" applyBorder="1" applyAlignment="1">
      <alignment horizontal="left" vertical="center"/>
    </xf>
    <xf numFmtId="0" fontId="64" fillId="20" borderId="50" xfId="0" applyFont="1" applyFill="1" applyBorder="1" applyAlignment="1">
      <alignment horizontal="left" vertical="center"/>
    </xf>
    <xf numFmtId="0" fontId="16" fillId="0" borderId="0" xfId="0" applyFont="1" applyAlignment="1">
      <alignment horizontal="left" vertical="center" wrapText="1"/>
    </xf>
    <xf numFmtId="0" fontId="64" fillId="11" borderId="110" xfId="0" applyFont="1" applyFill="1" applyBorder="1" applyAlignment="1">
      <alignment horizontal="left" vertical="center"/>
    </xf>
    <xf numFmtId="0" fontId="64" fillId="11" borderId="111" xfId="0" applyFont="1" applyFill="1" applyBorder="1" applyAlignment="1">
      <alignment horizontal="left" vertical="center"/>
    </xf>
    <xf numFmtId="0" fontId="64" fillId="11" borderId="50" xfId="0" applyFont="1" applyFill="1" applyBorder="1" applyAlignment="1">
      <alignment horizontal="left" vertical="center"/>
    </xf>
    <xf numFmtId="167" fontId="16" fillId="7" borderId="19" xfId="0" applyNumberFormat="1" applyFont="1" applyFill="1" applyBorder="1" applyAlignment="1">
      <alignment horizontal="center" vertical="center"/>
    </xf>
    <xf numFmtId="167" fontId="16" fillId="7" borderId="22" xfId="0" applyNumberFormat="1" applyFont="1" applyFill="1" applyBorder="1" applyAlignment="1">
      <alignment horizontal="center" vertical="center"/>
    </xf>
    <xf numFmtId="0" fontId="41" fillId="12" borderId="19" xfId="0" applyFont="1" applyFill="1" applyBorder="1" applyAlignment="1">
      <alignment horizontal="center" vertical="center"/>
    </xf>
    <xf numFmtId="0" fontId="41" fillId="12" borderId="22" xfId="0" applyFont="1" applyFill="1" applyBorder="1" applyAlignment="1">
      <alignment horizontal="center" vertical="center"/>
    </xf>
    <xf numFmtId="2" fontId="16" fillId="7" borderId="19" xfId="0" applyNumberFormat="1" applyFont="1" applyFill="1" applyBorder="1" applyAlignment="1">
      <alignment horizontal="center" vertical="center"/>
    </xf>
    <xf numFmtId="2" fontId="16" fillId="7" borderId="22" xfId="0" applyNumberFormat="1" applyFont="1" applyFill="1" applyBorder="1" applyAlignment="1">
      <alignment horizontal="center" vertical="center"/>
    </xf>
    <xf numFmtId="0" fontId="16" fillId="7" borderId="19" xfId="0" applyFont="1" applyFill="1" applyBorder="1" applyAlignment="1">
      <alignment horizontal="center" vertical="center"/>
    </xf>
    <xf numFmtId="0" fontId="16" fillId="7" borderId="22" xfId="0" applyFont="1" applyFill="1" applyBorder="1" applyAlignment="1">
      <alignment horizontal="center" vertical="center"/>
    </xf>
    <xf numFmtId="0" fontId="16" fillId="11" borderId="26" xfId="0" applyFont="1" applyFill="1" applyBorder="1" applyAlignment="1">
      <alignment vertical="center"/>
    </xf>
    <xf numFmtId="0" fontId="16" fillId="11" borderId="0" xfId="0" applyFont="1" applyFill="1" applyAlignment="1">
      <alignment horizontal="left" vertical="center" wrapText="1"/>
    </xf>
    <xf numFmtId="0" fontId="36" fillId="12" borderId="3" xfId="0" applyFont="1" applyFill="1" applyBorder="1" applyAlignment="1">
      <alignment horizontal="left" vertical="center"/>
    </xf>
    <xf numFmtId="0" fontId="16" fillId="11" borderId="19" xfId="0" applyFont="1" applyFill="1" applyBorder="1" applyAlignment="1">
      <alignment horizontal="center" vertical="center"/>
    </xf>
    <xf numFmtId="0" fontId="16" fillId="11" borderId="20" xfId="0" applyFont="1" applyFill="1" applyBorder="1" applyAlignment="1">
      <alignment horizontal="center" vertical="center"/>
    </xf>
    <xf numFmtId="0" fontId="16" fillId="11" borderId="22" xfId="0" applyFont="1" applyFill="1" applyBorder="1" applyAlignment="1">
      <alignment horizontal="center" vertical="center"/>
    </xf>
    <xf numFmtId="0" fontId="16" fillId="11" borderId="143" xfId="0" applyFont="1" applyFill="1" applyBorder="1" applyAlignment="1">
      <alignment horizontal="left" vertical="center" wrapText="1"/>
    </xf>
    <xf numFmtId="0" fontId="42" fillId="12" borderId="19" xfId="0" applyFont="1" applyFill="1" applyBorder="1" applyAlignment="1">
      <alignment horizontal="center" vertical="center"/>
    </xf>
    <xf numFmtId="0" fontId="42" fillId="12" borderId="20" xfId="0" applyFont="1" applyFill="1" applyBorder="1" applyAlignment="1">
      <alignment horizontal="center" vertical="center"/>
    </xf>
    <xf numFmtId="0" fontId="16" fillId="11" borderId="24" xfId="0" applyFont="1" applyFill="1" applyBorder="1" applyAlignment="1">
      <alignment horizontal="left" vertical="center" wrapText="1"/>
    </xf>
    <xf numFmtId="0" fontId="16" fillId="11" borderId="3" xfId="0" applyFont="1" applyFill="1" applyBorder="1" applyAlignment="1">
      <alignment horizontal="left" vertical="center"/>
    </xf>
    <xf numFmtId="0" fontId="41" fillId="3" borderId="19" xfId="0" applyFont="1" applyFill="1" applyBorder="1" applyAlignment="1">
      <alignment horizontal="left" vertical="center"/>
    </xf>
    <xf numFmtId="0" fontId="41" fillId="3" borderId="20" xfId="0" applyFont="1" applyFill="1" applyBorder="1" applyAlignment="1">
      <alignment horizontal="left" vertical="center"/>
    </xf>
    <xf numFmtId="0" fontId="16" fillId="11" borderId="116" xfId="0" applyFont="1" applyFill="1" applyBorder="1" applyAlignment="1">
      <alignment horizontal="left" vertical="center" wrapText="1"/>
    </xf>
    <xf numFmtId="0" fontId="16" fillId="11" borderId="132" xfId="0" applyFont="1" applyFill="1" applyBorder="1" applyAlignment="1">
      <alignment horizontal="left" vertical="center" wrapText="1"/>
    </xf>
    <xf numFmtId="0" fontId="16" fillId="11" borderId="0" xfId="0" applyFont="1" applyFill="1" applyAlignment="1">
      <alignment horizontal="left" vertical="center"/>
    </xf>
    <xf numFmtId="0" fontId="16" fillId="11" borderId="110" xfId="0" applyFont="1" applyFill="1" applyBorder="1" applyAlignment="1">
      <alignment horizontal="center" vertical="center"/>
    </xf>
    <xf numFmtId="0" fontId="16" fillId="11" borderId="111" xfId="0" applyFont="1" applyFill="1" applyBorder="1" applyAlignment="1">
      <alignment horizontal="center" vertical="center"/>
    </xf>
    <xf numFmtId="0" fontId="16" fillId="11" borderId="50" xfId="0" applyFont="1" applyFill="1" applyBorder="1" applyAlignment="1">
      <alignment horizontal="center" vertical="center"/>
    </xf>
    <xf numFmtId="0" fontId="16" fillId="11" borderId="115" xfId="0" applyFont="1" applyFill="1" applyBorder="1" applyAlignment="1">
      <alignment horizontal="center" vertical="center"/>
    </xf>
    <xf numFmtId="0" fontId="16" fillId="11" borderId="116" xfId="0" applyFont="1" applyFill="1" applyBorder="1" applyAlignment="1">
      <alignment horizontal="center" vertical="center"/>
    </xf>
    <xf numFmtId="0" fontId="16" fillId="11" borderId="52" xfId="0" applyFont="1" applyFill="1" applyBorder="1" applyAlignment="1">
      <alignment horizontal="center" vertical="center"/>
    </xf>
    <xf numFmtId="0" fontId="46" fillId="11" borderId="24" xfId="5" applyFont="1" applyFill="1" applyBorder="1" applyAlignment="1" applyProtection="1">
      <alignment horizontal="left" vertical="center"/>
    </xf>
    <xf numFmtId="0" fontId="29" fillId="0" borderId="0" xfId="0" applyFont="1" applyAlignment="1">
      <alignment vertical="center"/>
    </xf>
    <xf numFmtId="176" fontId="16" fillId="7" borderId="19" xfId="0" applyNumberFormat="1" applyFont="1" applyFill="1" applyBorder="1" applyAlignment="1">
      <alignment horizontal="center" vertical="center"/>
    </xf>
    <xf numFmtId="176" fontId="16" fillId="7" borderId="22" xfId="0" applyNumberFormat="1" applyFont="1" applyFill="1" applyBorder="1" applyAlignment="1">
      <alignment horizontal="center" vertical="center"/>
    </xf>
    <xf numFmtId="0" fontId="16" fillId="11" borderId="111" xfId="0" applyFont="1" applyFill="1" applyBorder="1" applyAlignment="1">
      <alignment vertical="center" wrapText="1"/>
    </xf>
    <xf numFmtId="0" fontId="47" fillId="11" borderId="143" xfId="5" applyFont="1" applyFill="1" applyBorder="1" applyAlignment="1" applyProtection="1">
      <alignment horizontal="left" vertical="center" wrapText="1"/>
    </xf>
    <xf numFmtId="2" fontId="16" fillId="0" borderId="19" xfId="0" applyNumberFormat="1" applyFont="1" applyBorder="1" applyAlignment="1" applyProtection="1">
      <alignment horizontal="center" vertical="center"/>
      <protection locked="0"/>
    </xf>
    <xf numFmtId="2" fontId="16" fillId="0" borderId="22" xfId="0" applyNumberFormat="1" applyFont="1" applyBorder="1" applyAlignment="1" applyProtection="1">
      <alignment horizontal="center" vertical="center"/>
      <protection locked="0"/>
    </xf>
    <xf numFmtId="2" fontId="64" fillId="11" borderId="110" xfId="0" applyNumberFormat="1" applyFont="1" applyFill="1" applyBorder="1" applyAlignment="1">
      <alignment horizontal="left" vertical="center" wrapText="1"/>
    </xf>
    <xf numFmtId="2" fontId="64" fillId="11" borderId="111" xfId="0" applyNumberFormat="1" applyFont="1" applyFill="1" applyBorder="1" applyAlignment="1">
      <alignment horizontal="left" vertical="center" wrapText="1"/>
    </xf>
    <xf numFmtId="2" fontId="64" fillId="11" borderId="50" xfId="0" applyNumberFormat="1" applyFont="1" applyFill="1" applyBorder="1" applyAlignment="1">
      <alignment horizontal="left" vertical="center" wrapText="1"/>
    </xf>
    <xf numFmtId="2" fontId="8" fillId="0" borderId="24" xfId="0" applyNumberFormat="1" applyFont="1" applyBorder="1" applyAlignment="1">
      <alignment vertical="center"/>
    </xf>
    <xf numFmtId="0" fontId="47" fillId="11" borderId="0" xfId="5" applyFont="1" applyFill="1" applyBorder="1" applyAlignment="1" applyProtection="1">
      <alignment horizontal="left" vertical="center" wrapText="1"/>
    </xf>
    <xf numFmtId="0" fontId="47" fillId="11" borderId="27" xfId="5" applyFont="1" applyFill="1" applyBorder="1" applyAlignment="1" applyProtection="1">
      <alignment horizontal="left" vertical="center" wrapText="1"/>
    </xf>
    <xf numFmtId="0" fontId="42" fillId="11" borderId="132" xfId="0" applyFont="1" applyFill="1" applyBorder="1" applyAlignment="1">
      <alignment horizontal="center" vertical="center"/>
    </xf>
    <xf numFmtId="0" fontId="51" fillId="11" borderId="23" xfId="5" applyFont="1" applyFill="1" applyBorder="1" applyAlignment="1" applyProtection="1">
      <alignment horizontal="center" vertical="center" wrapText="1"/>
    </xf>
    <xf numFmtId="0" fontId="51" fillId="11" borderId="24" xfId="5" applyFont="1" applyFill="1" applyBorder="1" applyAlignment="1" applyProtection="1">
      <alignment horizontal="center" vertical="center" wrapText="1"/>
    </xf>
    <xf numFmtId="0" fontId="51" fillId="11" borderId="26" xfId="5" applyFont="1" applyFill="1" applyBorder="1" applyAlignment="1" applyProtection="1">
      <alignment horizontal="center" vertical="center" wrapText="1"/>
    </xf>
    <xf numFmtId="0" fontId="51" fillId="11" borderId="0" xfId="5" applyFont="1" applyFill="1" applyBorder="1" applyAlignment="1" applyProtection="1">
      <alignment horizontal="center" vertical="center" wrapText="1"/>
    </xf>
    <xf numFmtId="0" fontId="39" fillId="11" borderId="20" xfId="0" applyFont="1" applyFill="1" applyBorder="1" applyAlignment="1">
      <alignment horizontal="center" vertical="center" wrapText="1"/>
    </xf>
    <xf numFmtId="2" fontId="64" fillId="20" borderId="110" xfId="0" applyNumberFormat="1" applyFont="1" applyFill="1" applyBorder="1" applyAlignment="1">
      <alignment horizontal="left" vertical="center"/>
    </xf>
    <xf numFmtId="2" fontId="64" fillId="20" borderId="111" xfId="0" applyNumberFormat="1" applyFont="1" applyFill="1" applyBorder="1" applyAlignment="1">
      <alignment horizontal="left" vertical="center"/>
    </xf>
    <xf numFmtId="2" fontId="64" fillId="20" borderId="50" xfId="0" applyNumberFormat="1" applyFont="1" applyFill="1" applyBorder="1" applyAlignment="1">
      <alignment horizontal="left" vertical="center"/>
    </xf>
    <xf numFmtId="0" fontId="16" fillId="11" borderId="151" xfId="0" applyFont="1" applyFill="1" applyBorder="1" applyAlignment="1">
      <alignment vertical="center"/>
    </xf>
    <xf numFmtId="0" fontId="16" fillId="11" borderId="67" xfId="0" applyFont="1" applyFill="1" applyBorder="1" applyAlignment="1">
      <alignment vertical="center"/>
    </xf>
    <xf numFmtId="0" fontId="16" fillId="11" borderId="87" xfId="0" applyFont="1" applyFill="1" applyBorder="1" applyAlignment="1">
      <alignment vertical="center"/>
    </xf>
    <xf numFmtId="0" fontId="16" fillId="11" borderId="1" xfId="0" applyFont="1" applyFill="1" applyBorder="1" applyAlignment="1">
      <alignment vertical="center"/>
    </xf>
    <xf numFmtId="175" fontId="47" fillId="11" borderId="116" xfId="0" applyNumberFormat="1" applyFont="1" applyFill="1" applyBorder="1" applyAlignment="1">
      <alignment horizontal="left" vertical="center" wrapText="1"/>
    </xf>
    <xf numFmtId="0" fontId="38" fillId="11" borderId="110" xfId="0" applyFont="1" applyFill="1" applyBorder="1" applyAlignment="1">
      <alignment horizontal="left" vertical="center" wrapText="1"/>
    </xf>
    <xf numFmtId="0" fontId="38" fillId="11" borderId="111" xfId="0" applyFont="1" applyFill="1" applyBorder="1" applyAlignment="1">
      <alignment horizontal="left" vertical="center" wrapText="1"/>
    </xf>
    <xf numFmtId="0" fontId="38" fillId="11" borderId="50" xfId="0" applyFont="1" applyFill="1" applyBorder="1" applyAlignment="1">
      <alignment horizontal="left" vertical="center" wrapText="1"/>
    </xf>
    <xf numFmtId="0" fontId="7" fillId="11" borderId="20" xfId="0" applyFont="1" applyFill="1" applyBorder="1" applyAlignment="1">
      <alignment horizontal="center" vertical="center" wrapText="1"/>
    </xf>
    <xf numFmtId="0" fontId="38" fillId="11" borderId="110" xfId="0" applyFont="1" applyFill="1" applyBorder="1" applyAlignment="1">
      <alignment horizontal="left" vertical="center"/>
    </xf>
    <xf numFmtId="0" fontId="38" fillId="11" borderId="111" xfId="0" applyFont="1" applyFill="1" applyBorder="1" applyAlignment="1">
      <alignment horizontal="left" vertical="center"/>
    </xf>
    <xf numFmtId="0" fontId="38" fillId="11" borderId="50" xfId="0" applyFont="1" applyFill="1" applyBorder="1" applyAlignment="1">
      <alignment horizontal="left" vertical="center"/>
    </xf>
    <xf numFmtId="0" fontId="34" fillId="0" borderId="3" xfId="0" applyFont="1" applyBorder="1" applyAlignment="1">
      <alignment horizontal="left" vertical="center" wrapText="1"/>
    </xf>
    <xf numFmtId="175" fontId="47" fillId="11" borderId="3" xfId="0" applyNumberFormat="1" applyFont="1" applyFill="1" applyBorder="1" applyAlignment="1">
      <alignment horizontal="left" vertical="center" wrapText="1"/>
    </xf>
    <xf numFmtId="0" fontId="16" fillId="9" borderId="19" xfId="0" applyFont="1" applyFill="1" applyBorder="1" applyAlignment="1" applyProtection="1">
      <alignment horizontal="center" vertical="center"/>
      <protection locked="0"/>
    </xf>
    <xf numFmtId="0" fontId="16" fillId="9" borderId="22" xfId="0" applyFont="1" applyFill="1" applyBorder="1" applyAlignment="1" applyProtection="1">
      <alignment horizontal="center" vertical="center"/>
      <protection locked="0"/>
    </xf>
    <xf numFmtId="0" fontId="47" fillId="11" borderId="24" xfId="5" applyFont="1" applyFill="1" applyBorder="1" applyAlignment="1" applyProtection="1">
      <alignment horizontal="left" vertical="center" wrapText="1"/>
    </xf>
    <xf numFmtId="0" fontId="47" fillId="11" borderId="132" xfId="5" applyFont="1" applyFill="1" applyBorder="1" applyAlignment="1" applyProtection="1">
      <alignment horizontal="left" vertical="center" wrapText="1"/>
    </xf>
    <xf numFmtId="175" fontId="47" fillId="11" borderId="132" xfId="0" applyNumberFormat="1" applyFont="1" applyFill="1" applyBorder="1" applyAlignment="1">
      <alignment horizontal="right" vertical="center"/>
    </xf>
    <xf numFmtId="175" fontId="47" fillId="11" borderId="0" xfId="0" applyNumberFormat="1" applyFont="1" applyFill="1" applyAlignment="1">
      <alignment horizontal="right" vertical="center"/>
    </xf>
    <xf numFmtId="0" fontId="47" fillId="11" borderId="0" xfId="5" applyFont="1" applyFill="1" applyBorder="1" applyAlignment="1" applyProtection="1">
      <alignment horizontal="left" vertical="center"/>
    </xf>
    <xf numFmtId="0" fontId="47" fillId="11" borderId="0" xfId="5" quotePrefix="1" applyFont="1" applyFill="1" applyBorder="1" applyAlignment="1" applyProtection="1">
      <alignment horizontal="center" vertical="center"/>
    </xf>
    <xf numFmtId="0" fontId="47" fillId="11" borderId="0" xfId="5" applyFont="1" applyFill="1" applyBorder="1" applyAlignment="1" applyProtection="1">
      <alignment horizontal="center" vertical="center"/>
    </xf>
    <xf numFmtId="0" fontId="30" fillId="11" borderId="0" xfId="0" applyFont="1" applyFill="1" applyAlignment="1">
      <alignment horizontal="right" vertical="center" wrapText="1"/>
    </xf>
    <xf numFmtId="0" fontId="30" fillId="11" borderId="0" xfId="0" applyFont="1" applyFill="1" applyAlignment="1">
      <alignment horizontal="right" vertical="center"/>
    </xf>
    <xf numFmtId="0" fontId="8" fillId="7" borderId="23" xfId="0" applyFont="1" applyFill="1" applyBorder="1" applyAlignment="1">
      <alignment horizontal="center" vertical="center" wrapText="1"/>
    </xf>
    <xf numFmtId="0" fontId="8" fillId="7" borderId="24"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8" fillId="7" borderId="26" xfId="0" applyFont="1" applyFill="1" applyBorder="1" applyAlignment="1">
      <alignment horizontal="center" vertical="center" wrapText="1"/>
    </xf>
    <xf numFmtId="0" fontId="8" fillId="7" borderId="0" xfId="0" applyFont="1" applyFill="1" applyAlignment="1">
      <alignment horizontal="center" vertical="center" wrapText="1"/>
    </xf>
    <xf numFmtId="0" fontId="8" fillId="7" borderId="27"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30" fillId="11" borderId="85" xfId="0" applyFont="1" applyFill="1" applyBorder="1" applyAlignment="1">
      <alignment horizontal="right" vertical="center"/>
    </xf>
    <xf numFmtId="0" fontId="7" fillId="11" borderId="31" xfId="0" applyFont="1" applyFill="1" applyBorder="1" applyAlignment="1">
      <alignment horizontal="center" vertical="center" wrapText="1"/>
    </xf>
    <xf numFmtId="0" fontId="7" fillId="11" borderId="32"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7" fillId="11" borderId="15"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7" fillId="11" borderId="15" xfId="0" applyFont="1" applyFill="1" applyBorder="1" applyAlignment="1">
      <alignment horizontal="center" vertical="center"/>
    </xf>
    <xf numFmtId="0" fontId="7" fillId="20" borderId="31" xfId="0" applyFont="1" applyFill="1" applyBorder="1" applyAlignment="1">
      <alignment horizontal="center" vertical="center" wrapText="1"/>
    </xf>
    <xf numFmtId="0" fontId="7" fillId="20" borderId="32" xfId="0" applyFont="1" applyFill="1" applyBorder="1" applyAlignment="1">
      <alignment horizontal="center" vertical="center" wrapText="1"/>
    </xf>
    <xf numFmtId="0" fontId="7" fillId="20" borderId="12" xfId="0" applyFont="1" applyFill="1" applyBorder="1" applyAlignment="1">
      <alignment horizontal="center" vertical="center"/>
    </xf>
    <xf numFmtId="0" fontId="7" fillId="20" borderId="15" xfId="0" applyFont="1" applyFill="1" applyBorder="1" applyAlignment="1">
      <alignment horizontal="center" vertical="center"/>
    </xf>
    <xf numFmtId="0" fontId="7" fillId="20" borderId="12" xfId="0" applyFont="1" applyFill="1" applyBorder="1" applyAlignment="1">
      <alignment horizontal="center" vertical="center" wrapText="1"/>
    </xf>
    <xf numFmtId="0" fontId="7" fillId="20" borderId="15" xfId="0" applyFont="1" applyFill="1" applyBorder="1" applyAlignment="1">
      <alignment horizontal="center" vertical="center" wrapText="1"/>
    </xf>
    <xf numFmtId="0" fontId="7" fillId="20" borderId="13" xfId="0" applyFont="1" applyFill="1" applyBorder="1" applyAlignment="1">
      <alignment horizontal="center" vertical="center"/>
    </xf>
    <xf numFmtId="0" fontId="7" fillId="20" borderId="14" xfId="0" applyFont="1" applyFill="1" applyBorder="1" applyAlignment="1">
      <alignment horizontal="center" vertical="center"/>
    </xf>
    <xf numFmtId="0" fontId="34" fillId="0" borderId="3" xfId="0" applyFont="1" applyBorder="1"/>
    <xf numFmtId="0" fontId="8" fillId="0" borderId="24" xfId="0" applyFont="1" applyBorder="1"/>
    <xf numFmtId="0" fontId="21" fillId="11" borderId="68" xfId="5" applyFont="1" applyFill="1" applyBorder="1" applyAlignment="1" applyProtection="1">
      <alignment horizontal="center" vertical="center"/>
    </xf>
    <xf numFmtId="0" fontId="34" fillId="0" borderId="3" xfId="0" applyFont="1" applyBorder="1" applyAlignment="1">
      <alignment vertical="center"/>
    </xf>
    <xf numFmtId="0" fontId="60" fillId="0" borderId="0" xfId="5" applyFont="1" applyBorder="1" applyAlignment="1" applyProtection="1">
      <alignment vertical="center" wrapText="1"/>
    </xf>
    <xf numFmtId="0" fontId="7" fillId="20" borderId="13" xfId="0" applyFont="1" applyFill="1" applyBorder="1" applyAlignment="1" applyProtection="1">
      <alignment horizontal="center" vertical="center"/>
      <protection locked="0"/>
    </xf>
    <xf numFmtId="0" fontId="7" fillId="20" borderId="14" xfId="0" applyFont="1" applyFill="1" applyBorder="1" applyAlignment="1" applyProtection="1">
      <alignment horizontal="center" vertical="center"/>
      <protection locked="0"/>
    </xf>
    <xf numFmtId="0" fontId="7" fillId="20" borderId="12" xfId="0" applyFont="1" applyFill="1" applyBorder="1" applyAlignment="1" applyProtection="1">
      <alignment horizontal="center" vertical="center"/>
      <protection locked="0"/>
    </xf>
    <xf numFmtId="0" fontId="7" fillId="20" borderId="15" xfId="0" applyFont="1" applyFill="1" applyBorder="1" applyAlignment="1" applyProtection="1">
      <alignment horizontal="center" vertical="center"/>
      <protection locked="0"/>
    </xf>
    <xf numFmtId="0" fontId="7" fillId="20" borderId="12" xfId="0" applyFont="1" applyFill="1" applyBorder="1" applyAlignment="1" applyProtection="1">
      <alignment horizontal="center" vertical="center" wrapText="1"/>
      <protection locked="0"/>
    </xf>
    <xf numFmtId="0" fontId="7" fillId="20" borderId="15" xfId="0" applyFont="1" applyFill="1" applyBorder="1" applyAlignment="1" applyProtection="1">
      <alignment horizontal="center" vertical="center" wrapText="1"/>
      <protection locked="0"/>
    </xf>
    <xf numFmtId="0" fontId="7" fillId="20" borderId="61" xfId="0" applyFont="1" applyFill="1" applyBorder="1" applyAlignment="1" applyProtection="1">
      <alignment horizontal="center" vertical="center" wrapText="1"/>
      <protection locked="0"/>
    </xf>
    <xf numFmtId="0" fontId="7" fillId="20" borderId="34" xfId="0" applyFont="1" applyFill="1" applyBorder="1" applyAlignment="1" applyProtection="1">
      <alignment horizontal="center" vertical="center" wrapText="1"/>
      <protection locked="0"/>
    </xf>
    <xf numFmtId="0" fontId="12" fillId="8" borderId="62" xfId="0" applyFont="1" applyFill="1" applyBorder="1" applyAlignment="1">
      <alignment horizontal="center" vertical="center" wrapText="1"/>
    </xf>
    <xf numFmtId="0" fontId="12" fillId="8" borderId="137"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13" xfId="0" applyFont="1" applyFill="1" applyBorder="1" applyAlignment="1">
      <alignment horizontal="center" vertical="center" wrapText="1"/>
    </xf>
    <xf numFmtId="0" fontId="12" fillId="8" borderId="58"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0" xfId="0" applyFont="1" applyFill="1" applyBorder="1" applyAlignment="1">
      <alignment horizontal="center" vertical="center" wrapText="1"/>
    </xf>
    <xf numFmtId="0" fontId="12" fillId="7" borderId="22" xfId="0" applyFont="1" applyFill="1" applyBorder="1" applyAlignment="1">
      <alignment horizontal="center" vertical="center" wrapText="1"/>
    </xf>
    <xf numFmtId="0" fontId="12" fillId="8" borderId="63" xfId="0" applyFont="1" applyFill="1" applyBorder="1" applyAlignment="1">
      <alignment horizontal="center" vertical="center" wrapText="1"/>
    </xf>
    <xf numFmtId="0" fontId="0" fillId="0" borderId="0" xfId="0"/>
    <xf numFmtId="0" fontId="7" fillId="9" borderId="3" xfId="0" applyFont="1" applyFill="1" applyBorder="1" applyAlignment="1">
      <alignment vertical="center"/>
    </xf>
    <xf numFmtId="0" fontId="29" fillId="9" borderId="0" xfId="0" applyFont="1" applyFill="1" applyAlignment="1">
      <alignment vertical="center"/>
    </xf>
    <xf numFmtId="0" fontId="12" fillId="8" borderId="14" xfId="0" applyFont="1" applyFill="1" applyBorder="1" applyAlignment="1">
      <alignment horizontal="center" vertical="center" wrapText="1"/>
    </xf>
    <xf numFmtId="0" fontId="7" fillId="9" borderId="30" xfId="0" quotePrefix="1" applyFont="1" applyFill="1" applyBorder="1" applyAlignment="1">
      <alignment vertical="center" wrapText="1"/>
    </xf>
    <xf numFmtId="0" fontId="7" fillId="9" borderId="67" xfId="0" applyFont="1" applyFill="1" applyBorder="1" applyAlignment="1">
      <alignment vertical="center" wrapText="1"/>
    </xf>
    <xf numFmtId="0" fontId="7" fillId="9" borderId="87" xfId="0" applyFont="1" applyFill="1" applyBorder="1" applyAlignment="1">
      <alignment vertical="center" wrapText="1"/>
    </xf>
    <xf numFmtId="0" fontId="7" fillId="0" borderId="66" xfId="0" applyFont="1" applyBorder="1" applyAlignment="1">
      <alignment vertical="center" wrapText="1"/>
    </xf>
    <xf numFmtId="0" fontId="7" fillId="9" borderId="85" xfId="0" applyFont="1" applyFill="1" applyBorder="1" applyAlignment="1">
      <alignment vertical="center" wrapText="1"/>
    </xf>
    <xf numFmtId="0" fontId="7" fillId="9" borderId="98" xfId="0" applyFont="1" applyFill="1" applyBorder="1" applyAlignment="1">
      <alignment vertical="center" wrapText="1"/>
    </xf>
    <xf numFmtId="0" fontId="7" fillId="9" borderId="28" xfId="0" applyFont="1" applyFill="1" applyBorder="1" applyAlignment="1">
      <alignment vertical="center" wrapText="1"/>
    </xf>
    <xf numFmtId="0" fontId="7" fillId="9" borderId="3" xfId="0" applyFont="1" applyFill="1" applyBorder="1" applyAlignment="1">
      <alignment vertical="center" wrapText="1"/>
    </xf>
    <xf numFmtId="0" fontId="8" fillId="11" borderId="1" xfId="0" applyFont="1" applyFill="1" applyBorder="1" applyAlignment="1">
      <alignment horizontal="center" vertical="center"/>
    </xf>
    <xf numFmtId="0" fontId="8" fillId="11" borderId="26" xfId="0" applyFont="1" applyFill="1" applyBorder="1" applyAlignment="1">
      <alignment vertical="center" wrapText="1"/>
    </xf>
    <xf numFmtId="0" fontId="7" fillId="0" borderId="28" xfId="0" quotePrefix="1" applyFont="1" applyBorder="1" applyAlignment="1">
      <alignment vertical="center" wrapText="1"/>
    </xf>
    <xf numFmtId="0" fontId="7" fillId="0" borderId="3" xfId="0" applyFont="1" applyBorder="1" applyAlignment="1">
      <alignment vertical="center" wrapText="1"/>
    </xf>
    <xf numFmtId="0" fontId="7" fillId="0" borderId="29" xfId="0" applyFont="1" applyBorder="1" applyAlignment="1">
      <alignment vertical="center" wrapText="1"/>
    </xf>
    <xf numFmtId="0" fontId="7" fillId="9" borderId="131" xfId="0" applyFont="1" applyFill="1" applyBorder="1" applyAlignment="1">
      <alignment vertical="center" wrapText="1"/>
    </xf>
    <xf numFmtId="0" fontId="7" fillId="9" borderId="77" xfId="0" applyFont="1" applyFill="1" applyBorder="1" applyAlignment="1">
      <alignment vertical="center" wrapText="1"/>
    </xf>
    <xf numFmtId="0" fontId="7" fillId="9" borderId="90" xfId="0" applyFont="1" applyFill="1" applyBorder="1" applyAlignment="1">
      <alignment vertical="center" wrapText="1"/>
    </xf>
    <xf numFmtId="0" fontId="7" fillId="9" borderId="66" xfId="0" applyFont="1" applyFill="1" applyBorder="1" applyAlignment="1">
      <alignment vertical="center" wrapText="1"/>
    </xf>
    <xf numFmtId="0" fontId="7" fillId="9" borderId="95" xfId="0" applyFont="1" applyFill="1" applyBorder="1" applyAlignment="1">
      <alignment vertical="center" wrapText="1"/>
    </xf>
    <xf numFmtId="0" fontId="7" fillId="9" borderId="23" xfId="0" applyFont="1" applyFill="1" applyBorder="1" applyAlignment="1">
      <alignment vertical="center" wrapText="1"/>
    </xf>
    <xf numFmtId="0" fontId="7" fillId="9" borderId="24" xfId="0" applyFont="1" applyFill="1" applyBorder="1" applyAlignment="1">
      <alignment vertical="center" wrapText="1"/>
    </xf>
    <xf numFmtId="0" fontId="7" fillId="9" borderId="25" xfId="0" applyFont="1" applyFill="1" applyBorder="1" applyAlignment="1">
      <alignment vertical="center" wrapText="1"/>
    </xf>
    <xf numFmtId="0" fontId="7" fillId="11" borderId="1" xfId="0" applyFont="1" applyFill="1" applyBorder="1" applyAlignment="1">
      <alignment horizontal="center" vertical="center"/>
    </xf>
    <xf numFmtId="0" fontId="16" fillId="9" borderId="79" xfId="0" applyFont="1" applyFill="1" applyBorder="1" applyAlignment="1">
      <alignment vertical="center" wrapText="1"/>
    </xf>
    <xf numFmtId="0" fontId="16" fillId="9" borderId="71" xfId="0" applyFont="1" applyFill="1" applyBorder="1" applyAlignment="1">
      <alignment vertical="center" wrapText="1"/>
    </xf>
    <xf numFmtId="0" fontId="16" fillId="9" borderId="89" xfId="0" applyFont="1" applyFill="1" applyBorder="1" applyAlignment="1">
      <alignment vertical="center" wrapText="1"/>
    </xf>
    <xf numFmtId="0" fontId="16" fillId="0" borderId="79" xfId="0" applyFont="1" applyBorder="1" applyAlignment="1">
      <alignment vertical="center" wrapText="1"/>
    </xf>
    <xf numFmtId="0" fontId="16" fillId="0" borderId="71" xfId="0" applyFont="1" applyBorder="1" applyAlignment="1">
      <alignment vertical="center" wrapText="1"/>
    </xf>
    <xf numFmtId="0" fontId="16" fillId="0" borderId="89" xfId="0" applyFont="1" applyBorder="1" applyAlignment="1">
      <alignment vertical="center" wrapText="1"/>
    </xf>
    <xf numFmtId="0" fontId="47" fillId="11" borderId="68" xfId="5" applyFont="1" applyFill="1" applyBorder="1" applyAlignment="1" applyProtection="1">
      <alignment horizontal="left" vertical="center" wrapText="1"/>
    </xf>
    <xf numFmtId="0" fontId="7" fillId="12" borderId="19" xfId="0" applyFont="1" applyFill="1" applyBorder="1" applyAlignment="1">
      <alignment vertical="center"/>
    </xf>
    <xf numFmtId="0" fontId="7" fillId="12" borderId="20" xfId="0" applyFont="1" applyFill="1" applyBorder="1" applyAlignment="1">
      <alignment vertical="center"/>
    </xf>
    <xf numFmtId="0" fontId="7" fillId="12" borderId="22" xfId="0" applyFont="1" applyFill="1" applyBorder="1" applyAlignment="1">
      <alignment vertical="center"/>
    </xf>
    <xf numFmtId="2" fontId="64" fillId="20" borderId="110" xfId="0" applyNumberFormat="1" applyFont="1" applyFill="1" applyBorder="1" applyAlignment="1">
      <alignment horizontal="left" vertical="center" wrapText="1"/>
    </xf>
    <xf numFmtId="2" fontId="64" fillId="20" borderId="111" xfId="0" applyNumberFormat="1" applyFont="1" applyFill="1" applyBorder="1" applyAlignment="1">
      <alignment horizontal="left" vertical="center" wrapText="1"/>
    </xf>
    <xf numFmtId="2" fontId="64" fillId="20" borderId="50" xfId="0" applyNumberFormat="1" applyFont="1" applyFill="1" applyBorder="1" applyAlignment="1">
      <alignment horizontal="left" vertical="center" wrapText="1"/>
    </xf>
    <xf numFmtId="0" fontId="16" fillId="11" borderId="142" xfId="0" applyFont="1" applyFill="1" applyBorder="1" applyAlignment="1">
      <alignment horizontal="center" vertical="center"/>
    </xf>
    <xf numFmtId="0" fontId="16" fillId="11" borderId="143" xfId="0" applyFont="1" applyFill="1" applyBorder="1" applyAlignment="1">
      <alignment horizontal="center" vertical="center"/>
    </xf>
    <xf numFmtId="0" fontId="16" fillId="11" borderId="51" xfId="0" applyFont="1" applyFill="1" applyBorder="1" applyAlignment="1">
      <alignment horizontal="center" vertical="center"/>
    </xf>
    <xf numFmtId="2" fontId="64" fillId="11" borderId="110" xfId="0" applyNumberFormat="1" applyFont="1" applyFill="1" applyBorder="1" applyAlignment="1">
      <alignment vertical="center"/>
    </xf>
    <xf numFmtId="0" fontId="64" fillId="11" borderId="111" xfId="0" applyFont="1" applyFill="1" applyBorder="1" applyAlignment="1">
      <alignment vertical="center"/>
    </xf>
    <xf numFmtId="0" fontId="64" fillId="11" borderId="50" xfId="0" applyFont="1" applyFill="1" applyBorder="1" applyAlignment="1">
      <alignment vertical="center"/>
    </xf>
    <xf numFmtId="3" fontId="16" fillId="11" borderId="142" xfId="0" applyNumberFormat="1" applyFont="1" applyFill="1" applyBorder="1" applyAlignment="1">
      <alignment horizontal="center" vertical="center"/>
    </xf>
    <xf numFmtId="3" fontId="16" fillId="11" borderId="143" xfId="0" applyNumberFormat="1" applyFont="1" applyFill="1" applyBorder="1" applyAlignment="1">
      <alignment horizontal="center" vertical="center"/>
    </xf>
    <xf numFmtId="3" fontId="16" fillId="11" borderId="51" xfId="0" applyNumberFormat="1" applyFont="1" applyFill="1" applyBorder="1" applyAlignment="1">
      <alignment horizontal="center" vertical="center"/>
    </xf>
    <xf numFmtId="175" fontId="39" fillId="11" borderId="111" xfId="0" applyNumberFormat="1" applyFont="1" applyFill="1" applyBorder="1" applyAlignment="1">
      <alignment horizontal="left" vertical="center" wrapText="1"/>
    </xf>
    <xf numFmtId="0" fontId="14" fillId="0" borderId="3" xfId="0" applyFont="1" applyBorder="1" applyAlignment="1">
      <alignment wrapText="1"/>
    </xf>
    <xf numFmtId="0" fontId="7" fillId="0" borderId="3" xfId="0" applyFont="1" applyBorder="1" applyAlignment="1">
      <alignment wrapText="1"/>
    </xf>
    <xf numFmtId="2" fontId="64" fillId="0" borderId="19" xfId="0" applyNumberFormat="1" applyFont="1" applyBorder="1" applyAlignment="1">
      <alignment horizontal="left" vertical="center" wrapText="1"/>
    </xf>
    <xf numFmtId="2" fontId="64" fillId="0" borderId="20" xfId="0" applyNumberFormat="1" applyFont="1" applyBorder="1" applyAlignment="1">
      <alignment horizontal="left" vertical="center" wrapText="1"/>
    </xf>
    <xf numFmtId="2" fontId="64" fillId="0" borderId="22" xfId="0" applyNumberFormat="1" applyFont="1" applyBorder="1" applyAlignment="1">
      <alignment horizontal="left" vertical="center" wrapText="1"/>
    </xf>
    <xf numFmtId="175" fontId="47" fillId="11" borderId="0" xfId="0" applyNumberFormat="1" applyFont="1" applyFill="1" applyAlignment="1">
      <alignment horizontal="left" vertical="center" wrapText="1"/>
    </xf>
    <xf numFmtId="0" fontId="14" fillId="0" borderId="3" xfId="0" applyFont="1" applyBorder="1" applyAlignment="1">
      <alignment horizontal="left" wrapText="1"/>
    </xf>
    <xf numFmtId="0" fontId="34" fillId="0" borderId="3" xfId="0" applyFont="1" applyBorder="1" applyAlignment="1">
      <alignment horizontal="left" wrapText="1"/>
    </xf>
    <xf numFmtId="2" fontId="64" fillId="0" borderId="23" xfId="0" applyNumberFormat="1" applyFont="1" applyBorder="1" applyAlignment="1">
      <alignment horizontal="left" vertical="center" wrapText="1"/>
    </xf>
    <xf numFmtId="2" fontId="64" fillId="0" borderId="24" xfId="0" applyNumberFormat="1" applyFont="1" applyBorder="1" applyAlignment="1">
      <alignment horizontal="left" vertical="center" wrapText="1"/>
    </xf>
    <xf numFmtId="2" fontId="64" fillId="0" borderId="25" xfId="0" applyNumberFormat="1" applyFont="1" applyBorder="1" applyAlignment="1">
      <alignment horizontal="left" vertical="center" wrapText="1"/>
    </xf>
    <xf numFmtId="2" fontId="64" fillId="0" borderId="28" xfId="0" applyNumberFormat="1" applyFont="1" applyBorder="1" applyAlignment="1">
      <alignment horizontal="left" vertical="center" wrapText="1"/>
    </xf>
    <xf numFmtId="2" fontId="64" fillId="0" borderId="3" xfId="0" applyNumberFormat="1" applyFont="1" applyBorder="1" applyAlignment="1">
      <alignment horizontal="left" vertical="center" wrapText="1"/>
    </xf>
    <xf numFmtId="2" fontId="64" fillId="0" borderId="29" xfId="0" applyNumberFormat="1" applyFont="1" applyBorder="1" applyAlignment="1">
      <alignment horizontal="left" vertical="center" wrapText="1"/>
    </xf>
    <xf numFmtId="175" fontId="48" fillId="11" borderId="0" xfId="0" applyNumberFormat="1" applyFont="1" applyFill="1" applyAlignment="1">
      <alignment horizontal="left" vertical="center" wrapText="1"/>
    </xf>
    <xf numFmtId="2" fontId="8" fillId="0" borderId="0" xfId="0" applyNumberFormat="1" applyFont="1" applyAlignment="1">
      <alignment vertical="center"/>
    </xf>
    <xf numFmtId="0" fontId="34" fillId="0" borderId="0" xfId="0" applyFont="1" applyAlignment="1">
      <alignment horizontal="left" vertical="center" wrapText="1"/>
    </xf>
    <xf numFmtId="0" fontId="16" fillId="0" borderId="142" xfId="0" applyFont="1" applyBorder="1" applyAlignment="1">
      <alignment horizontal="left" vertical="center" wrapText="1"/>
    </xf>
    <xf numFmtId="0" fontId="16" fillId="0" borderId="143" xfId="0" applyFont="1" applyBorder="1" applyAlignment="1">
      <alignment horizontal="left" vertical="center" wrapText="1"/>
    </xf>
    <xf numFmtId="0" fontId="16" fillId="0" borderId="45" xfId="0" applyFont="1" applyBorder="1" applyAlignment="1">
      <alignment horizontal="left" vertical="center" wrapText="1"/>
    </xf>
    <xf numFmtId="0" fontId="16" fillId="0" borderId="115" xfId="0" applyFont="1" applyBorder="1" applyAlignment="1">
      <alignment horizontal="left" vertical="center" wrapText="1"/>
    </xf>
    <xf numFmtId="0" fontId="16" fillId="0" borderId="116" xfId="0" applyFont="1" applyBorder="1" applyAlignment="1">
      <alignment horizontal="left" vertical="center" wrapText="1"/>
    </xf>
    <xf numFmtId="0" fontId="16" fillId="0" borderId="49" xfId="0" applyFont="1" applyBorder="1" applyAlignment="1">
      <alignment horizontal="left" vertical="center" wrapText="1"/>
    </xf>
    <xf numFmtId="0" fontId="16" fillId="11" borderId="142" xfId="0" applyFont="1" applyFill="1" applyBorder="1" applyAlignment="1">
      <alignment horizontal="left" vertical="center" wrapText="1"/>
    </xf>
    <xf numFmtId="0" fontId="16" fillId="11" borderId="45" xfId="0" applyFont="1" applyFill="1" applyBorder="1" applyAlignment="1">
      <alignment horizontal="left" vertical="center" wrapText="1"/>
    </xf>
    <xf numFmtId="0" fontId="16" fillId="11" borderId="110" xfId="0" applyFont="1" applyFill="1" applyBorder="1" applyAlignment="1">
      <alignment horizontal="left" vertical="center" wrapText="1"/>
    </xf>
    <xf numFmtId="0" fontId="16" fillId="11" borderId="111" xfId="0" applyFont="1" applyFill="1" applyBorder="1" applyAlignment="1">
      <alignment horizontal="left" vertical="center" wrapText="1"/>
    </xf>
    <xf numFmtId="0" fontId="16" fillId="11" borderId="41" xfId="0" applyFont="1" applyFill="1" applyBorder="1" applyAlignment="1">
      <alignment horizontal="left" vertical="center" wrapText="1"/>
    </xf>
    <xf numFmtId="0" fontId="7" fillId="11" borderId="23" xfId="0" applyFont="1" applyFill="1" applyBorder="1" applyAlignment="1">
      <alignment horizontal="center" vertical="center"/>
    </xf>
    <xf numFmtId="0" fontId="7" fillId="11" borderId="24" xfId="0" applyFont="1" applyFill="1" applyBorder="1" applyAlignment="1">
      <alignment horizontal="center" vertical="center"/>
    </xf>
    <xf numFmtId="0" fontId="7" fillId="11" borderId="61" xfId="0" applyFont="1" applyFill="1" applyBorder="1" applyAlignment="1">
      <alignment horizontal="center" vertical="center"/>
    </xf>
    <xf numFmtId="0" fontId="7" fillId="11" borderId="28" xfId="0" applyFont="1" applyFill="1" applyBorder="1" applyAlignment="1">
      <alignment horizontal="center" vertical="center"/>
    </xf>
    <xf numFmtId="0" fontId="7" fillId="11" borderId="3" xfId="0" applyFont="1" applyFill="1" applyBorder="1" applyAlignment="1">
      <alignment horizontal="center" vertical="center"/>
    </xf>
    <xf numFmtId="0" fontId="7" fillId="11" borderId="34" xfId="0" applyFont="1" applyFill="1" applyBorder="1" applyAlignment="1">
      <alignment horizontal="center" vertical="center"/>
    </xf>
    <xf numFmtId="10" fontId="7" fillId="11" borderId="12" xfId="0" applyNumberFormat="1" applyFont="1" applyFill="1" applyBorder="1" applyAlignment="1">
      <alignment horizontal="center" vertical="center" wrapText="1"/>
    </xf>
    <xf numFmtId="10" fontId="7" fillId="11" borderId="15" xfId="0" applyNumberFormat="1" applyFont="1" applyFill="1" applyBorder="1" applyAlignment="1">
      <alignment horizontal="center" vertical="center" wrapText="1"/>
    </xf>
    <xf numFmtId="0" fontId="7" fillId="20" borderId="23" xfId="0" applyFont="1" applyFill="1" applyBorder="1" applyAlignment="1">
      <alignment horizontal="center" vertical="center"/>
    </xf>
    <xf numFmtId="0" fontId="7" fillId="20" borderId="24" xfId="0" applyFont="1" applyFill="1" applyBorder="1" applyAlignment="1">
      <alignment horizontal="center" vertical="center"/>
    </xf>
    <xf numFmtId="0" fontId="7" fillId="20" borderId="61" xfId="0" applyFont="1" applyFill="1" applyBorder="1" applyAlignment="1">
      <alignment horizontal="center" vertical="center"/>
    </xf>
    <xf numFmtId="0" fontId="7" fillId="20" borderId="28" xfId="0" applyFont="1" applyFill="1" applyBorder="1" applyAlignment="1">
      <alignment horizontal="center" vertical="center"/>
    </xf>
    <xf numFmtId="0" fontId="7" fillId="20" borderId="3" xfId="0" applyFont="1" applyFill="1" applyBorder="1" applyAlignment="1">
      <alignment horizontal="center" vertical="center"/>
    </xf>
    <xf numFmtId="0" fontId="7" fillId="20" borderId="34" xfId="0" applyFont="1" applyFill="1" applyBorder="1" applyAlignment="1">
      <alignment horizontal="center" vertical="center"/>
    </xf>
    <xf numFmtId="10" fontId="7" fillId="20" borderId="12" xfId="0" applyNumberFormat="1" applyFont="1" applyFill="1" applyBorder="1" applyAlignment="1">
      <alignment horizontal="center" vertical="center" wrapText="1"/>
    </xf>
    <xf numFmtId="10" fontId="7" fillId="20" borderId="15" xfId="0" applyNumberFormat="1" applyFont="1" applyFill="1" applyBorder="1" applyAlignment="1">
      <alignment horizontal="center" vertical="center" wrapText="1"/>
    </xf>
    <xf numFmtId="0" fontId="16" fillId="0" borderId="110" xfId="0" applyFont="1" applyBorder="1" applyAlignment="1">
      <alignment horizontal="left" vertical="center" wrapText="1"/>
    </xf>
    <xf numFmtId="0" fontId="16" fillId="0" borderId="111" xfId="0" applyFont="1" applyBorder="1" applyAlignment="1">
      <alignment horizontal="left" vertical="center" wrapText="1"/>
    </xf>
    <xf numFmtId="0" fontId="16" fillId="0" borderId="41" xfId="0" applyFont="1" applyBorder="1" applyAlignment="1">
      <alignment horizontal="left" vertical="center" wrapText="1"/>
    </xf>
    <xf numFmtId="0" fontId="8" fillId="0" borderId="24" xfId="0" applyFont="1" applyBorder="1" applyAlignment="1">
      <alignment vertical="center"/>
    </xf>
    <xf numFmtId="0" fontId="16" fillId="9" borderId="170" xfId="0" applyFont="1" applyFill="1" applyBorder="1" applyAlignment="1">
      <alignment vertical="center" wrapText="1"/>
    </xf>
    <xf numFmtId="0" fontId="16" fillId="9" borderId="132" xfId="0" applyFont="1" applyFill="1" applyBorder="1" applyAlignment="1">
      <alignment vertical="center" wrapText="1"/>
    </xf>
    <xf numFmtId="0" fontId="16" fillId="9" borderId="171" xfId="0" applyFont="1" applyFill="1" applyBorder="1" applyAlignment="1">
      <alignment vertical="center" wrapText="1"/>
    </xf>
    <xf numFmtId="0" fontId="16" fillId="9" borderId="177" xfId="0" applyFont="1" applyFill="1" applyBorder="1" applyAlignment="1" applyProtection="1">
      <alignment vertical="center" wrapText="1"/>
      <protection locked="0"/>
    </xf>
    <xf numFmtId="0" fontId="16" fillId="9" borderId="178" xfId="0" applyFont="1" applyFill="1" applyBorder="1" applyAlignment="1" applyProtection="1">
      <alignment vertical="center" wrapText="1"/>
      <protection locked="0"/>
    </xf>
    <xf numFmtId="0" fontId="16" fillId="0" borderId="121" xfId="0" applyFont="1" applyBorder="1" applyAlignment="1" applyProtection="1">
      <alignment vertical="center" wrapText="1"/>
      <protection locked="0"/>
    </xf>
    <xf numFmtId="0" fontId="16" fillId="0" borderId="51" xfId="0" applyFont="1" applyBorder="1" applyAlignment="1" applyProtection="1">
      <alignment vertical="center" wrapText="1"/>
      <protection locked="0"/>
    </xf>
    <xf numFmtId="0" fontId="16" fillId="0" borderId="142" xfId="0" applyFont="1" applyBorder="1" applyAlignment="1" applyProtection="1">
      <alignment vertical="center" wrapText="1"/>
      <protection locked="0"/>
    </xf>
    <xf numFmtId="0" fontId="16" fillId="0" borderId="45" xfId="0" applyFont="1" applyBorder="1" applyAlignment="1" applyProtection="1">
      <alignment vertical="center" wrapText="1"/>
      <protection locked="0"/>
    </xf>
    <xf numFmtId="0" fontId="16" fillId="9" borderId="177" xfId="0" applyFont="1" applyFill="1" applyBorder="1" applyAlignment="1">
      <alignment vertical="center" wrapText="1"/>
    </xf>
    <xf numFmtId="0" fontId="16" fillId="9" borderId="178" xfId="0" applyFont="1" applyFill="1" applyBorder="1" applyAlignment="1">
      <alignment vertical="center" wrapText="1"/>
    </xf>
    <xf numFmtId="0" fontId="16" fillId="11" borderId="132" xfId="0" applyFont="1" applyFill="1" applyBorder="1" applyAlignment="1">
      <alignment vertical="center" wrapText="1"/>
    </xf>
    <xf numFmtId="0" fontId="47" fillId="11" borderId="143" xfId="0" applyFont="1" applyFill="1" applyBorder="1" applyAlignment="1">
      <alignment horizontal="left" vertical="center" wrapText="1"/>
    </xf>
    <xf numFmtId="0" fontId="52" fillId="11" borderId="0" xfId="5" applyNumberFormat="1" applyFont="1" applyFill="1" applyBorder="1" applyAlignment="1" applyProtection="1">
      <alignment horizontal="center" vertical="center"/>
    </xf>
    <xf numFmtId="0" fontId="39" fillId="11" borderId="116" xfId="0" applyFont="1" applyFill="1" applyBorder="1" applyAlignment="1">
      <alignment horizontal="center" vertical="center" wrapText="1"/>
    </xf>
    <xf numFmtId="0" fontId="47" fillId="11" borderId="0" xfId="5" applyNumberFormat="1" applyFont="1" applyFill="1" applyBorder="1" applyAlignment="1" applyProtection="1">
      <alignment horizontal="left" vertical="center"/>
    </xf>
    <xf numFmtId="0" fontId="7" fillId="20" borderId="16" xfId="0" applyFont="1" applyFill="1" applyBorder="1" applyAlignment="1">
      <alignment vertical="center" wrapText="1"/>
    </xf>
    <xf numFmtId="0" fontId="7" fillId="20" borderId="17" xfId="0" applyFont="1" applyFill="1" applyBorder="1" applyAlignment="1">
      <alignment vertical="center" wrapText="1"/>
    </xf>
    <xf numFmtId="0" fontId="7" fillId="20" borderId="147" xfId="0" applyFont="1" applyFill="1" applyBorder="1" applyAlignment="1">
      <alignment horizontal="center" vertical="center" wrapText="1"/>
    </xf>
    <xf numFmtId="0" fontId="16" fillId="9" borderId="81" xfId="0" applyFont="1" applyFill="1" applyBorder="1" applyAlignment="1">
      <alignment vertical="center" wrapText="1"/>
    </xf>
    <xf numFmtId="0" fontId="16" fillId="9" borderId="27" xfId="0" applyFont="1" applyFill="1" applyBorder="1" applyAlignment="1">
      <alignment vertical="center" wrapText="1"/>
    </xf>
    <xf numFmtId="0" fontId="16" fillId="9" borderId="26" xfId="0" applyFont="1" applyFill="1" applyBorder="1" applyAlignment="1">
      <alignment vertical="center" wrapText="1"/>
    </xf>
    <xf numFmtId="0" fontId="16" fillId="9" borderId="0" xfId="0" applyFont="1" applyFill="1" applyAlignment="1">
      <alignment vertical="center" wrapText="1"/>
    </xf>
    <xf numFmtId="0" fontId="16" fillId="9" borderId="168" xfId="0" applyFont="1" applyFill="1" applyBorder="1" applyAlignment="1">
      <alignment vertical="center" wrapText="1"/>
    </xf>
    <xf numFmtId="0" fontId="7" fillId="9" borderId="19" xfId="0" applyFont="1" applyFill="1" applyBorder="1" applyAlignment="1">
      <alignment vertical="center" wrapText="1"/>
    </xf>
    <xf numFmtId="0" fontId="7" fillId="9" borderId="20" xfId="0" applyFont="1" applyFill="1" applyBorder="1" applyAlignment="1">
      <alignment vertical="center" wrapText="1"/>
    </xf>
    <xf numFmtId="0" fontId="7" fillId="9" borderId="22" xfId="0" applyFont="1" applyFill="1" applyBorder="1" applyAlignment="1">
      <alignment vertical="center" wrapText="1"/>
    </xf>
    <xf numFmtId="0" fontId="8" fillId="11" borderId="26" xfId="0" applyFont="1" applyFill="1" applyBorder="1" applyAlignment="1">
      <alignment horizontal="center" vertical="center" wrapText="1"/>
    </xf>
    <xf numFmtId="0" fontId="8" fillId="11" borderId="0" xfId="0" applyFont="1" applyFill="1" applyAlignment="1">
      <alignment horizontal="center" vertical="center" wrapText="1"/>
    </xf>
    <xf numFmtId="0" fontId="7" fillId="20" borderId="65" xfId="0" applyFont="1" applyFill="1" applyBorder="1" applyAlignment="1">
      <alignment vertical="center" wrapText="1"/>
    </xf>
    <xf numFmtId="0" fontId="7" fillId="20" borderId="25" xfId="0" applyFont="1" applyFill="1" applyBorder="1" applyAlignment="1">
      <alignment vertical="center" wrapText="1"/>
    </xf>
    <xf numFmtId="0" fontId="7" fillId="20" borderId="64" xfId="0" applyFont="1" applyFill="1" applyBorder="1" applyAlignment="1">
      <alignment vertical="center" wrapText="1"/>
    </xf>
    <xf numFmtId="0" fontId="7" fillId="20" borderId="29" xfId="0" applyFont="1" applyFill="1" applyBorder="1" applyAlignment="1">
      <alignment vertical="center" wrapText="1"/>
    </xf>
    <xf numFmtId="0" fontId="8" fillId="20" borderId="15" xfId="0" applyFont="1" applyFill="1" applyBorder="1" applyAlignment="1">
      <alignment vertical="center" wrapText="1"/>
    </xf>
    <xf numFmtId="0" fontId="7" fillId="20" borderId="12" xfId="0" applyFont="1" applyFill="1" applyBorder="1" applyAlignment="1">
      <alignment vertical="center" wrapText="1"/>
    </xf>
    <xf numFmtId="0" fontId="8" fillId="20" borderId="14" xfId="0" applyFont="1" applyFill="1" applyBorder="1" applyAlignment="1">
      <alignment vertical="center" wrapText="1"/>
    </xf>
    <xf numFmtId="0" fontId="7" fillId="20" borderId="13" xfId="0" applyFont="1" applyFill="1" applyBorder="1" applyAlignment="1">
      <alignment vertical="center" wrapText="1"/>
    </xf>
    <xf numFmtId="0" fontId="16" fillId="0" borderId="120" xfId="0" applyFont="1" applyBorder="1" applyAlignment="1" applyProtection="1">
      <alignment vertical="center" wrapText="1"/>
      <protection locked="0"/>
    </xf>
    <xf numFmtId="0" fontId="16" fillId="0" borderId="41" xfId="0" applyFont="1" applyBorder="1" applyAlignment="1" applyProtection="1">
      <alignment vertical="center" wrapText="1"/>
      <protection locked="0"/>
    </xf>
    <xf numFmtId="0" fontId="16" fillId="0" borderId="50" xfId="0" applyFont="1" applyBorder="1" applyAlignment="1" applyProtection="1">
      <alignment vertical="center" wrapText="1"/>
      <protection locked="0"/>
    </xf>
    <xf numFmtId="0" fontId="16" fillId="0" borderId="110" xfId="0" applyFont="1" applyBorder="1" applyAlignment="1" applyProtection="1">
      <alignment vertical="center" wrapText="1"/>
      <protection locked="0"/>
    </xf>
    <xf numFmtId="0" fontId="16" fillId="0" borderId="115" xfId="0" applyFont="1" applyBorder="1" applyAlignment="1" applyProtection="1">
      <alignment vertical="center" wrapText="1"/>
      <protection locked="0"/>
    </xf>
    <xf numFmtId="0" fontId="16" fillId="0" borderId="49" xfId="0" applyFont="1" applyBorder="1" applyAlignment="1" applyProtection="1">
      <alignment vertical="center" wrapText="1"/>
      <protection locked="0"/>
    </xf>
    <xf numFmtId="0" fontId="16" fillId="0" borderId="122" xfId="0" applyFont="1" applyBorder="1" applyAlignment="1" applyProtection="1">
      <alignment vertical="center" wrapText="1"/>
      <protection locked="0"/>
    </xf>
    <xf numFmtId="0" fontId="16" fillId="0" borderId="116" xfId="0" applyFont="1" applyBorder="1" applyAlignment="1" applyProtection="1">
      <alignment vertical="center" wrapText="1"/>
      <protection locked="0"/>
    </xf>
    <xf numFmtId="0" fontId="16" fillId="0" borderId="52" xfId="0" applyFont="1" applyBorder="1" applyAlignment="1" applyProtection="1">
      <alignment vertical="center" wrapText="1"/>
      <protection locked="0"/>
    </xf>
    <xf numFmtId="0" fontId="7" fillId="20" borderId="24" xfId="0" applyFont="1" applyFill="1" applyBorder="1" applyAlignment="1">
      <alignment vertical="center" wrapText="1"/>
    </xf>
    <xf numFmtId="0" fontId="7" fillId="20" borderId="3" xfId="0" applyFont="1" applyFill="1" applyBorder="1" applyAlignment="1">
      <alignment vertical="center" wrapText="1"/>
    </xf>
    <xf numFmtId="0" fontId="16" fillId="0" borderId="143" xfId="0" applyFont="1" applyBorder="1" applyAlignment="1" applyProtection="1">
      <alignment vertical="center" wrapText="1"/>
      <protection locked="0"/>
    </xf>
    <xf numFmtId="0" fontId="16" fillId="0" borderId="111" xfId="0" applyFont="1" applyBorder="1" applyAlignment="1" applyProtection="1">
      <alignment vertical="center" wrapText="1"/>
      <protection locked="0"/>
    </xf>
    <xf numFmtId="0" fontId="7" fillId="0" borderId="79" xfId="0" applyFont="1" applyBorder="1" applyAlignment="1">
      <alignment vertical="center" wrapText="1"/>
    </xf>
    <xf numFmtId="0" fontId="7" fillId="0" borderId="71" xfId="0" applyFont="1" applyBorder="1" applyAlignment="1">
      <alignment vertical="center" wrapText="1"/>
    </xf>
    <xf numFmtId="0" fontId="7" fillId="0" borderId="89" xfId="0" applyFont="1" applyBorder="1" applyAlignment="1">
      <alignment vertical="center" wrapText="1"/>
    </xf>
    <xf numFmtId="0" fontId="20" fillId="11" borderId="26" xfId="0" applyFont="1" applyFill="1" applyBorder="1" applyAlignment="1">
      <alignment vertical="center"/>
    </xf>
    <xf numFmtId="0" fontId="20" fillId="11" borderId="0" xfId="0" applyFont="1" applyFill="1" applyAlignment="1">
      <alignment vertical="center"/>
    </xf>
    <xf numFmtId="0" fontId="39" fillId="11" borderId="68" xfId="0" applyFont="1" applyFill="1" applyBorder="1" applyAlignment="1">
      <alignment horizontal="center" vertical="center" wrapText="1"/>
    </xf>
    <xf numFmtId="0" fontId="7" fillId="9" borderId="30" xfId="0" applyFont="1" applyFill="1" applyBorder="1" applyAlignment="1">
      <alignment vertical="center" wrapText="1"/>
    </xf>
    <xf numFmtId="0" fontId="7" fillId="20" borderId="61" xfId="0" applyFont="1" applyFill="1" applyBorder="1" applyAlignment="1">
      <alignment vertical="center" wrapText="1"/>
    </xf>
    <xf numFmtId="0" fontId="8" fillId="20" borderId="64" xfId="0" applyFont="1" applyFill="1" applyBorder="1" applyAlignment="1">
      <alignment vertical="center" wrapText="1"/>
    </xf>
    <xf numFmtId="0" fontId="8" fillId="20" borderId="34" xfId="0" applyFont="1" applyFill="1" applyBorder="1" applyAlignment="1">
      <alignment vertical="center" wrapText="1"/>
    </xf>
    <xf numFmtId="49" fontId="16" fillId="0" borderId="145" xfId="0" applyNumberFormat="1" applyFont="1" applyBorder="1" applyAlignment="1" applyProtection="1">
      <alignment vertical="center" wrapText="1"/>
      <protection locked="0"/>
    </xf>
    <xf numFmtId="49" fontId="16" fillId="0" borderId="146" xfId="0" applyNumberFormat="1" applyFont="1" applyBorder="1" applyAlignment="1" applyProtection="1">
      <alignment vertical="center" wrapText="1"/>
      <protection locked="0"/>
    </xf>
    <xf numFmtId="49" fontId="16" fillId="0" borderId="68" xfId="0" applyNumberFormat="1" applyFont="1" applyBorder="1" applyAlignment="1" applyProtection="1">
      <alignment vertical="center" wrapText="1"/>
      <protection locked="0"/>
    </xf>
    <xf numFmtId="49" fontId="16" fillId="0" borderId="94" xfId="0" applyNumberFormat="1" applyFont="1" applyBorder="1" applyAlignment="1" applyProtection="1">
      <alignment vertical="center" wrapText="1"/>
      <protection locked="0"/>
    </xf>
    <xf numFmtId="49" fontId="16" fillId="0" borderId="121" xfId="0" applyNumberFormat="1" applyFont="1" applyBorder="1" applyAlignment="1" applyProtection="1">
      <alignment vertical="center" wrapText="1"/>
      <protection locked="0"/>
    </xf>
    <xf numFmtId="49" fontId="16" fillId="0" borderId="45" xfId="0" applyNumberFormat="1" applyFont="1" applyBorder="1" applyAlignment="1" applyProtection="1">
      <alignment vertical="center" wrapText="1"/>
      <protection locked="0"/>
    </xf>
    <xf numFmtId="49" fontId="16" fillId="0" borderId="143" xfId="0" applyNumberFormat="1" applyFont="1" applyBorder="1" applyAlignment="1" applyProtection="1">
      <alignment vertical="center" wrapText="1"/>
      <protection locked="0"/>
    </xf>
    <xf numFmtId="49" fontId="16" fillId="0" borderId="51" xfId="0" applyNumberFormat="1" applyFont="1" applyBorder="1" applyAlignment="1" applyProtection="1">
      <alignment vertical="center" wrapText="1"/>
      <protection locked="0"/>
    </xf>
    <xf numFmtId="49" fontId="16" fillId="0" borderId="122" xfId="0" applyNumberFormat="1" applyFont="1" applyBorder="1" applyAlignment="1" applyProtection="1">
      <alignment vertical="center" wrapText="1"/>
      <protection locked="0"/>
    </xf>
    <xf numFmtId="49" fontId="16" fillId="0" borderId="49" xfId="0" applyNumberFormat="1" applyFont="1" applyBorder="1" applyAlignment="1" applyProtection="1">
      <alignment vertical="center" wrapText="1"/>
      <protection locked="0"/>
    </xf>
    <xf numFmtId="49" fontId="16" fillId="0" borderId="116" xfId="0" applyNumberFormat="1" applyFont="1" applyBorder="1" applyAlignment="1" applyProtection="1">
      <alignment vertical="center" wrapText="1"/>
      <protection locked="0"/>
    </xf>
    <xf numFmtId="49" fontId="16" fillId="0" borderId="52" xfId="0" applyNumberFormat="1" applyFont="1" applyBorder="1" applyAlignment="1" applyProtection="1">
      <alignment vertical="center" wrapText="1"/>
      <protection locked="0"/>
    </xf>
    <xf numFmtId="0" fontId="7" fillId="0" borderId="152" xfId="0" applyFont="1" applyBorder="1" applyAlignment="1">
      <alignment vertical="center" wrapText="1"/>
    </xf>
    <xf numFmtId="49" fontId="16" fillId="0" borderId="153" xfId="0" applyNumberFormat="1" applyFont="1" applyBorder="1" applyAlignment="1">
      <alignment vertical="center" wrapText="1"/>
    </xf>
    <xf numFmtId="49" fontId="16" fillId="0" borderId="66" xfId="0" applyNumberFormat="1" applyFont="1" applyBorder="1" applyAlignment="1">
      <alignment vertical="center" wrapText="1"/>
    </xf>
    <xf numFmtId="49" fontId="16" fillId="0" borderId="95" xfId="0" applyNumberFormat="1" applyFont="1" applyBorder="1" applyAlignment="1">
      <alignment vertical="center" wrapText="1"/>
    </xf>
    <xf numFmtId="0" fontId="7" fillId="0" borderId="149" xfId="0" applyFont="1" applyBorder="1" applyAlignment="1">
      <alignment vertical="center" wrapText="1"/>
    </xf>
    <xf numFmtId="0" fontId="7" fillId="0" borderId="68" xfId="0" applyFont="1" applyBorder="1" applyAlignment="1">
      <alignment vertical="center" wrapText="1"/>
    </xf>
    <xf numFmtId="0" fontId="7" fillId="0" borderId="94" xfId="0" applyFont="1" applyBorder="1" applyAlignment="1">
      <alignment vertical="center" wrapText="1"/>
    </xf>
    <xf numFmtId="49" fontId="0" fillId="0" borderId="112" xfId="0" applyNumberFormat="1" applyBorder="1" applyAlignment="1" applyProtection="1">
      <alignment horizontal="left" vertical="top" wrapText="1"/>
      <protection locked="0"/>
    </xf>
    <xf numFmtId="49" fontId="0" fillId="0" borderId="113" xfId="0" applyNumberFormat="1" applyBorder="1" applyAlignment="1" applyProtection="1">
      <alignment horizontal="left" vertical="top" wrapText="1"/>
      <protection locked="0"/>
    </xf>
    <xf numFmtId="49" fontId="0" fillId="0" borderId="114" xfId="0" applyNumberFormat="1" applyBorder="1" applyAlignment="1" applyProtection="1">
      <alignment horizontal="left" vertical="top" wrapText="1"/>
      <protection locked="0"/>
    </xf>
    <xf numFmtId="0" fontId="42" fillId="0" borderId="112" xfId="0" applyFont="1" applyBorder="1" applyAlignment="1">
      <alignment horizontal="center" vertical="center" wrapText="1"/>
    </xf>
    <xf numFmtId="0" fontId="42" fillId="0" borderId="113" xfId="0" applyFont="1" applyBorder="1" applyAlignment="1">
      <alignment horizontal="center" vertical="center" wrapText="1"/>
    </xf>
    <xf numFmtId="0" fontId="42" fillId="0" borderId="155" xfId="0" applyFont="1" applyBorder="1" applyAlignment="1">
      <alignment horizontal="center" vertical="center" wrapText="1"/>
    </xf>
    <xf numFmtId="49" fontId="16" fillId="0" borderId="149" xfId="0" applyNumberFormat="1" applyFont="1" applyBorder="1" applyAlignment="1" applyProtection="1">
      <alignment vertical="center" wrapText="1"/>
      <protection locked="0"/>
    </xf>
    <xf numFmtId="49" fontId="16" fillId="0" borderId="142" xfId="0" applyNumberFormat="1" applyFont="1" applyBorder="1" applyAlignment="1" applyProtection="1">
      <alignment vertical="center" wrapText="1"/>
      <protection locked="0"/>
    </xf>
    <xf numFmtId="49" fontId="16" fillId="0" borderId="115" xfId="0" applyNumberFormat="1" applyFont="1" applyBorder="1" applyAlignment="1" applyProtection="1">
      <alignment vertical="center" wrapText="1"/>
      <protection locked="0"/>
    </xf>
    <xf numFmtId="0" fontId="7" fillId="0" borderId="150" xfId="0" applyFont="1" applyBorder="1" applyAlignment="1">
      <alignment vertical="center" wrapText="1"/>
    </xf>
    <xf numFmtId="49" fontId="16" fillId="0" borderId="151" xfId="0" applyNumberFormat="1" applyFont="1" applyBorder="1" applyAlignment="1">
      <alignment vertical="center" wrapText="1"/>
    </xf>
    <xf numFmtId="49" fontId="16" fillId="0" borderId="67" xfId="0" applyNumberFormat="1" applyFont="1" applyBorder="1" applyAlignment="1">
      <alignment vertical="center" wrapText="1"/>
    </xf>
    <xf numFmtId="49" fontId="16" fillId="0" borderId="87" xfId="0" applyNumberFormat="1" applyFont="1" applyBorder="1" applyAlignment="1">
      <alignment vertical="center" wrapText="1"/>
    </xf>
    <xf numFmtId="175" fontId="47" fillId="11" borderId="143" xfId="0" applyNumberFormat="1" applyFont="1" applyFill="1" applyBorder="1" applyAlignment="1">
      <alignment horizontal="left" vertical="center"/>
    </xf>
    <xf numFmtId="0" fontId="0" fillId="0" borderId="121" xfId="0" applyBorder="1" applyAlignment="1" applyProtection="1">
      <alignment vertical="center" wrapText="1"/>
      <protection locked="0"/>
    </xf>
    <xf numFmtId="0" fontId="0" fillId="0" borderId="51" xfId="0" applyBorder="1" applyAlignment="1" applyProtection="1">
      <alignment vertical="center" wrapText="1"/>
      <protection locked="0"/>
    </xf>
    <xf numFmtId="0" fontId="16" fillId="0" borderId="142" xfId="0" applyFont="1" applyBorder="1" applyAlignment="1">
      <alignment vertical="center" wrapText="1"/>
    </xf>
    <xf numFmtId="0" fontId="16" fillId="0" borderId="143" xfId="0" applyFont="1" applyBorder="1" applyAlignment="1">
      <alignment vertical="center" wrapText="1"/>
    </xf>
    <xf numFmtId="0" fontId="16" fillId="0" borderId="45" xfId="0" applyFont="1" applyBorder="1" applyAlignment="1">
      <alignment vertical="center" wrapText="1"/>
    </xf>
    <xf numFmtId="0" fontId="0" fillId="0" borderId="43" xfId="0" applyBorder="1" applyAlignment="1" applyProtection="1">
      <alignment vertical="center" wrapText="1"/>
      <protection locked="0"/>
    </xf>
    <xf numFmtId="0" fontId="0" fillId="0" borderId="36" xfId="0" applyBorder="1" applyAlignment="1" applyProtection="1">
      <alignment vertical="center" wrapText="1"/>
      <protection locked="0"/>
    </xf>
    <xf numFmtId="0" fontId="16" fillId="0" borderId="42" xfId="0" applyFont="1" applyBorder="1" applyAlignment="1">
      <alignment vertical="center" wrapText="1"/>
    </xf>
    <xf numFmtId="0" fontId="16" fillId="0" borderId="43" xfId="0" applyFont="1" applyBorder="1" applyAlignment="1">
      <alignment vertical="center" wrapText="1"/>
    </xf>
    <xf numFmtId="0" fontId="16" fillId="0" borderId="38" xfId="0" applyFont="1" applyBorder="1" applyAlignment="1">
      <alignment vertical="center" wrapText="1"/>
    </xf>
    <xf numFmtId="0" fontId="16" fillId="0" borderId="39" xfId="0" applyFont="1" applyBorder="1" applyAlignment="1">
      <alignment vertical="center" wrapText="1"/>
    </xf>
    <xf numFmtId="0" fontId="0" fillId="0" borderId="39" xfId="0" applyBorder="1" applyAlignment="1" applyProtection="1">
      <alignment vertical="center" wrapText="1"/>
      <protection locked="0"/>
    </xf>
    <xf numFmtId="0" fontId="0" fillId="0" borderId="35" xfId="0" applyBorder="1" applyAlignment="1" applyProtection="1">
      <alignment vertical="center" wrapText="1"/>
      <protection locked="0"/>
    </xf>
    <xf numFmtId="0" fontId="16" fillId="0" borderId="46" xfId="0" applyFont="1" applyBorder="1" applyAlignment="1">
      <alignment vertical="center" wrapText="1"/>
    </xf>
    <xf numFmtId="0" fontId="16" fillId="0" borderId="47" xfId="0" applyFont="1" applyBorder="1" applyAlignment="1">
      <alignment vertical="center" wrapText="1"/>
    </xf>
    <xf numFmtId="0" fontId="0" fillId="0" borderId="47" xfId="0" applyBorder="1" applyAlignment="1" applyProtection="1">
      <alignment vertical="center" wrapText="1"/>
      <protection locked="0"/>
    </xf>
    <xf numFmtId="0" fontId="0" fillId="0" borderId="37" xfId="0" applyBorder="1" applyAlignment="1" applyProtection="1">
      <alignment vertical="center" wrapText="1"/>
      <protection locked="0"/>
    </xf>
    <xf numFmtId="0" fontId="16" fillId="0" borderId="19" xfId="0" applyFont="1" applyBorder="1" applyAlignment="1">
      <alignment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0" fontId="16" fillId="0" borderId="13" xfId="0" applyFont="1" applyBorder="1" applyAlignment="1">
      <alignment vertical="center" wrapText="1"/>
    </xf>
    <xf numFmtId="0" fontId="16" fillId="0" borderId="12" xfId="0" applyFont="1" applyBorder="1" applyAlignment="1">
      <alignment vertical="center" wrapText="1"/>
    </xf>
    <xf numFmtId="0" fontId="36" fillId="6" borderId="3" xfId="0" applyFont="1" applyFill="1" applyBorder="1" applyAlignment="1">
      <alignment horizontal="center" vertical="center"/>
    </xf>
    <xf numFmtId="0" fontId="51" fillId="3" borderId="19" xfId="0" applyFont="1" applyFill="1" applyBorder="1" applyAlignment="1">
      <alignment horizontal="center" vertical="center"/>
    </xf>
    <xf numFmtId="0" fontId="51" fillId="3" borderId="20" xfId="0" applyFont="1" applyFill="1" applyBorder="1" applyAlignment="1">
      <alignment horizontal="center" vertical="center"/>
    </xf>
    <xf numFmtId="0" fontId="51" fillId="3" borderId="22" xfId="0" applyFont="1" applyFill="1" applyBorder="1" applyAlignment="1">
      <alignment horizontal="center" vertical="center"/>
    </xf>
    <xf numFmtId="0" fontId="16" fillId="9" borderId="23" xfId="0" applyFont="1" applyFill="1" applyBorder="1" applyAlignment="1">
      <alignment horizontal="center" vertical="center" wrapText="1"/>
    </xf>
    <xf numFmtId="0" fontId="16" fillId="9" borderId="24" xfId="0" applyFont="1" applyFill="1" applyBorder="1" applyAlignment="1">
      <alignment horizontal="center" vertical="center" wrapText="1"/>
    </xf>
    <xf numFmtId="0" fontId="16" fillId="9" borderId="25" xfId="0" applyFont="1" applyFill="1" applyBorder="1" applyAlignment="1">
      <alignment horizontal="center" vertical="center" wrapText="1"/>
    </xf>
    <xf numFmtId="0" fontId="16" fillId="9" borderId="26" xfId="0" applyFont="1" applyFill="1" applyBorder="1" applyAlignment="1">
      <alignment horizontal="center" vertical="center" wrapText="1"/>
    </xf>
    <xf numFmtId="0" fontId="16" fillId="9" borderId="0" xfId="0" applyFont="1" applyFill="1" applyAlignment="1">
      <alignment horizontal="center" vertical="center" wrapText="1"/>
    </xf>
    <xf numFmtId="0" fontId="16" fillId="9" borderId="27" xfId="0" applyFont="1" applyFill="1" applyBorder="1" applyAlignment="1">
      <alignment horizontal="center" vertical="center" wrapText="1"/>
    </xf>
    <xf numFmtId="0" fontId="16" fillId="9" borderId="28"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6" fillId="9" borderId="29" xfId="0" applyFont="1" applyFill="1" applyBorder="1" applyAlignment="1">
      <alignment horizontal="center" vertical="center" wrapText="1"/>
    </xf>
    <xf numFmtId="0" fontId="23" fillId="6" borderId="3" xfId="1" applyFont="1" applyFill="1" applyBorder="1" applyAlignment="1">
      <alignment horizontal="center" vertical="center"/>
    </xf>
    <xf numFmtId="0" fontId="23" fillId="6" borderId="0" xfId="1" applyFont="1" applyFill="1" applyAlignment="1">
      <alignment horizontal="center" vertical="center"/>
    </xf>
    <xf numFmtId="0" fontId="16" fillId="6" borderId="6" xfId="0" applyFont="1" applyFill="1" applyBorder="1" applyAlignment="1">
      <alignment horizontal="center" vertical="center" wrapText="1"/>
    </xf>
    <xf numFmtId="0" fontId="16" fillId="6" borderId="133" xfId="0" applyFont="1" applyFill="1" applyBorder="1" applyAlignment="1">
      <alignment horizontal="center" vertical="center" wrapText="1"/>
    </xf>
    <xf numFmtId="0" fontId="16" fillId="6" borderId="139" xfId="0" applyFont="1" applyFill="1" applyBorder="1" applyAlignment="1">
      <alignment horizontal="center" vertical="center" wrapText="1"/>
    </xf>
    <xf numFmtId="0" fontId="16" fillId="6" borderId="141"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67" xfId="0" applyFont="1" applyFill="1" applyBorder="1" applyAlignment="1">
      <alignment horizontal="center" vertical="center" wrapText="1"/>
    </xf>
    <xf numFmtId="0" fontId="16" fillId="6" borderId="87" xfId="0" applyFont="1" applyFill="1" applyBorder="1" applyAlignment="1">
      <alignment horizontal="center" vertical="center" wrapText="1"/>
    </xf>
  </cellXfs>
  <cellStyles count="20">
    <cellStyle name="Comma 2" xfId="2" xr:uid="{00000000-0005-0000-0000-000000000000}"/>
    <cellStyle name="Currency 2" xfId="3" xr:uid="{00000000-0005-0000-0000-000001000000}"/>
    <cellStyle name="Followed Hyperlink" xfId="4" builtinId="9" customBuiltin="1"/>
    <cellStyle name="Hyperlink" xfId="5" builtinId="8"/>
    <cellStyle name="Normal" xfId="0" builtinId="0"/>
    <cellStyle name="Normal 2" xfId="6" xr:uid="{00000000-0005-0000-0000-000005000000}"/>
    <cellStyle name="Normal 2 2" xfId="10" xr:uid="{00000000-0005-0000-0000-000006000000}"/>
    <cellStyle name="Normal 2 3" xfId="19" xr:uid="{00000000-0005-0000-0000-000007000000}"/>
    <cellStyle name="Normal 3" xfId="1" xr:uid="{00000000-0005-0000-0000-000008000000}"/>
    <cellStyle name="Normal 3 2" xfId="12" xr:uid="{00000000-0005-0000-0000-000009000000}"/>
    <cellStyle name="Normal 4" xfId="13" xr:uid="{00000000-0005-0000-0000-00000A000000}"/>
    <cellStyle name="Normal 4 2" xfId="11" xr:uid="{00000000-0005-0000-0000-00000B000000}"/>
    <cellStyle name="Normal 4 2 2" xfId="14" xr:uid="{00000000-0005-0000-0000-00000C000000}"/>
    <cellStyle name="Normal 4 3" xfId="15" xr:uid="{00000000-0005-0000-0000-00000D000000}"/>
    <cellStyle name="Normal 5" xfId="16" xr:uid="{00000000-0005-0000-0000-00000E000000}"/>
    <cellStyle name="Normal 5 2" xfId="17" xr:uid="{00000000-0005-0000-0000-00000F000000}"/>
    <cellStyle name="Normal 6" xfId="18" xr:uid="{00000000-0005-0000-0000-000010000000}"/>
    <cellStyle name="Percent" xfId="9" builtinId="5"/>
    <cellStyle name="Percent 2" xfId="8" xr:uid="{00000000-0005-0000-0000-000012000000}"/>
    <cellStyle name="Percent 3" xfId="7" xr:uid="{00000000-0005-0000-0000-000013000000}"/>
  </cellStyles>
  <dxfs count="367">
    <dxf>
      <numFmt numFmtId="184" formatCode="\-"/>
    </dxf>
    <dxf>
      <numFmt numFmtId="184" formatCode="\-"/>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font>
      <fill>
        <patternFill>
          <bgColor theme="9" tint="-0.24994659260841701"/>
        </patternFill>
      </fill>
    </dxf>
    <dxf>
      <font>
        <b/>
        <i val="0"/>
      </font>
      <fill>
        <patternFill>
          <bgColor theme="9" tint="-0.24994659260841701"/>
        </patternFill>
      </fill>
    </dxf>
    <dxf>
      <font>
        <b/>
        <i val="0"/>
      </font>
      <fill>
        <patternFill>
          <bgColor theme="9" tint="-0.24994659260841701"/>
        </patternFill>
      </fill>
    </dxf>
    <dxf>
      <font>
        <b/>
        <i val="0"/>
      </font>
      <fill>
        <patternFill>
          <bgColor theme="9" tint="-0.24994659260841701"/>
        </patternFill>
      </fill>
    </dxf>
    <dxf>
      <font>
        <b/>
        <i val="0"/>
        <color auto="1"/>
      </font>
      <fill>
        <patternFill>
          <bgColor rgb="FF92D050"/>
        </patternFill>
      </fill>
    </dxf>
    <dxf>
      <font>
        <b/>
        <i val="0"/>
      </font>
      <fill>
        <patternFill>
          <bgColor theme="9" tint="-0.24994659260841701"/>
        </patternFill>
      </fill>
    </dxf>
    <dxf>
      <font>
        <b/>
        <i val="0"/>
        <color auto="1"/>
      </font>
      <fill>
        <patternFill>
          <bgColor rgb="FF92D050"/>
        </patternFill>
      </fill>
    </dxf>
    <dxf>
      <font>
        <color theme="1" tint="0.499984740745262"/>
      </font>
      <fill>
        <patternFill patternType="solid">
          <bgColor theme="1" tint="0.499984740745262"/>
        </patternFill>
      </fill>
    </dxf>
    <dxf>
      <fill>
        <patternFill>
          <bgColor rgb="FFFFFF00"/>
        </patternFill>
      </fill>
    </dxf>
    <dxf>
      <font>
        <color theme="1" tint="0.499984740745262"/>
      </font>
      <fill>
        <patternFill patternType="solid">
          <bgColor theme="1" tint="0.499984740745262"/>
        </patternFill>
      </fill>
    </dxf>
    <dxf>
      <fill>
        <patternFill>
          <bgColor rgb="FFFFFF00"/>
        </patternFill>
      </fill>
    </dxf>
    <dxf>
      <fill>
        <patternFill patternType="darkUp">
          <bgColor theme="0"/>
        </patternFill>
      </fill>
    </dxf>
    <dxf>
      <fill>
        <patternFill>
          <bgColor rgb="FFFFFF00"/>
        </patternFill>
      </fill>
    </dxf>
    <dxf>
      <fill>
        <patternFill>
          <bgColor rgb="FFFFFF00"/>
        </patternFill>
      </fill>
    </dxf>
    <dxf>
      <fill>
        <patternFill patternType="darkUp">
          <bgColor theme="0"/>
        </patternFill>
      </fill>
    </dxf>
    <dxf>
      <fill>
        <patternFill>
          <bgColor rgb="FFFFFF00"/>
        </patternFill>
      </fill>
    </dxf>
    <dxf>
      <numFmt numFmtId="184" formatCode="\-"/>
    </dxf>
    <dxf>
      <numFmt numFmtId="3" formatCode="#,##0"/>
    </dxf>
    <dxf>
      <numFmt numFmtId="15" formatCode="0.00E+00"/>
    </dxf>
    <dxf>
      <numFmt numFmtId="3" formatCode="#,##0"/>
    </dxf>
    <dxf>
      <numFmt numFmtId="15" formatCode="0.00E+00"/>
    </dxf>
    <dxf>
      <numFmt numFmtId="185" formatCode="\A##\-##\-###\-###"/>
    </dxf>
    <dxf>
      <font>
        <color theme="0"/>
      </font>
    </dxf>
    <dxf>
      <numFmt numFmtId="15" formatCode="0.00E+00"/>
    </dxf>
    <dxf>
      <numFmt numFmtId="3" formatCode="#,##0"/>
    </dxf>
    <dxf>
      <numFmt numFmtId="15" formatCode="0.00E+00"/>
    </dxf>
    <dxf>
      <numFmt numFmtId="184" formatCode="\-"/>
    </dxf>
    <dxf>
      <fill>
        <patternFill>
          <bgColor theme="0" tint="-0.34998626667073579"/>
        </patternFill>
      </fill>
    </dxf>
    <dxf>
      <fill>
        <patternFill>
          <bgColor rgb="FFFFC000"/>
        </patternFill>
      </fill>
    </dxf>
    <dxf>
      <fill>
        <patternFill>
          <bgColor rgb="FFFFFF00"/>
        </patternFill>
      </fill>
    </dxf>
    <dxf>
      <numFmt numFmtId="186"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86" formatCode="0.0E+00"/>
    </dxf>
    <dxf>
      <numFmt numFmtId="3" formatCode="#,##0"/>
    </dxf>
    <dxf>
      <numFmt numFmtId="15" formatCode="0.00E+00"/>
    </dxf>
    <dxf>
      <numFmt numFmtId="184" formatCode="\-"/>
    </dxf>
    <dxf>
      <fill>
        <patternFill>
          <bgColor rgb="FFFFC000"/>
        </patternFill>
      </fill>
    </dxf>
    <dxf>
      <fill>
        <patternFill>
          <bgColor rgb="FFFFFF00"/>
        </patternFill>
      </fill>
    </dxf>
    <dxf>
      <fill>
        <patternFill>
          <bgColor theme="0" tint="-0.34998626667073579"/>
        </patternFill>
      </fill>
    </dxf>
    <dxf>
      <numFmt numFmtId="15" formatCode="0.00E+00"/>
    </dxf>
    <dxf>
      <numFmt numFmtId="3" formatCode="#,##0"/>
    </dxf>
    <dxf>
      <numFmt numFmtId="15" formatCode="0.00E+00"/>
    </dxf>
    <dxf>
      <numFmt numFmtId="184" formatCode="\-"/>
    </dxf>
    <dxf>
      <fill>
        <patternFill>
          <bgColor rgb="FFFFFF00"/>
        </patternFill>
      </fill>
    </dxf>
    <dxf>
      <fill>
        <patternFill>
          <bgColor rgb="FFFFFF00"/>
        </patternFill>
      </fill>
    </dxf>
    <dxf>
      <fill>
        <patternFill>
          <bgColor rgb="FFFFFF00"/>
        </patternFill>
      </fill>
    </dxf>
    <dxf>
      <numFmt numFmtId="185" formatCode="\A##\-##\-###\-###"/>
    </dxf>
    <dxf>
      <fill>
        <patternFill>
          <bgColor rgb="FFFFFF00"/>
        </patternFill>
      </fill>
    </dxf>
    <dxf>
      <fill>
        <patternFill patternType="darkUp">
          <bgColor theme="0"/>
        </patternFill>
      </fill>
    </dxf>
    <dxf>
      <fill>
        <patternFill>
          <bgColor rgb="FFFFFF00"/>
        </patternFill>
      </fill>
    </dxf>
    <dxf>
      <fill>
        <patternFill patternType="darkUp">
          <bgColor theme="0"/>
        </patternFill>
      </fill>
    </dxf>
    <dxf>
      <fill>
        <patternFill patternType="darkUp">
          <bgColor theme="0"/>
        </patternFill>
      </fill>
    </dxf>
    <dxf>
      <fill>
        <patternFill patternType="darkUp">
          <bgColor theme="0"/>
        </patternFill>
      </fill>
    </dxf>
    <dxf>
      <fill>
        <patternFill>
          <bgColor rgb="FFFFFF00"/>
        </patternFill>
      </fill>
    </dxf>
    <dxf>
      <fill>
        <patternFill>
          <bgColor rgb="FFFFFF00"/>
        </patternFill>
      </fill>
    </dxf>
    <dxf>
      <fill>
        <patternFill>
          <bgColor rgb="FFFFC000"/>
        </patternFill>
      </fill>
    </dxf>
    <dxf>
      <fill>
        <patternFill patternType="darkUp">
          <bgColor theme="0"/>
        </patternFill>
      </fill>
    </dxf>
    <dxf>
      <fill>
        <patternFill>
          <bgColor rgb="FFFFFF00"/>
        </patternFill>
      </fill>
    </dxf>
    <dxf>
      <fill>
        <patternFill>
          <bgColor rgb="FFFFC000"/>
        </patternFill>
      </fill>
    </dxf>
    <dxf>
      <fill>
        <patternFill patternType="darkUp">
          <bgColor theme="0"/>
        </patternFill>
      </fill>
    </dxf>
    <dxf>
      <fill>
        <patternFill>
          <bgColor rgb="FFFFFF00"/>
        </patternFill>
      </fill>
    </dxf>
    <dxf>
      <numFmt numFmtId="3" formatCode="#,##0"/>
    </dxf>
    <dxf>
      <numFmt numFmtId="3" formatCode="#,##0"/>
    </dxf>
    <dxf>
      <numFmt numFmtId="15" formatCode="0.00E+00"/>
    </dxf>
    <dxf>
      <numFmt numFmtId="15" formatCode="0.00E+00"/>
    </dxf>
    <dxf>
      <numFmt numFmtId="3" formatCode="#,##0"/>
    </dxf>
    <dxf>
      <numFmt numFmtId="15" formatCode="0.00E+00"/>
    </dxf>
    <dxf>
      <fill>
        <patternFill>
          <bgColor rgb="FFFFFF00"/>
        </patternFill>
      </fill>
    </dxf>
    <dxf>
      <numFmt numFmtId="3" formatCode="#,##0"/>
    </dxf>
    <dxf>
      <numFmt numFmtId="15" formatCode="0.00E+00"/>
    </dxf>
    <dxf>
      <fill>
        <patternFill>
          <bgColor rgb="FFFFFF00"/>
        </patternFill>
      </fill>
    </dxf>
    <dxf>
      <numFmt numFmtId="185" formatCode="\A##\-##\-###\-###"/>
    </dxf>
    <dxf>
      <numFmt numFmtId="185" formatCode="\A##\-##\-###\-###"/>
    </dxf>
    <dxf>
      <numFmt numFmtId="185" formatCode="\A##\-##\-###\-###"/>
    </dxf>
    <dxf>
      <font>
        <color theme="0"/>
      </font>
      <fill>
        <patternFill>
          <bgColor theme="0"/>
        </patternFill>
      </fill>
    </dxf>
    <dxf>
      <fill>
        <patternFill>
          <bgColor rgb="FFFFC000"/>
        </patternFill>
      </fill>
    </dxf>
    <dxf>
      <fill>
        <patternFill>
          <bgColor rgb="FFFFC000"/>
        </patternFill>
      </fill>
    </dxf>
    <dxf>
      <font>
        <b/>
        <i val="0"/>
      </font>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theme="0"/>
      </font>
    </dxf>
    <dxf>
      <font>
        <color theme="0"/>
      </font>
    </dxf>
    <dxf>
      <fill>
        <patternFill>
          <bgColor rgb="FFFFFF00"/>
        </patternFill>
      </fill>
    </dxf>
    <dxf>
      <font>
        <b/>
        <i val="0"/>
      </font>
      <fill>
        <patternFill>
          <bgColor theme="9" tint="-0.24994659260841701"/>
        </patternFill>
      </fill>
    </dxf>
    <dxf>
      <font>
        <b/>
        <i val="0"/>
        <color auto="1"/>
      </font>
      <fill>
        <patternFill>
          <bgColor rgb="FF92D050"/>
        </patternFill>
      </fill>
    </dxf>
    <dxf>
      <font>
        <color theme="1" tint="0.499984740745262"/>
      </font>
      <fill>
        <patternFill>
          <bgColor theme="1" tint="0.499984740745262"/>
        </patternFill>
      </fill>
    </dxf>
    <dxf>
      <fill>
        <patternFill>
          <bgColor rgb="FFFFC000"/>
        </patternFill>
      </fill>
    </dxf>
    <dxf>
      <font>
        <color theme="1" tint="0.499984740745262"/>
      </font>
      <fill>
        <patternFill>
          <bgColor theme="1" tint="0.499984740745262"/>
        </patternFill>
      </fill>
    </dxf>
    <dxf>
      <fill>
        <patternFill>
          <bgColor rgb="FFFFFF00"/>
        </patternFill>
      </fill>
    </dxf>
    <dxf>
      <fill>
        <patternFill>
          <bgColor rgb="FFFFC000"/>
        </patternFill>
      </fill>
    </dxf>
    <dxf>
      <fill>
        <patternFill>
          <bgColor rgb="FFFFFF00"/>
        </patternFill>
      </fill>
    </dxf>
    <dxf>
      <fill>
        <patternFill>
          <bgColor theme="1"/>
        </patternFill>
      </fill>
    </dxf>
    <dxf>
      <fill>
        <patternFill>
          <bgColor theme="1"/>
        </patternFill>
      </fill>
    </dxf>
    <dxf>
      <fill>
        <patternFill>
          <bgColor rgb="FFFFC000"/>
        </patternFill>
      </fill>
    </dxf>
    <dxf>
      <fill>
        <patternFill>
          <bgColor rgb="FFFFFF00"/>
        </patternFill>
      </fill>
    </dxf>
    <dxf>
      <numFmt numFmtId="184" formatCode="\-"/>
    </dxf>
    <dxf>
      <numFmt numFmtId="184" formatCode="\-"/>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ont>
        <color theme="0" tint="-0.14996795556505021"/>
      </font>
      <fill>
        <patternFill>
          <bgColor theme="0" tint="-0.14996795556505021"/>
        </patternFill>
      </fill>
      <border>
        <right/>
        <top/>
        <bottom/>
        <vertical/>
        <horizontal/>
      </border>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numFmt numFmtId="15" formatCode="0.00E+00"/>
    </dxf>
    <dxf>
      <numFmt numFmtId="177" formatCode="#,##0.0000"/>
    </dxf>
    <dxf>
      <numFmt numFmtId="184" formatCode="\-"/>
    </dxf>
    <dxf>
      <numFmt numFmtId="3" formatCode="#,##0"/>
    </dxf>
    <dxf>
      <font>
        <color theme="0" tint="-0.14996795556505021"/>
      </font>
      <fill>
        <patternFill>
          <bgColor theme="0" tint="-0.14996795556505021"/>
        </patternFill>
      </fill>
      <border>
        <left/>
        <right/>
        <vertical/>
        <horizontal/>
      </border>
    </dxf>
    <dxf>
      <font>
        <color theme="0" tint="-0.14996795556505021"/>
      </font>
      <fill>
        <patternFill>
          <bgColor theme="0" tint="-0.14996795556505021"/>
        </patternFill>
      </fill>
      <border>
        <left/>
        <right/>
        <vertical/>
        <horizontal/>
      </border>
    </dxf>
    <dxf>
      <fill>
        <patternFill>
          <bgColor rgb="FFFFFF00"/>
        </patternFill>
      </fill>
    </dxf>
    <dxf>
      <numFmt numFmtId="15" formatCode="0.00E+00"/>
    </dxf>
    <dxf>
      <numFmt numFmtId="176" formatCode="0.0000"/>
    </dxf>
    <dxf>
      <numFmt numFmtId="184" formatCode="\-"/>
    </dxf>
    <dxf>
      <numFmt numFmtId="3" formatCode="#,##0"/>
    </dxf>
    <dxf>
      <numFmt numFmtId="185" formatCode="\A##\-##\-###\-###"/>
    </dxf>
    <dxf>
      <font>
        <color theme="0"/>
      </font>
      <fill>
        <patternFill>
          <bgColor theme="0"/>
        </patternFill>
      </fill>
    </dxf>
    <dxf>
      <font>
        <color theme="0" tint="-0.14996795556505021"/>
      </font>
      <fill>
        <patternFill>
          <bgColor theme="0" tint="-0.14996795556505021"/>
        </patternFill>
      </fill>
      <border>
        <left/>
        <right/>
        <top/>
        <bottom/>
        <vertical/>
        <horizontal/>
      </border>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FF00"/>
        </patternFill>
      </fill>
    </dxf>
    <dxf>
      <font>
        <color theme="0"/>
      </font>
      <fill>
        <patternFill>
          <bgColor rgb="FFC00000"/>
        </patternFill>
      </fill>
    </dxf>
    <dxf>
      <fill>
        <patternFill>
          <bgColor rgb="FFFFFF00"/>
        </patternFill>
      </fill>
    </dxf>
    <dxf>
      <fill>
        <patternFill patternType="darkUp">
          <bgColor theme="0"/>
        </patternFill>
      </fill>
    </dxf>
    <dxf>
      <fill>
        <patternFill patternType="darkUp">
          <bgColor theme="0"/>
        </patternFill>
      </fill>
    </dxf>
    <dxf>
      <fill>
        <patternFill>
          <bgColor rgb="FFFFC000"/>
        </patternFill>
      </fill>
    </dxf>
    <dxf>
      <fill>
        <patternFill>
          <bgColor rgb="FFFFC000"/>
        </patternFill>
      </fill>
    </dxf>
    <dxf>
      <fill>
        <patternFill>
          <bgColor rgb="FFFFC000"/>
        </patternFill>
      </fill>
    </dxf>
    <dxf>
      <fill>
        <patternFill>
          <bgColor rgb="FFFFFF00"/>
        </patternFill>
      </fill>
    </dxf>
    <dxf>
      <font>
        <color theme="0"/>
      </font>
      <fill>
        <patternFill>
          <bgColor rgb="FFC00000"/>
        </patternFill>
      </fill>
    </dxf>
    <dxf>
      <fill>
        <patternFill>
          <bgColor rgb="FFFFFF00"/>
        </patternFill>
      </fill>
    </dxf>
    <dxf>
      <fill>
        <patternFill>
          <bgColor rgb="FFFFFF00"/>
        </patternFill>
      </fill>
    </dxf>
    <dxf>
      <font>
        <color theme="0"/>
      </font>
      <fill>
        <patternFill>
          <bgColor theme="9" tint="-0.24994659260841701"/>
        </patternFill>
      </fill>
    </dxf>
    <dxf>
      <font>
        <color theme="0"/>
      </font>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92D05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numFmt numFmtId="185" formatCode="\A##\-##\-###\-###"/>
    </dxf>
    <dxf>
      <numFmt numFmtId="185" formatCode="\A##\-##\-###\-###"/>
    </dxf>
    <dxf>
      <fill>
        <patternFill>
          <bgColor rgb="FFFFFF00"/>
        </patternFill>
      </fill>
    </dxf>
    <dxf>
      <fill>
        <patternFill>
          <bgColor rgb="FFFFFF00"/>
        </patternFill>
      </fill>
    </dxf>
    <dxf>
      <fill>
        <patternFill>
          <bgColor rgb="FFFFFF00"/>
        </patternFill>
      </fill>
    </dxf>
    <dxf>
      <font>
        <color theme="0"/>
      </font>
      <fill>
        <patternFill>
          <bgColor theme="0"/>
        </patternFill>
      </fill>
    </dxf>
    <dxf>
      <font>
        <color theme="0" tint="-0.14996795556505021"/>
      </font>
      <fill>
        <patternFill>
          <bgColor theme="0" tint="-0.14996795556505021"/>
        </patternFill>
      </fill>
      <border>
        <left/>
        <right/>
        <top/>
        <bottom/>
      </border>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theme="0"/>
        </patternFill>
      </fill>
      <border>
        <left style="thin">
          <color auto="1"/>
        </left>
        <right style="thin">
          <color auto="1"/>
        </right>
        <top style="thin">
          <color auto="1"/>
        </top>
        <bottom style="thin">
          <color auto="1"/>
        </bottom>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ont>
        <color auto="1"/>
      </font>
      <fill>
        <patternFill patternType="darkUp"/>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darkUp"/>
      </fill>
    </dxf>
    <dxf>
      <fill>
        <patternFill patternType="dark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S$13"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fmlaLink="$J$12" lockText="1"/>
</file>

<file path=xl/ctrlProps/ctrlProp101.xml><?xml version="1.0" encoding="utf-8"?>
<formControlPr xmlns="http://schemas.microsoft.com/office/spreadsheetml/2009/9/main" objectType="CheckBox" fmlaLink="$I$15" lockText="1"/>
</file>

<file path=xl/ctrlProps/ctrlProp102.xml><?xml version="1.0" encoding="utf-8"?>
<formControlPr xmlns="http://schemas.microsoft.com/office/spreadsheetml/2009/9/main" objectType="CheckBox" fmlaLink="$J$15" lockText="1"/>
</file>

<file path=xl/ctrlProps/ctrlProp103.xml><?xml version="1.0" encoding="utf-8"?>
<formControlPr xmlns="http://schemas.microsoft.com/office/spreadsheetml/2009/9/main" objectType="CheckBox" fmlaLink="$I$17" lockText="1"/>
</file>

<file path=xl/ctrlProps/ctrlProp104.xml><?xml version="1.0" encoding="utf-8"?>
<formControlPr xmlns="http://schemas.microsoft.com/office/spreadsheetml/2009/9/main" objectType="CheckBox" fmlaLink="$J$17" lockText="1"/>
</file>

<file path=xl/ctrlProps/ctrlProp105.xml><?xml version="1.0" encoding="utf-8"?>
<formControlPr xmlns="http://schemas.microsoft.com/office/spreadsheetml/2009/9/main" objectType="CheckBox" fmlaLink="$I$18" lockText="1"/>
</file>

<file path=xl/ctrlProps/ctrlProp106.xml><?xml version="1.0" encoding="utf-8"?>
<formControlPr xmlns="http://schemas.microsoft.com/office/spreadsheetml/2009/9/main" objectType="CheckBox" fmlaLink="$J$18" lockText="1"/>
</file>

<file path=xl/ctrlProps/ctrlProp107.xml><?xml version="1.0" encoding="utf-8"?>
<formControlPr xmlns="http://schemas.microsoft.com/office/spreadsheetml/2009/9/main" objectType="CheckBox" fmlaLink="$I$19" lockText="1"/>
</file>

<file path=xl/ctrlProps/ctrlProp108.xml><?xml version="1.0" encoding="utf-8"?>
<formControlPr xmlns="http://schemas.microsoft.com/office/spreadsheetml/2009/9/main" objectType="CheckBox" fmlaLink="$J$19" lockText="1"/>
</file>

<file path=xl/ctrlProps/ctrlProp109.xml><?xml version="1.0" encoding="utf-8"?>
<formControlPr xmlns="http://schemas.microsoft.com/office/spreadsheetml/2009/9/main" objectType="CheckBox" fmlaLink="$I$20"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fmlaLink="$J$20" lockText="1"/>
</file>

<file path=xl/ctrlProps/ctrlProp111.xml><?xml version="1.0" encoding="utf-8"?>
<formControlPr xmlns="http://schemas.microsoft.com/office/spreadsheetml/2009/9/main" objectType="CheckBox" fmlaLink="$I$21" lockText="1"/>
</file>

<file path=xl/ctrlProps/ctrlProp112.xml><?xml version="1.0" encoding="utf-8"?>
<formControlPr xmlns="http://schemas.microsoft.com/office/spreadsheetml/2009/9/main" objectType="CheckBox" fmlaLink="$J$21" lockText="1"/>
</file>

<file path=xl/ctrlProps/ctrlProp113.xml><?xml version="1.0" encoding="utf-8"?>
<formControlPr xmlns="http://schemas.microsoft.com/office/spreadsheetml/2009/9/main" objectType="CheckBox" fmlaLink="$I$14" lockText="1"/>
</file>

<file path=xl/ctrlProps/ctrlProp114.xml><?xml version="1.0" encoding="utf-8"?>
<formControlPr xmlns="http://schemas.microsoft.com/office/spreadsheetml/2009/9/main" objectType="CheckBox" fmlaLink="$J$14" lockText="1"/>
</file>

<file path=xl/ctrlProps/ctrlProp115.xml><?xml version="1.0" encoding="utf-8"?>
<formControlPr xmlns="http://schemas.microsoft.com/office/spreadsheetml/2009/9/main" objectType="CheckBox" fmlaLink="$I$16" lockText="1"/>
</file>

<file path=xl/ctrlProps/ctrlProp116.xml><?xml version="1.0" encoding="utf-8"?>
<formControlPr xmlns="http://schemas.microsoft.com/office/spreadsheetml/2009/9/main" objectType="CheckBox" fmlaLink="$J$16" lockText="1"/>
</file>

<file path=xl/ctrlProps/ctrlProp117.xml><?xml version="1.0" encoding="utf-8"?>
<formControlPr xmlns="http://schemas.microsoft.com/office/spreadsheetml/2009/9/main" objectType="CheckBox" fmlaLink="$M$11" lockText="1"/>
</file>

<file path=xl/ctrlProps/ctrlProp118.xml><?xml version="1.0" encoding="utf-8"?>
<formControlPr xmlns="http://schemas.microsoft.com/office/spreadsheetml/2009/9/main" objectType="CheckBox" fmlaLink="$N$11" lockText="1"/>
</file>

<file path=xl/ctrlProps/ctrlProp119.xml><?xml version="1.0" encoding="utf-8"?>
<formControlPr xmlns="http://schemas.microsoft.com/office/spreadsheetml/2009/9/main" objectType="CheckBox" fmlaLink="$M$27"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fmlaLink="$N$27" lockText="1"/>
</file>

<file path=xl/ctrlProps/ctrlProp121.xml><?xml version="1.0" encoding="utf-8"?>
<formControlPr xmlns="http://schemas.microsoft.com/office/spreadsheetml/2009/9/main" objectType="CheckBox" fmlaLink="$M$5" lockText="1"/>
</file>

<file path=xl/ctrlProps/ctrlProp122.xml><?xml version="1.0" encoding="utf-8"?>
<formControlPr xmlns="http://schemas.microsoft.com/office/spreadsheetml/2009/9/main" objectType="CheckBox" fmlaLink="$N$5" lockText="1"/>
</file>

<file path=xl/ctrlProps/ctrlProp123.xml><?xml version="1.0" encoding="utf-8"?>
<formControlPr xmlns="http://schemas.microsoft.com/office/spreadsheetml/2009/9/main" objectType="CheckBox" fmlaLink="$M$6" lockText="1"/>
</file>

<file path=xl/ctrlProps/ctrlProp124.xml><?xml version="1.0" encoding="utf-8"?>
<formControlPr xmlns="http://schemas.microsoft.com/office/spreadsheetml/2009/9/main" objectType="CheckBox" fmlaLink="$N$6" lockText="1"/>
</file>

<file path=xl/ctrlProps/ctrlProp125.xml><?xml version="1.0" encoding="utf-8"?>
<formControlPr xmlns="http://schemas.microsoft.com/office/spreadsheetml/2009/9/main" objectType="CheckBox" fmlaLink="$M$16" lockText="1"/>
</file>

<file path=xl/ctrlProps/ctrlProp126.xml><?xml version="1.0" encoding="utf-8"?>
<formControlPr xmlns="http://schemas.microsoft.com/office/spreadsheetml/2009/9/main" objectType="CheckBox" fmlaLink="$N$16" lockText="1"/>
</file>

<file path=xl/ctrlProps/ctrlProp127.xml><?xml version="1.0" encoding="utf-8"?>
<formControlPr xmlns="http://schemas.microsoft.com/office/spreadsheetml/2009/9/main" objectType="CheckBox" fmlaLink="$M$21" lockText="1"/>
</file>

<file path=xl/ctrlProps/ctrlProp128.xml><?xml version="1.0" encoding="utf-8"?>
<formControlPr xmlns="http://schemas.microsoft.com/office/spreadsheetml/2009/9/main" objectType="CheckBox" fmlaLink="$N$21" lockText="1"/>
</file>

<file path=xl/ctrlProps/ctrlProp129.xml><?xml version="1.0" encoding="utf-8"?>
<formControlPr xmlns="http://schemas.microsoft.com/office/spreadsheetml/2009/9/main" objectType="CheckBox" fmlaLink="$Q$22"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fmlaLink="$R$22" lockText="1"/>
</file>

<file path=xl/ctrlProps/ctrlProp131.xml><?xml version="1.0" encoding="utf-8"?>
<formControlPr xmlns="http://schemas.microsoft.com/office/spreadsheetml/2009/9/main" objectType="CheckBox" fmlaLink="$Q$27" lockText="1"/>
</file>

<file path=xl/ctrlProps/ctrlProp132.xml><?xml version="1.0" encoding="utf-8"?>
<formControlPr xmlns="http://schemas.microsoft.com/office/spreadsheetml/2009/9/main" objectType="CheckBox" fmlaLink="$R$27" lockText="1"/>
</file>

<file path=xl/ctrlProps/ctrlProp133.xml><?xml version="1.0" encoding="utf-8"?>
<formControlPr xmlns="http://schemas.microsoft.com/office/spreadsheetml/2009/9/main" objectType="CheckBox" fmlaLink="$N$25" lockText="1"/>
</file>

<file path=xl/ctrlProps/ctrlProp134.xml><?xml version="1.0" encoding="utf-8"?>
<formControlPr xmlns="http://schemas.microsoft.com/office/spreadsheetml/2009/9/main" objectType="CheckBox" fmlaLink="$O$25" lockText="1"/>
</file>

<file path=xl/ctrlProps/ctrlProp135.xml><?xml version="1.0" encoding="utf-8"?>
<formControlPr xmlns="http://schemas.microsoft.com/office/spreadsheetml/2009/9/main" objectType="CheckBox" fmlaLink="$N$26" lockText="1"/>
</file>

<file path=xl/ctrlProps/ctrlProp136.xml><?xml version="1.0" encoding="utf-8"?>
<formControlPr xmlns="http://schemas.microsoft.com/office/spreadsheetml/2009/9/main" objectType="CheckBox" fmlaLink="$O$26" lockText="1"/>
</file>

<file path=xl/ctrlProps/ctrlProp137.xml><?xml version="1.0" encoding="utf-8"?>
<formControlPr xmlns="http://schemas.microsoft.com/office/spreadsheetml/2009/9/main" objectType="CheckBox" fmlaLink="$N$27" lockText="1"/>
</file>

<file path=xl/ctrlProps/ctrlProp138.xml><?xml version="1.0" encoding="utf-8"?>
<formControlPr xmlns="http://schemas.microsoft.com/office/spreadsheetml/2009/9/main" objectType="CheckBox" fmlaLink="$O$27" lockText="1"/>
</file>

<file path=xl/ctrlProps/ctrlProp139.xml><?xml version="1.0" encoding="utf-8"?>
<formControlPr xmlns="http://schemas.microsoft.com/office/spreadsheetml/2009/9/main" objectType="CheckBox" fmlaLink="$N$28"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fmlaLink="$O$28" lockText="1"/>
</file>

<file path=xl/ctrlProps/ctrlProp141.xml><?xml version="1.0" encoding="utf-8"?>
<formControlPr xmlns="http://schemas.microsoft.com/office/spreadsheetml/2009/9/main" objectType="CheckBox" fmlaLink="$N$29" lockText="1"/>
</file>

<file path=xl/ctrlProps/ctrlProp142.xml><?xml version="1.0" encoding="utf-8"?>
<formControlPr xmlns="http://schemas.microsoft.com/office/spreadsheetml/2009/9/main" objectType="CheckBox" fmlaLink="$O$29" lockText="1"/>
</file>

<file path=xl/ctrlProps/ctrlProp143.xml><?xml version="1.0" encoding="utf-8"?>
<formControlPr xmlns="http://schemas.microsoft.com/office/spreadsheetml/2009/9/main" objectType="CheckBox" fmlaLink="$N$30" lockText="1"/>
</file>

<file path=xl/ctrlProps/ctrlProp144.xml><?xml version="1.0" encoding="utf-8"?>
<formControlPr xmlns="http://schemas.microsoft.com/office/spreadsheetml/2009/9/main" objectType="CheckBox" fmlaLink="$O$30" lockText="1"/>
</file>

<file path=xl/ctrlProps/ctrlProp145.xml><?xml version="1.0" encoding="utf-8"?>
<formControlPr xmlns="http://schemas.microsoft.com/office/spreadsheetml/2009/9/main" objectType="CheckBox" fmlaLink="#REF!" lockText="1"/>
</file>

<file path=xl/ctrlProps/ctrlProp146.xml><?xml version="1.0" encoding="utf-8"?>
<formControlPr xmlns="http://schemas.microsoft.com/office/spreadsheetml/2009/9/main" objectType="CheckBox" fmlaLink="#REF!" lockText="1"/>
</file>

<file path=xl/ctrlProps/ctrlProp147.xml><?xml version="1.0" encoding="utf-8"?>
<formControlPr xmlns="http://schemas.microsoft.com/office/spreadsheetml/2009/9/main" objectType="CheckBox" fmlaLink="$N$31" lockText="1"/>
</file>

<file path=xl/ctrlProps/ctrlProp148.xml><?xml version="1.0" encoding="utf-8"?>
<formControlPr xmlns="http://schemas.microsoft.com/office/spreadsheetml/2009/9/main" objectType="CheckBox" fmlaLink="$O$31" lockText="1"/>
</file>

<file path=xl/ctrlProps/ctrlProp149.xml><?xml version="1.0" encoding="utf-8"?>
<formControlPr xmlns="http://schemas.microsoft.com/office/spreadsheetml/2009/9/main" objectType="CheckBox" fmlaLink="$N$32"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fmlaLink="$O$32" lockText="1"/>
</file>

<file path=xl/ctrlProps/ctrlProp151.xml><?xml version="1.0" encoding="utf-8"?>
<formControlPr xmlns="http://schemas.microsoft.com/office/spreadsheetml/2009/9/main" objectType="CheckBox" fmlaLink="$N$33" lockText="1"/>
</file>

<file path=xl/ctrlProps/ctrlProp152.xml><?xml version="1.0" encoding="utf-8"?>
<formControlPr xmlns="http://schemas.microsoft.com/office/spreadsheetml/2009/9/main" objectType="CheckBox" fmlaLink="$O$33" lockText="1"/>
</file>

<file path=xl/ctrlProps/ctrlProp153.xml><?xml version="1.0" encoding="utf-8"?>
<formControlPr xmlns="http://schemas.microsoft.com/office/spreadsheetml/2009/9/main" objectType="CheckBox" fmlaLink="$N$34" lockText="1"/>
</file>

<file path=xl/ctrlProps/ctrlProp154.xml><?xml version="1.0" encoding="utf-8"?>
<formControlPr xmlns="http://schemas.microsoft.com/office/spreadsheetml/2009/9/main" objectType="CheckBox" fmlaLink="$O$34" lockText="1"/>
</file>

<file path=xl/ctrlProps/ctrlProp155.xml><?xml version="1.0" encoding="utf-8"?>
<formControlPr xmlns="http://schemas.microsoft.com/office/spreadsheetml/2009/9/main" objectType="CheckBox" fmlaLink="$N$35" lockText="1"/>
</file>

<file path=xl/ctrlProps/ctrlProp156.xml><?xml version="1.0" encoding="utf-8"?>
<formControlPr xmlns="http://schemas.microsoft.com/office/spreadsheetml/2009/9/main" objectType="CheckBox" fmlaLink="$O$35" lockText="1"/>
</file>

<file path=xl/ctrlProps/ctrlProp157.xml><?xml version="1.0" encoding="utf-8"?>
<formControlPr xmlns="http://schemas.microsoft.com/office/spreadsheetml/2009/9/main" objectType="CheckBox" fmlaLink="$N$36" lockText="1"/>
</file>

<file path=xl/ctrlProps/ctrlProp158.xml><?xml version="1.0" encoding="utf-8"?>
<formControlPr xmlns="http://schemas.microsoft.com/office/spreadsheetml/2009/9/main" objectType="CheckBox" fmlaLink="$O$36" lockText="1"/>
</file>

<file path=xl/ctrlProps/ctrlProp159.xml><?xml version="1.0" encoding="utf-8"?>
<formControlPr xmlns="http://schemas.microsoft.com/office/spreadsheetml/2009/9/main" objectType="CheckBox" fmlaLink="$N$37" lockText="1"/>
</file>

<file path=xl/ctrlProps/ctrlProp16.xml><?xml version="1.0" encoding="utf-8"?>
<formControlPr xmlns="http://schemas.microsoft.com/office/spreadsheetml/2009/9/main" objectType="CheckBox" checked="Checked" lockText="1"/>
</file>

<file path=xl/ctrlProps/ctrlProp160.xml><?xml version="1.0" encoding="utf-8"?>
<formControlPr xmlns="http://schemas.microsoft.com/office/spreadsheetml/2009/9/main" objectType="CheckBox" fmlaLink="$O$37" lockText="1"/>
</file>

<file path=xl/ctrlProps/ctrlProp161.xml><?xml version="1.0" encoding="utf-8"?>
<formControlPr xmlns="http://schemas.microsoft.com/office/spreadsheetml/2009/9/main" objectType="CheckBox" fmlaLink="$N$38" lockText="1"/>
</file>

<file path=xl/ctrlProps/ctrlProp162.xml><?xml version="1.0" encoding="utf-8"?>
<formControlPr xmlns="http://schemas.microsoft.com/office/spreadsheetml/2009/9/main" objectType="CheckBox" fmlaLink="$O$38" lockText="1"/>
</file>

<file path=xl/ctrlProps/ctrlProp163.xml><?xml version="1.0" encoding="utf-8"?>
<formControlPr xmlns="http://schemas.microsoft.com/office/spreadsheetml/2009/9/main" objectType="CheckBox" fmlaLink="$N$39" lockText="1"/>
</file>

<file path=xl/ctrlProps/ctrlProp164.xml><?xml version="1.0" encoding="utf-8"?>
<formControlPr xmlns="http://schemas.microsoft.com/office/spreadsheetml/2009/9/main" objectType="CheckBox" fmlaLink="$O$39" lockText="1"/>
</file>

<file path=xl/ctrlProps/ctrlProp165.xml><?xml version="1.0" encoding="utf-8"?>
<formControlPr xmlns="http://schemas.microsoft.com/office/spreadsheetml/2009/9/main" objectType="CheckBox" fmlaLink="$M$12" lockText="1"/>
</file>

<file path=xl/ctrlProps/ctrlProp166.xml><?xml version="1.0" encoding="utf-8"?>
<formControlPr xmlns="http://schemas.microsoft.com/office/spreadsheetml/2009/9/main" objectType="CheckBox" fmlaLink="$N$12" lockText="1"/>
</file>

<file path=xl/ctrlProps/ctrlProp167.xml><?xml version="1.0" encoding="utf-8"?>
<formControlPr xmlns="http://schemas.microsoft.com/office/spreadsheetml/2009/9/main" objectType="CheckBox" fmlaLink="$N$14" lockText="1"/>
</file>

<file path=xl/ctrlProps/ctrlProp168.xml><?xml version="1.0" encoding="utf-8"?>
<formControlPr xmlns="http://schemas.microsoft.com/office/spreadsheetml/2009/9/main" objectType="CheckBox" fmlaLink="$O$14" lockText="1"/>
</file>

<file path=xl/ctrlProps/ctrlProp169.xml><?xml version="1.0" encoding="utf-8"?>
<formControlPr xmlns="http://schemas.microsoft.com/office/spreadsheetml/2009/9/main" objectType="CheckBox" fmlaLink="$N$9" lockText="1"/>
</file>

<file path=xl/ctrlProps/ctrlProp17.xml><?xml version="1.0" encoding="utf-8"?>
<formControlPr xmlns="http://schemas.microsoft.com/office/spreadsheetml/2009/9/main" objectType="CheckBox" fmlaLink="$Q$24" lockText="1"/>
</file>

<file path=xl/ctrlProps/ctrlProp170.xml><?xml version="1.0" encoding="utf-8"?>
<formControlPr xmlns="http://schemas.microsoft.com/office/spreadsheetml/2009/9/main" objectType="CheckBox" fmlaLink="$O$9" lockText="1"/>
</file>

<file path=xl/ctrlProps/ctrlProp171.xml><?xml version="1.0" encoding="utf-8"?>
<formControlPr xmlns="http://schemas.microsoft.com/office/spreadsheetml/2009/9/main" objectType="CheckBox" fmlaLink="$S$9" lockText="1"/>
</file>

<file path=xl/ctrlProps/ctrlProp172.xml><?xml version="1.0" encoding="utf-8"?>
<formControlPr xmlns="http://schemas.microsoft.com/office/spreadsheetml/2009/9/main" objectType="CheckBox" fmlaLink="$T$9" lockText="1"/>
</file>

<file path=xl/ctrlProps/ctrlProp173.xml><?xml version="1.0" encoding="utf-8"?>
<formControlPr xmlns="http://schemas.microsoft.com/office/spreadsheetml/2009/9/main" objectType="CheckBox" fmlaLink="$N$11" lockText="1"/>
</file>

<file path=xl/ctrlProps/ctrlProp174.xml><?xml version="1.0" encoding="utf-8"?>
<formControlPr xmlns="http://schemas.microsoft.com/office/spreadsheetml/2009/9/main" objectType="CheckBox" fmlaLink="$O$11" lockText="1"/>
</file>

<file path=xl/ctrlProps/ctrlProp175.xml><?xml version="1.0" encoding="utf-8"?>
<formControlPr xmlns="http://schemas.microsoft.com/office/spreadsheetml/2009/9/main" objectType="CheckBox" fmlaLink="$N$15" lockText="1"/>
</file>

<file path=xl/ctrlProps/ctrlProp176.xml><?xml version="1.0" encoding="utf-8"?>
<formControlPr xmlns="http://schemas.microsoft.com/office/spreadsheetml/2009/9/main" objectType="CheckBox" fmlaLink="$O$15" lockText="1"/>
</file>

<file path=xl/ctrlProps/ctrlProp177.xml><?xml version="1.0" encoding="utf-8"?>
<formControlPr xmlns="http://schemas.microsoft.com/office/spreadsheetml/2009/9/main" objectType="CheckBox" fmlaLink="$N$16" lockText="1"/>
</file>

<file path=xl/ctrlProps/ctrlProp178.xml><?xml version="1.0" encoding="utf-8"?>
<formControlPr xmlns="http://schemas.microsoft.com/office/spreadsheetml/2009/9/main" objectType="CheckBox" fmlaLink="$O$16" lockText="1"/>
</file>

<file path=xl/ctrlProps/ctrlProp179.xml><?xml version="1.0" encoding="utf-8"?>
<formControlPr xmlns="http://schemas.microsoft.com/office/spreadsheetml/2009/9/main" objectType="CheckBox" fmlaLink="$N$17" lockText="1"/>
</file>

<file path=xl/ctrlProps/ctrlProp18.xml><?xml version="1.0" encoding="utf-8"?>
<formControlPr xmlns="http://schemas.microsoft.com/office/spreadsheetml/2009/9/main" objectType="CheckBox" fmlaLink="$R$24" lockText="1"/>
</file>

<file path=xl/ctrlProps/ctrlProp180.xml><?xml version="1.0" encoding="utf-8"?>
<formControlPr xmlns="http://schemas.microsoft.com/office/spreadsheetml/2009/9/main" objectType="CheckBox" fmlaLink="$O$17" lockText="1"/>
</file>

<file path=xl/ctrlProps/ctrlProp181.xml><?xml version="1.0" encoding="utf-8"?>
<formControlPr xmlns="http://schemas.microsoft.com/office/spreadsheetml/2009/9/main" objectType="CheckBox" fmlaLink="$N$18" lockText="1"/>
</file>

<file path=xl/ctrlProps/ctrlProp182.xml><?xml version="1.0" encoding="utf-8"?>
<formControlPr xmlns="http://schemas.microsoft.com/office/spreadsheetml/2009/9/main" objectType="CheckBox" fmlaLink="$O$18" lockText="1"/>
</file>

<file path=xl/ctrlProps/ctrlProp183.xml><?xml version="1.0" encoding="utf-8"?>
<formControlPr xmlns="http://schemas.microsoft.com/office/spreadsheetml/2009/9/main" objectType="CheckBox" fmlaLink="$N$19" lockText="1"/>
</file>

<file path=xl/ctrlProps/ctrlProp184.xml><?xml version="1.0" encoding="utf-8"?>
<formControlPr xmlns="http://schemas.microsoft.com/office/spreadsheetml/2009/9/main" objectType="CheckBox" fmlaLink="$O$19" lockText="1"/>
</file>

<file path=xl/ctrlProps/ctrlProp185.xml><?xml version="1.0" encoding="utf-8"?>
<formControlPr xmlns="http://schemas.microsoft.com/office/spreadsheetml/2009/9/main" objectType="CheckBox" fmlaLink="$N$20" lockText="1"/>
</file>

<file path=xl/ctrlProps/ctrlProp186.xml><?xml version="1.0" encoding="utf-8"?>
<formControlPr xmlns="http://schemas.microsoft.com/office/spreadsheetml/2009/9/main" objectType="CheckBox" fmlaLink="$O$20" lockText="1"/>
</file>

<file path=xl/ctrlProps/ctrlProp187.xml><?xml version="1.0" encoding="utf-8"?>
<formControlPr xmlns="http://schemas.microsoft.com/office/spreadsheetml/2009/9/main" objectType="CheckBox" fmlaLink="$N$21" lockText="1"/>
</file>

<file path=xl/ctrlProps/ctrlProp188.xml><?xml version="1.0" encoding="utf-8"?>
<formControlPr xmlns="http://schemas.microsoft.com/office/spreadsheetml/2009/9/main" objectType="CheckBox" fmlaLink="$O$21" lockText="1"/>
</file>

<file path=xl/ctrlProps/ctrlProp189.xml><?xml version="1.0" encoding="utf-8"?>
<formControlPr xmlns="http://schemas.microsoft.com/office/spreadsheetml/2009/9/main" objectType="CheckBox" fmlaLink="$N$22" lockText="1"/>
</file>

<file path=xl/ctrlProps/ctrlProp19.xml><?xml version="1.0" encoding="utf-8"?>
<formControlPr xmlns="http://schemas.microsoft.com/office/spreadsheetml/2009/9/main" objectType="CheckBox" fmlaLink="$S$24" lockText="1"/>
</file>

<file path=xl/ctrlProps/ctrlProp190.xml><?xml version="1.0" encoding="utf-8"?>
<formControlPr xmlns="http://schemas.microsoft.com/office/spreadsheetml/2009/9/main" objectType="CheckBox" fmlaLink="$O$22" lockText="1"/>
</file>

<file path=xl/ctrlProps/ctrlProp191.xml><?xml version="1.0" encoding="utf-8"?>
<formControlPr xmlns="http://schemas.microsoft.com/office/spreadsheetml/2009/9/main" objectType="CheckBox" fmlaLink="$N$23" lockText="1"/>
</file>

<file path=xl/ctrlProps/ctrlProp192.xml><?xml version="1.0" encoding="utf-8"?>
<formControlPr xmlns="http://schemas.microsoft.com/office/spreadsheetml/2009/9/main" objectType="CheckBox" fmlaLink="$O$23" lockText="1"/>
</file>

<file path=xl/ctrlProps/ctrlProp193.xml><?xml version="1.0" encoding="utf-8"?>
<formControlPr xmlns="http://schemas.microsoft.com/office/spreadsheetml/2009/9/main" objectType="CheckBox" fmlaLink="$N$24" lockText="1"/>
</file>

<file path=xl/ctrlProps/ctrlProp194.xml><?xml version="1.0" encoding="utf-8"?>
<formControlPr xmlns="http://schemas.microsoft.com/office/spreadsheetml/2009/9/main" objectType="CheckBox" fmlaLink="$O$24" lockText="1"/>
</file>

<file path=xl/ctrlProps/ctrlProp195.xml><?xml version="1.0" encoding="utf-8"?>
<formControlPr xmlns="http://schemas.microsoft.com/office/spreadsheetml/2009/9/main" objectType="CheckBox" fmlaLink="$N$25" lockText="1"/>
</file>

<file path=xl/ctrlProps/ctrlProp196.xml><?xml version="1.0" encoding="utf-8"?>
<formControlPr xmlns="http://schemas.microsoft.com/office/spreadsheetml/2009/9/main" objectType="CheckBox" fmlaLink="$O$25" lockText="1"/>
</file>

<file path=xl/ctrlProps/ctrlProp197.xml><?xml version="1.0" encoding="utf-8"?>
<formControlPr xmlns="http://schemas.microsoft.com/office/spreadsheetml/2009/9/main" objectType="CheckBox" fmlaLink="$N$26" lockText="1"/>
</file>

<file path=xl/ctrlProps/ctrlProp198.xml><?xml version="1.0" encoding="utf-8"?>
<formControlPr xmlns="http://schemas.microsoft.com/office/spreadsheetml/2009/9/main" objectType="CheckBox" fmlaLink="$O$26" lockText="1"/>
</file>

<file path=xl/ctrlProps/ctrlProp199.xml><?xml version="1.0" encoding="utf-8"?>
<formControlPr xmlns="http://schemas.microsoft.com/office/spreadsheetml/2009/9/main" objectType="CheckBox" fmlaLink="$N$28" lockText="1"/>
</file>

<file path=xl/ctrlProps/ctrlProp2.xml><?xml version="1.0" encoding="utf-8"?>
<formControlPr xmlns="http://schemas.microsoft.com/office/spreadsheetml/2009/9/main" objectType="CheckBox" checked="Checked" fmlaLink="$T$13" lockText="1"/>
</file>

<file path=xl/ctrlProps/ctrlProp20.xml><?xml version="1.0" encoding="utf-8"?>
<formControlPr xmlns="http://schemas.microsoft.com/office/spreadsheetml/2009/9/main" objectType="CheckBox" fmlaLink="$N$14" lockText="1"/>
</file>

<file path=xl/ctrlProps/ctrlProp200.xml><?xml version="1.0" encoding="utf-8"?>
<formControlPr xmlns="http://schemas.microsoft.com/office/spreadsheetml/2009/9/main" objectType="CheckBox" fmlaLink="$O$28" lockText="1"/>
</file>

<file path=xl/ctrlProps/ctrlProp201.xml><?xml version="1.0" encoding="utf-8"?>
<formControlPr xmlns="http://schemas.microsoft.com/office/spreadsheetml/2009/9/main" objectType="CheckBox" fmlaLink="$N$29" lockText="1"/>
</file>

<file path=xl/ctrlProps/ctrlProp202.xml><?xml version="1.0" encoding="utf-8"?>
<formControlPr xmlns="http://schemas.microsoft.com/office/spreadsheetml/2009/9/main" objectType="CheckBox" fmlaLink="$O$29" lockText="1"/>
</file>

<file path=xl/ctrlProps/ctrlProp203.xml><?xml version="1.0" encoding="utf-8"?>
<formControlPr xmlns="http://schemas.microsoft.com/office/spreadsheetml/2009/9/main" objectType="CheckBox" fmlaLink="$N$30" lockText="1"/>
</file>

<file path=xl/ctrlProps/ctrlProp204.xml><?xml version="1.0" encoding="utf-8"?>
<formControlPr xmlns="http://schemas.microsoft.com/office/spreadsheetml/2009/9/main" objectType="CheckBox" fmlaLink="$O$30" lockText="1"/>
</file>

<file path=xl/ctrlProps/ctrlProp205.xml><?xml version="1.0" encoding="utf-8"?>
<formControlPr xmlns="http://schemas.microsoft.com/office/spreadsheetml/2009/9/main" objectType="CheckBox" fmlaLink="$N$31" lockText="1"/>
</file>

<file path=xl/ctrlProps/ctrlProp206.xml><?xml version="1.0" encoding="utf-8"?>
<formControlPr xmlns="http://schemas.microsoft.com/office/spreadsheetml/2009/9/main" objectType="CheckBox" fmlaLink="$O$31" lockText="1"/>
</file>

<file path=xl/ctrlProps/ctrlProp207.xml><?xml version="1.0" encoding="utf-8"?>
<formControlPr xmlns="http://schemas.microsoft.com/office/spreadsheetml/2009/9/main" objectType="CheckBox" fmlaLink="$N$32" lockText="1"/>
</file>

<file path=xl/ctrlProps/ctrlProp208.xml><?xml version="1.0" encoding="utf-8"?>
<formControlPr xmlns="http://schemas.microsoft.com/office/spreadsheetml/2009/9/main" objectType="CheckBox" fmlaLink="$O$32" lockText="1"/>
</file>

<file path=xl/ctrlProps/ctrlProp209.xml><?xml version="1.0" encoding="utf-8"?>
<formControlPr xmlns="http://schemas.microsoft.com/office/spreadsheetml/2009/9/main" objectType="CheckBox" fmlaLink="$N$33" lockText="1"/>
</file>

<file path=xl/ctrlProps/ctrlProp21.xml><?xml version="1.0" encoding="utf-8"?>
<formControlPr xmlns="http://schemas.microsoft.com/office/spreadsheetml/2009/9/main" objectType="CheckBox" fmlaLink="$O$14" lockText="1"/>
</file>

<file path=xl/ctrlProps/ctrlProp210.xml><?xml version="1.0" encoding="utf-8"?>
<formControlPr xmlns="http://schemas.microsoft.com/office/spreadsheetml/2009/9/main" objectType="CheckBox" fmlaLink="$O$33" lockText="1"/>
</file>

<file path=xl/ctrlProps/ctrlProp211.xml><?xml version="1.0" encoding="utf-8"?>
<formControlPr xmlns="http://schemas.microsoft.com/office/spreadsheetml/2009/9/main" objectType="CheckBox" fmlaLink="$N$34" lockText="1"/>
</file>

<file path=xl/ctrlProps/ctrlProp212.xml><?xml version="1.0" encoding="utf-8"?>
<formControlPr xmlns="http://schemas.microsoft.com/office/spreadsheetml/2009/9/main" objectType="CheckBox" fmlaLink="$O$34" lockText="1"/>
</file>

<file path=xl/ctrlProps/ctrlProp213.xml><?xml version="1.0" encoding="utf-8"?>
<formControlPr xmlns="http://schemas.microsoft.com/office/spreadsheetml/2009/9/main" objectType="CheckBox" fmlaLink="$N$27" lockText="1"/>
</file>

<file path=xl/ctrlProps/ctrlProp214.xml><?xml version="1.0" encoding="utf-8"?>
<formControlPr xmlns="http://schemas.microsoft.com/office/spreadsheetml/2009/9/main" objectType="CheckBox" fmlaLink="$O$27" lockText="1"/>
</file>

<file path=xl/ctrlProps/ctrlProp22.xml><?xml version="1.0" encoding="utf-8"?>
<formControlPr xmlns="http://schemas.microsoft.com/office/spreadsheetml/2009/9/main" objectType="CheckBox" fmlaLink="$N$36" lockText="1"/>
</file>

<file path=xl/ctrlProps/ctrlProp23.xml><?xml version="1.0" encoding="utf-8"?>
<formControlPr xmlns="http://schemas.microsoft.com/office/spreadsheetml/2009/9/main" objectType="CheckBox" fmlaLink="$O$36" lockText="1"/>
</file>

<file path=xl/ctrlProps/ctrlProp24.xml><?xml version="1.0" encoding="utf-8"?>
<formControlPr xmlns="http://schemas.microsoft.com/office/spreadsheetml/2009/9/main" objectType="CheckBox" fmlaLink="N8" lockText="1"/>
</file>

<file path=xl/ctrlProps/ctrlProp25.xml><?xml version="1.0" encoding="utf-8"?>
<formControlPr xmlns="http://schemas.microsoft.com/office/spreadsheetml/2009/9/main" objectType="CheckBox" fmlaLink="P8" lockText="1"/>
</file>

<file path=xl/ctrlProps/ctrlProp26.xml><?xml version="1.0" encoding="utf-8"?>
<formControlPr xmlns="http://schemas.microsoft.com/office/spreadsheetml/2009/9/main" objectType="CheckBox" fmlaLink="O8" lockText="1"/>
</file>

<file path=xl/ctrlProps/ctrlProp27.xml><?xml version="1.0" encoding="utf-8"?>
<formControlPr xmlns="http://schemas.microsoft.com/office/spreadsheetml/2009/9/main" objectType="CheckBox" fmlaLink="Q8" lockText="1"/>
</file>

<file path=xl/ctrlProps/ctrlProp28.xml><?xml version="1.0" encoding="utf-8"?>
<formControlPr xmlns="http://schemas.microsoft.com/office/spreadsheetml/2009/9/main" objectType="CheckBox" fmlaLink="$N$43" lockText="1"/>
</file>

<file path=xl/ctrlProps/ctrlProp29.xml><?xml version="1.0" encoding="utf-8"?>
<formControlPr xmlns="http://schemas.microsoft.com/office/spreadsheetml/2009/9/main" objectType="CheckBox" fmlaLink="$O$43"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fmlaLink="$N$44" lockText="1"/>
</file>

<file path=xl/ctrlProps/ctrlProp31.xml><?xml version="1.0" encoding="utf-8"?>
<formControlPr xmlns="http://schemas.microsoft.com/office/spreadsheetml/2009/9/main" objectType="CheckBox" fmlaLink="$O$44" lockText="1"/>
</file>

<file path=xl/ctrlProps/ctrlProp32.xml><?xml version="1.0" encoding="utf-8"?>
<formControlPr xmlns="http://schemas.microsoft.com/office/spreadsheetml/2009/9/main" objectType="CheckBox" fmlaLink="$P$44" lockText="1"/>
</file>

<file path=xl/ctrlProps/ctrlProp33.xml><?xml version="1.0" encoding="utf-8"?>
<formControlPr xmlns="http://schemas.microsoft.com/office/spreadsheetml/2009/9/main" objectType="CheckBox" fmlaLink="$N$47" lockText="1"/>
</file>

<file path=xl/ctrlProps/ctrlProp34.xml><?xml version="1.0" encoding="utf-8"?>
<formControlPr xmlns="http://schemas.microsoft.com/office/spreadsheetml/2009/9/main" objectType="CheckBox" fmlaLink="$O$47" lockText="1"/>
</file>

<file path=xl/ctrlProps/ctrlProp35.xml><?xml version="1.0" encoding="utf-8"?>
<formControlPr xmlns="http://schemas.microsoft.com/office/spreadsheetml/2009/9/main" objectType="CheckBox" fmlaLink="$N$50" lockText="1"/>
</file>

<file path=xl/ctrlProps/ctrlProp36.xml><?xml version="1.0" encoding="utf-8"?>
<formControlPr xmlns="http://schemas.microsoft.com/office/spreadsheetml/2009/9/main" objectType="CheckBox" fmlaLink="$O$50" lockText="1"/>
</file>

<file path=xl/ctrlProps/ctrlProp37.xml><?xml version="1.0" encoding="utf-8"?>
<formControlPr xmlns="http://schemas.microsoft.com/office/spreadsheetml/2009/9/main" objectType="CheckBox" fmlaLink="$P$50" lockText="1"/>
</file>

<file path=xl/ctrlProps/ctrlProp38.xml><?xml version="1.0" encoding="utf-8"?>
<formControlPr xmlns="http://schemas.microsoft.com/office/spreadsheetml/2009/9/main" objectType="CheckBox" fmlaLink="$N$54" lockText="1"/>
</file>

<file path=xl/ctrlProps/ctrlProp39.xml><?xml version="1.0" encoding="utf-8"?>
<formControlPr xmlns="http://schemas.microsoft.com/office/spreadsheetml/2009/9/main" objectType="CheckBox" fmlaLink="$O$54"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fmlaLink="$N$58" lockText="1"/>
</file>

<file path=xl/ctrlProps/ctrlProp41.xml><?xml version="1.0" encoding="utf-8"?>
<formControlPr xmlns="http://schemas.microsoft.com/office/spreadsheetml/2009/9/main" objectType="CheckBox" fmlaLink="$O$58" lockText="1"/>
</file>

<file path=xl/ctrlProps/ctrlProp42.xml><?xml version="1.0" encoding="utf-8"?>
<formControlPr xmlns="http://schemas.microsoft.com/office/spreadsheetml/2009/9/main" objectType="CheckBox" fmlaLink="$N$61" lockText="1"/>
</file>

<file path=xl/ctrlProps/ctrlProp43.xml><?xml version="1.0" encoding="utf-8"?>
<formControlPr xmlns="http://schemas.microsoft.com/office/spreadsheetml/2009/9/main" objectType="CheckBox" fmlaLink="$O$61" lockText="1"/>
</file>

<file path=xl/ctrlProps/ctrlProp44.xml><?xml version="1.0" encoding="utf-8"?>
<formControlPr xmlns="http://schemas.microsoft.com/office/spreadsheetml/2009/9/main" objectType="CheckBox" fmlaLink="$P$61" lockText="1"/>
</file>

<file path=xl/ctrlProps/ctrlProp45.xml><?xml version="1.0" encoding="utf-8"?>
<formControlPr xmlns="http://schemas.microsoft.com/office/spreadsheetml/2009/9/main" objectType="CheckBox" fmlaLink="$N$65" lockText="1"/>
</file>

<file path=xl/ctrlProps/ctrlProp46.xml><?xml version="1.0" encoding="utf-8"?>
<formControlPr xmlns="http://schemas.microsoft.com/office/spreadsheetml/2009/9/main" objectType="CheckBox" fmlaLink="$O$65" lockText="1"/>
</file>

<file path=xl/ctrlProps/ctrlProp47.xml><?xml version="1.0" encoding="utf-8"?>
<formControlPr xmlns="http://schemas.microsoft.com/office/spreadsheetml/2009/9/main" objectType="CheckBox" fmlaLink="$W$65" lockText="1"/>
</file>

<file path=xl/ctrlProps/ctrlProp48.xml><?xml version="1.0" encoding="utf-8"?>
<formControlPr xmlns="http://schemas.microsoft.com/office/spreadsheetml/2009/9/main" objectType="CheckBox" fmlaLink="$X$65" lockText="1"/>
</file>

<file path=xl/ctrlProps/ctrlProp49.xml><?xml version="1.0" encoding="utf-8"?>
<formControlPr xmlns="http://schemas.microsoft.com/office/spreadsheetml/2009/9/main" objectType="CheckBox" fmlaLink="$N$24"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fmlaLink="$O$24" lockText="1"/>
</file>

<file path=xl/ctrlProps/ctrlProp51.xml><?xml version="1.0" encoding="utf-8"?>
<formControlPr xmlns="http://schemas.microsoft.com/office/spreadsheetml/2009/9/main" objectType="CheckBox" fmlaLink="$N$26" lockText="1"/>
</file>

<file path=xl/ctrlProps/ctrlProp52.xml><?xml version="1.0" encoding="utf-8"?>
<formControlPr xmlns="http://schemas.microsoft.com/office/spreadsheetml/2009/9/main" objectType="CheckBox" fmlaLink="$O$26" lockText="1"/>
</file>

<file path=xl/ctrlProps/ctrlProp53.xml><?xml version="1.0" encoding="utf-8"?>
<formControlPr xmlns="http://schemas.microsoft.com/office/spreadsheetml/2009/9/main" objectType="CheckBox" fmlaLink="$Q$50" lockText="1"/>
</file>

<file path=xl/ctrlProps/ctrlProp54.xml><?xml version="1.0" encoding="utf-8"?>
<formControlPr xmlns="http://schemas.microsoft.com/office/spreadsheetml/2009/9/main" objectType="CheckBox" fmlaLink="$S$50" lockText="1"/>
</file>

<file path=xl/ctrlProps/ctrlProp55.xml><?xml version="1.0" encoding="utf-8"?>
<formControlPr xmlns="http://schemas.microsoft.com/office/spreadsheetml/2009/9/main" objectType="CheckBox" fmlaLink="$N$4" lockText="1"/>
</file>

<file path=xl/ctrlProps/ctrlProp56.xml><?xml version="1.0" encoding="utf-8"?>
<formControlPr xmlns="http://schemas.microsoft.com/office/spreadsheetml/2009/9/main" objectType="CheckBox" fmlaLink="$O$4" lockText="1"/>
</file>

<file path=xl/ctrlProps/ctrlProp57.xml><?xml version="1.0" encoding="utf-8"?>
<formControlPr xmlns="http://schemas.microsoft.com/office/spreadsheetml/2009/9/main" objectType="CheckBox" fmlaLink="$N$5" lockText="1"/>
</file>

<file path=xl/ctrlProps/ctrlProp58.xml><?xml version="1.0" encoding="utf-8"?>
<formControlPr xmlns="http://schemas.microsoft.com/office/spreadsheetml/2009/9/main" objectType="CheckBox" fmlaLink="$O$5" lockText="1"/>
</file>

<file path=xl/ctrlProps/ctrlProp59.xml><?xml version="1.0" encoding="utf-8"?>
<formControlPr xmlns="http://schemas.microsoft.com/office/spreadsheetml/2009/9/main" objectType="CheckBox" fmlaLink="$P$5"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fmlaLink="$Q$5" lockText="1"/>
</file>

<file path=xl/ctrlProps/ctrlProp61.xml><?xml version="1.0" encoding="utf-8"?>
<formControlPr xmlns="http://schemas.microsoft.com/office/spreadsheetml/2009/9/main" objectType="CheckBox" fmlaLink="$R$5" lockText="1"/>
</file>

<file path=xl/ctrlProps/ctrlProp62.xml><?xml version="1.0" encoding="utf-8"?>
<formControlPr xmlns="http://schemas.microsoft.com/office/spreadsheetml/2009/9/main" objectType="CheckBox" fmlaLink="$S$5" lockText="1"/>
</file>

<file path=xl/ctrlProps/ctrlProp63.xml><?xml version="1.0" encoding="utf-8"?>
<formControlPr xmlns="http://schemas.microsoft.com/office/spreadsheetml/2009/9/main" objectType="CheckBox" fmlaLink="$T$5" lockText="1"/>
</file>

<file path=xl/ctrlProps/ctrlProp64.xml><?xml version="1.0" encoding="utf-8"?>
<formControlPr xmlns="http://schemas.microsoft.com/office/spreadsheetml/2009/9/main" objectType="CheckBox" fmlaLink="$U$5" lockText="1"/>
</file>

<file path=xl/ctrlProps/ctrlProp65.xml><?xml version="1.0" encoding="utf-8"?>
<formControlPr xmlns="http://schemas.microsoft.com/office/spreadsheetml/2009/9/main" objectType="CheckBox" fmlaLink="$V$5" lockText="1"/>
</file>

<file path=xl/ctrlProps/ctrlProp66.xml><?xml version="1.0" encoding="utf-8"?>
<formControlPr xmlns="http://schemas.microsoft.com/office/spreadsheetml/2009/9/main" objectType="CheckBox" fmlaLink="$W$5" lockText="1"/>
</file>

<file path=xl/ctrlProps/ctrlProp67.xml><?xml version="1.0" encoding="utf-8"?>
<formControlPr xmlns="http://schemas.microsoft.com/office/spreadsheetml/2009/9/main" objectType="CheckBox" fmlaLink="$X$5" lockText="1"/>
</file>

<file path=xl/ctrlProps/ctrlProp68.xml><?xml version="1.0" encoding="utf-8"?>
<formControlPr xmlns="http://schemas.microsoft.com/office/spreadsheetml/2009/9/main" objectType="CheckBox" fmlaLink="$Y$5" lockText="1"/>
</file>

<file path=xl/ctrlProps/ctrlProp69.xml><?xml version="1.0" encoding="utf-8"?>
<formControlPr xmlns="http://schemas.microsoft.com/office/spreadsheetml/2009/9/main" objectType="CheckBox" fmlaLink="$N$10"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fmlaLink="$O$10" lockText="1"/>
</file>

<file path=xl/ctrlProps/ctrlProp71.xml><?xml version="1.0" encoding="utf-8"?>
<formControlPr xmlns="http://schemas.microsoft.com/office/spreadsheetml/2009/9/main" objectType="CheckBox" fmlaLink="$N$30" lockText="1"/>
</file>

<file path=xl/ctrlProps/ctrlProp72.xml><?xml version="1.0" encoding="utf-8"?>
<formControlPr xmlns="http://schemas.microsoft.com/office/spreadsheetml/2009/9/main" objectType="CheckBox" fmlaLink="$N$31" lockText="1"/>
</file>

<file path=xl/ctrlProps/ctrlProp73.xml><?xml version="1.0" encoding="utf-8"?>
<formControlPr xmlns="http://schemas.microsoft.com/office/spreadsheetml/2009/9/main" objectType="CheckBox" fmlaLink="$N$32" lockText="1"/>
</file>

<file path=xl/ctrlProps/ctrlProp74.xml><?xml version="1.0" encoding="utf-8"?>
<formControlPr xmlns="http://schemas.microsoft.com/office/spreadsheetml/2009/9/main" objectType="CheckBox" fmlaLink="$N$33" lockText="1"/>
</file>

<file path=xl/ctrlProps/ctrlProp75.xml><?xml version="1.0" encoding="utf-8"?>
<formControlPr xmlns="http://schemas.microsoft.com/office/spreadsheetml/2009/9/main" objectType="CheckBox" fmlaLink="$N$34" lockText="1"/>
</file>

<file path=xl/ctrlProps/ctrlProp76.xml><?xml version="1.0" encoding="utf-8"?>
<formControlPr xmlns="http://schemas.microsoft.com/office/spreadsheetml/2009/9/main" objectType="CheckBox" fmlaLink="$N$35" lockText="1"/>
</file>

<file path=xl/ctrlProps/ctrlProp77.xml><?xml version="1.0" encoding="utf-8"?>
<formControlPr xmlns="http://schemas.microsoft.com/office/spreadsheetml/2009/9/main" objectType="CheckBox" fmlaLink="$N$38" lockText="1"/>
</file>

<file path=xl/ctrlProps/ctrlProp78.xml><?xml version="1.0" encoding="utf-8"?>
<formControlPr xmlns="http://schemas.microsoft.com/office/spreadsheetml/2009/9/main" objectType="CheckBox" fmlaLink="$N$39" lockText="1"/>
</file>

<file path=xl/ctrlProps/ctrlProp79.xml><?xml version="1.0" encoding="utf-8"?>
<formControlPr xmlns="http://schemas.microsoft.com/office/spreadsheetml/2009/9/main" objectType="CheckBox" fmlaLink="$N$40"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fmlaLink="$N$41" lockText="1"/>
</file>

<file path=xl/ctrlProps/ctrlProp81.xml><?xml version="1.0" encoding="utf-8"?>
<formControlPr xmlns="http://schemas.microsoft.com/office/spreadsheetml/2009/9/main" objectType="CheckBox" fmlaLink="$N$42" lockText="1"/>
</file>

<file path=xl/ctrlProps/ctrlProp82.xml><?xml version="1.0" encoding="utf-8"?>
<formControlPr xmlns="http://schemas.microsoft.com/office/spreadsheetml/2009/9/main" objectType="CheckBox" fmlaLink="$N$43" lockText="1"/>
</file>

<file path=xl/ctrlProps/ctrlProp83.xml><?xml version="1.0" encoding="utf-8"?>
<formControlPr xmlns="http://schemas.microsoft.com/office/spreadsheetml/2009/9/main" objectType="CheckBox" fmlaLink="$N$18" lockText="1"/>
</file>

<file path=xl/ctrlProps/ctrlProp84.xml><?xml version="1.0" encoding="utf-8"?>
<formControlPr xmlns="http://schemas.microsoft.com/office/spreadsheetml/2009/9/main" objectType="CheckBox" fmlaLink="$O$18" lockText="1"/>
</file>

<file path=xl/ctrlProps/ctrlProp85.xml><?xml version="1.0" encoding="utf-8"?>
<formControlPr xmlns="http://schemas.microsoft.com/office/spreadsheetml/2009/9/main" objectType="CheckBox" fmlaLink="$N$22" lockText="1"/>
</file>

<file path=xl/ctrlProps/ctrlProp86.xml><?xml version="1.0" encoding="utf-8"?>
<formControlPr xmlns="http://schemas.microsoft.com/office/spreadsheetml/2009/9/main" objectType="CheckBox" fmlaLink="$O$22" lockText="1"/>
</file>

<file path=xl/ctrlProps/ctrlProp87.xml><?xml version="1.0" encoding="utf-8"?>
<formControlPr xmlns="http://schemas.microsoft.com/office/spreadsheetml/2009/9/main" objectType="CheckBox" fmlaLink="$N$26" lockText="1"/>
</file>

<file path=xl/ctrlProps/ctrlProp88.xml><?xml version="1.0" encoding="utf-8"?>
<formControlPr xmlns="http://schemas.microsoft.com/office/spreadsheetml/2009/9/main" objectType="CheckBox" fmlaLink="$O$26" lockText="1"/>
</file>

<file path=xl/ctrlProps/ctrlProp89.xml><?xml version="1.0" encoding="utf-8"?>
<formControlPr xmlns="http://schemas.microsoft.com/office/spreadsheetml/2009/9/main" objectType="CheckBox" fmlaLink="$I$7"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fmlaLink="$J$7" lockText="1"/>
</file>

<file path=xl/ctrlProps/ctrlProp91.xml><?xml version="1.0" encoding="utf-8"?>
<formControlPr xmlns="http://schemas.microsoft.com/office/spreadsheetml/2009/9/main" objectType="CheckBox" fmlaLink="$I$8" lockText="1"/>
</file>

<file path=xl/ctrlProps/ctrlProp92.xml><?xml version="1.0" encoding="utf-8"?>
<formControlPr xmlns="http://schemas.microsoft.com/office/spreadsheetml/2009/9/main" objectType="CheckBox" fmlaLink="$J$8" lockText="1"/>
</file>

<file path=xl/ctrlProps/ctrlProp93.xml><?xml version="1.0" encoding="utf-8"?>
<formControlPr xmlns="http://schemas.microsoft.com/office/spreadsheetml/2009/9/main" objectType="CheckBox" fmlaLink="$I$9" lockText="1"/>
</file>

<file path=xl/ctrlProps/ctrlProp94.xml><?xml version="1.0" encoding="utf-8"?>
<formControlPr xmlns="http://schemas.microsoft.com/office/spreadsheetml/2009/9/main" objectType="CheckBox" fmlaLink="$J$9" lockText="1"/>
</file>

<file path=xl/ctrlProps/ctrlProp95.xml><?xml version="1.0" encoding="utf-8"?>
<formControlPr xmlns="http://schemas.microsoft.com/office/spreadsheetml/2009/9/main" objectType="CheckBox" fmlaLink="$I$10" lockText="1"/>
</file>

<file path=xl/ctrlProps/ctrlProp96.xml><?xml version="1.0" encoding="utf-8"?>
<formControlPr xmlns="http://schemas.microsoft.com/office/spreadsheetml/2009/9/main" objectType="CheckBox" fmlaLink="$J$10" lockText="1"/>
</file>

<file path=xl/ctrlProps/ctrlProp97.xml><?xml version="1.0" encoding="utf-8"?>
<formControlPr xmlns="http://schemas.microsoft.com/office/spreadsheetml/2009/9/main" objectType="CheckBox" fmlaLink="$I$11" lockText="1"/>
</file>

<file path=xl/ctrlProps/ctrlProp98.xml><?xml version="1.0" encoding="utf-8"?>
<formControlPr xmlns="http://schemas.microsoft.com/office/spreadsheetml/2009/9/main" objectType="CheckBox" fmlaLink="$J$11" lockText="1"/>
</file>

<file path=xl/ctrlProps/ctrlProp99.xml><?xml version="1.0" encoding="utf-8"?>
<formControlPr xmlns="http://schemas.microsoft.com/office/spreadsheetml/2009/9/main" objectType="CheckBox" fmlaLink="$I$12" lockText="1"/>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lincoln.ne.gov/city/health/environ/air.htm" TargetMode="External"/></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12</xdr:row>
          <xdr:rowOff>47625</xdr:rowOff>
        </xdr:from>
        <xdr:to>
          <xdr:col>4</xdr:col>
          <xdr:colOff>304800</xdr:colOff>
          <xdr:row>12</xdr:row>
          <xdr:rowOff>781050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0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12</xdr:row>
          <xdr:rowOff>47625</xdr:rowOff>
        </xdr:from>
        <xdr:to>
          <xdr:col>6</xdr:col>
          <xdr:colOff>0</xdr:colOff>
          <xdr:row>12</xdr:row>
          <xdr:rowOff>781050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0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47625</xdr:rowOff>
        </xdr:from>
        <xdr:to>
          <xdr:col>2</xdr:col>
          <xdr:colOff>171450</xdr:colOff>
          <xdr:row>15</xdr:row>
          <xdr:rowOff>276225</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0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January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238125</xdr:rowOff>
        </xdr:from>
        <xdr:to>
          <xdr:col>2</xdr:col>
          <xdr:colOff>171450</xdr:colOff>
          <xdr:row>15</xdr:row>
          <xdr:rowOff>466725</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0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February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47625</xdr:rowOff>
        </xdr:from>
        <xdr:to>
          <xdr:col>4</xdr:col>
          <xdr:colOff>171450</xdr:colOff>
          <xdr:row>15</xdr:row>
          <xdr:rowOff>276225</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0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March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15</xdr:row>
          <xdr:rowOff>238125</xdr:rowOff>
        </xdr:from>
        <xdr:to>
          <xdr:col>4</xdr:col>
          <xdr:colOff>171450</xdr:colOff>
          <xdr:row>15</xdr:row>
          <xdr:rowOff>466725</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0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April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47625</xdr:rowOff>
        </xdr:from>
        <xdr:to>
          <xdr:col>5</xdr:col>
          <xdr:colOff>590550</xdr:colOff>
          <xdr:row>15</xdr:row>
          <xdr:rowOff>276225</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0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May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15</xdr:row>
          <xdr:rowOff>238125</xdr:rowOff>
        </xdr:from>
        <xdr:to>
          <xdr:col>5</xdr:col>
          <xdr:colOff>590550</xdr:colOff>
          <xdr:row>15</xdr:row>
          <xdr:rowOff>466725</xdr:rowOff>
        </xdr:to>
        <xdr:sp macro="" textlink="">
          <xdr:nvSpPr>
            <xdr:cNvPr id="31764" name="Check Box 20" hidden="1">
              <a:extLst>
                <a:ext uri="{63B3BB69-23CF-44E3-9099-C40C66FF867C}">
                  <a14:compatExt spid="_x0000_s31764"/>
                </a:ext>
                <a:ext uri="{FF2B5EF4-FFF2-40B4-BE49-F238E27FC236}">
                  <a16:creationId xmlns:a16="http://schemas.microsoft.com/office/drawing/2014/main" id="{00000000-0008-0000-0000-00001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47625</xdr:rowOff>
        </xdr:from>
        <xdr:to>
          <xdr:col>7</xdr:col>
          <xdr:colOff>323850</xdr:colOff>
          <xdr:row>15</xdr:row>
          <xdr:rowOff>276225</xdr:rowOff>
        </xdr:to>
        <xdr:sp macro="" textlink="">
          <xdr:nvSpPr>
            <xdr:cNvPr id="31765" name="Check Box 21" hidden="1">
              <a:extLst>
                <a:ext uri="{63B3BB69-23CF-44E3-9099-C40C66FF867C}">
                  <a14:compatExt spid="_x0000_s31765"/>
                </a:ext>
                <a:ext uri="{FF2B5EF4-FFF2-40B4-BE49-F238E27FC236}">
                  <a16:creationId xmlns:a16="http://schemas.microsoft.com/office/drawing/2014/main" id="{00000000-0008-0000-0000-00001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15</xdr:row>
          <xdr:rowOff>238125</xdr:rowOff>
        </xdr:from>
        <xdr:to>
          <xdr:col>7</xdr:col>
          <xdr:colOff>323850</xdr:colOff>
          <xdr:row>15</xdr:row>
          <xdr:rowOff>466725</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0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August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47625</xdr:rowOff>
        </xdr:from>
        <xdr:to>
          <xdr:col>9</xdr:col>
          <xdr:colOff>114300</xdr:colOff>
          <xdr:row>15</xdr:row>
          <xdr:rowOff>276225</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0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September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466725</xdr:colOff>
          <xdr:row>15</xdr:row>
          <xdr:rowOff>238125</xdr:rowOff>
        </xdr:from>
        <xdr:to>
          <xdr:col>9</xdr:col>
          <xdr:colOff>114300</xdr:colOff>
          <xdr:row>15</xdr:row>
          <xdr:rowOff>466725</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0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October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47625</xdr:rowOff>
        </xdr:from>
        <xdr:to>
          <xdr:col>10</xdr:col>
          <xdr:colOff>590550</xdr:colOff>
          <xdr:row>15</xdr:row>
          <xdr:rowOff>276225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0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November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238125</xdr:rowOff>
        </xdr:from>
        <xdr:to>
          <xdr:col>10</xdr:col>
          <xdr:colOff>590550</xdr:colOff>
          <xdr:row>15</xdr:row>
          <xdr:rowOff>466725</xdr:rowOff>
        </xdr:to>
        <xdr:sp macro="" textlink="">
          <xdr:nvSpPr>
            <xdr:cNvPr id="31770" name="Check Box 26" hidden="1">
              <a:extLst>
                <a:ext uri="{63B3BB69-23CF-44E3-9099-C40C66FF867C}">
                  <a14:compatExt spid="_x0000_s31770"/>
                </a:ext>
                <a:ext uri="{FF2B5EF4-FFF2-40B4-BE49-F238E27FC236}">
                  <a16:creationId xmlns:a16="http://schemas.microsoft.com/office/drawing/2014/main" id="{00000000-0008-0000-0000-00001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December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152400</xdr:colOff>
          <xdr:row>14</xdr:row>
          <xdr:rowOff>47625</xdr:rowOff>
        </xdr:from>
        <xdr:to>
          <xdr:col>4</xdr:col>
          <xdr:colOff>304800</xdr:colOff>
          <xdr:row>15</xdr:row>
          <xdr:rowOff>0</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0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Seasonal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361950</xdr:colOff>
          <xdr:row>14</xdr:row>
          <xdr:rowOff>47625</xdr:rowOff>
        </xdr:from>
        <xdr:to>
          <xdr:col>6</xdr:col>
          <xdr:colOff>0</xdr:colOff>
          <xdr:row>15</xdr:row>
          <xdr:rowOff>0</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0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Year-Round</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792913</xdr:colOff>
      <xdr:row>23</xdr:row>
      <xdr:rowOff>0</xdr:rowOff>
    </xdr:from>
    <xdr:to>
      <xdr:col>10</xdr:col>
      <xdr:colOff>859155</xdr:colOff>
      <xdr:row>23</xdr:row>
      <xdr:rowOff>704850</xdr:rowOff>
    </xdr:to>
    <xdr:grpSp>
      <xdr:nvGrpSpPr>
        <xdr:cNvPr id="7" name="Group 6">
          <a:extLst>
            <a:ext uri="{FF2B5EF4-FFF2-40B4-BE49-F238E27FC236}">
              <a16:creationId xmlns:a16="http://schemas.microsoft.com/office/drawing/2014/main" id="{00000000-0008-0000-0A00-000007000000}"/>
            </a:ext>
          </a:extLst>
        </xdr:cNvPr>
        <xdr:cNvGrpSpPr/>
      </xdr:nvGrpSpPr>
      <xdr:grpSpPr>
        <a:xfrm>
          <a:off x="792913" y="6610350"/>
          <a:ext cx="10819967" cy="704850"/>
          <a:chOff x="781216" y="0"/>
          <a:chExt cx="10660352" cy="704850"/>
        </a:xfrm>
      </xdr:grpSpPr>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10" name="Elbow Connector 9">
            <a:extLst>
              <a:ext uri="{FF2B5EF4-FFF2-40B4-BE49-F238E27FC236}">
                <a16:creationId xmlns:a16="http://schemas.microsoft.com/office/drawing/2014/main" id="{00000000-0008-0000-0A00-00000A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1" name="Elbow Connector 10">
            <a:extLst>
              <a:ext uri="{FF2B5EF4-FFF2-40B4-BE49-F238E27FC236}">
                <a16:creationId xmlns:a16="http://schemas.microsoft.com/office/drawing/2014/main" id="{00000000-0008-0000-0A00-00000B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23</xdr:row>
      <xdr:rowOff>19050</xdr:rowOff>
    </xdr:from>
    <xdr:to>
      <xdr:col>0</xdr:col>
      <xdr:colOff>790992</xdr:colOff>
      <xdr:row>23</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629400"/>
          <a:ext cx="771942" cy="7239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792913</xdr:colOff>
      <xdr:row>31</xdr:row>
      <xdr:rowOff>0</xdr:rowOff>
    </xdr:from>
    <xdr:to>
      <xdr:col>11</xdr:col>
      <xdr:colOff>878205</xdr:colOff>
      <xdr:row>31</xdr:row>
      <xdr:rowOff>704850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792913" y="9791700"/>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B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B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31</xdr:row>
      <xdr:rowOff>19050</xdr:rowOff>
    </xdr:from>
    <xdr:to>
      <xdr:col>0</xdr:col>
      <xdr:colOff>790992</xdr:colOff>
      <xdr:row>31</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B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810750"/>
          <a:ext cx="771942" cy="7239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779440</xdr:colOff>
      <xdr:row>6</xdr:row>
      <xdr:rowOff>0</xdr:rowOff>
    </xdr:from>
    <xdr:to>
      <xdr:col>5</xdr:col>
      <xdr:colOff>1467909</xdr:colOff>
      <xdr:row>6</xdr:row>
      <xdr:rowOff>704850</xdr:rowOff>
    </xdr:to>
    <xdr:grpSp>
      <xdr:nvGrpSpPr>
        <xdr:cNvPr id="7" name="Group 6">
          <a:extLst>
            <a:ext uri="{FF2B5EF4-FFF2-40B4-BE49-F238E27FC236}">
              <a16:creationId xmlns:a16="http://schemas.microsoft.com/office/drawing/2014/main" id="{00000000-0008-0000-0C00-000007000000}"/>
            </a:ext>
          </a:extLst>
        </xdr:cNvPr>
        <xdr:cNvGrpSpPr/>
      </xdr:nvGrpSpPr>
      <xdr:grpSpPr>
        <a:xfrm>
          <a:off x="779440" y="22764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C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C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790992</xdr:colOff>
      <xdr:row>6</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95525"/>
          <a:ext cx="771942" cy="72390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799401</xdr:colOff>
      <xdr:row>0</xdr:row>
      <xdr:rowOff>19050</xdr:rowOff>
    </xdr:from>
    <xdr:to>
      <xdr:col>5</xdr:col>
      <xdr:colOff>1050798</xdr:colOff>
      <xdr:row>0</xdr:row>
      <xdr:rowOff>723900</xdr:rowOff>
    </xdr:to>
    <xdr:grpSp>
      <xdr:nvGrpSpPr>
        <xdr:cNvPr id="30" name="Group 29">
          <a:extLst>
            <a:ext uri="{FF2B5EF4-FFF2-40B4-BE49-F238E27FC236}">
              <a16:creationId xmlns:a16="http://schemas.microsoft.com/office/drawing/2014/main" id="{00000000-0008-0000-0D00-00001E000000}"/>
            </a:ext>
          </a:extLst>
        </xdr:cNvPr>
        <xdr:cNvGrpSpPr/>
      </xdr:nvGrpSpPr>
      <xdr:grpSpPr>
        <a:xfrm>
          <a:off x="799401" y="19050"/>
          <a:ext cx="6461697" cy="704850"/>
          <a:chOff x="800100" y="19050"/>
          <a:chExt cx="6467475" cy="704850"/>
        </a:xfrm>
      </xdr:grpSpPr>
      <xdr:sp macro="" textlink="">
        <xdr:nvSpPr>
          <xdr:cNvPr id="32" name="TextBox 31">
            <a:extLst>
              <a:ext uri="{FF2B5EF4-FFF2-40B4-BE49-F238E27FC236}">
                <a16:creationId xmlns:a16="http://schemas.microsoft.com/office/drawing/2014/main" id="{00000000-0008-0000-0D00-000020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33" name="Elbow Connector 32">
            <a:extLst>
              <a:ext uri="{FF2B5EF4-FFF2-40B4-BE49-F238E27FC236}">
                <a16:creationId xmlns:a16="http://schemas.microsoft.com/office/drawing/2014/main" id="{00000000-0008-0000-0D00-000021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4" name="Elbow Connector 33">
            <a:extLst>
              <a:ext uri="{FF2B5EF4-FFF2-40B4-BE49-F238E27FC236}">
                <a16:creationId xmlns:a16="http://schemas.microsoft.com/office/drawing/2014/main" id="{00000000-0008-0000-0D00-000022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981075</xdr:colOff>
          <xdr:row>10</xdr:row>
          <xdr:rowOff>57150</xdr:rowOff>
        </xdr:from>
        <xdr:to>
          <xdr:col>5</xdr:col>
          <xdr:colOff>895350</xdr:colOff>
          <xdr:row>10</xdr:row>
          <xdr:rowOff>514350</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D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981075</xdr:colOff>
          <xdr:row>11</xdr:row>
          <xdr:rowOff>66675</xdr:rowOff>
        </xdr:from>
        <xdr:to>
          <xdr:col>5</xdr:col>
          <xdr:colOff>895350</xdr:colOff>
          <xdr:row>11</xdr:row>
          <xdr:rowOff>523875</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D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26</xdr:row>
          <xdr:rowOff>142875</xdr:rowOff>
        </xdr:from>
        <xdr:to>
          <xdr:col>4</xdr:col>
          <xdr:colOff>609600</xdr:colOff>
          <xdr:row>26</xdr:row>
          <xdr:rowOff>466725</xdr:rowOff>
        </xdr:to>
        <xdr:sp macro="" textlink="">
          <xdr:nvSpPr>
            <xdr:cNvPr id="52269" name="Check Box 45" hidden="1">
              <a:extLst>
                <a:ext uri="{63B3BB69-23CF-44E3-9099-C40C66FF867C}">
                  <a14:compatExt spid="_x0000_s52269"/>
                </a:ext>
                <a:ext uri="{FF2B5EF4-FFF2-40B4-BE49-F238E27FC236}">
                  <a16:creationId xmlns:a16="http://schemas.microsoft.com/office/drawing/2014/main" id="{00000000-0008-0000-0D00-00002D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26</xdr:row>
          <xdr:rowOff>142875</xdr:rowOff>
        </xdr:from>
        <xdr:to>
          <xdr:col>5</xdr:col>
          <xdr:colOff>609600</xdr:colOff>
          <xdr:row>26</xdr:row>
          <xdr:rowOff>466725</xdr:rowOff>
        </xdr:to>
        <xdr:sp macro="" textlink="">
          <xdr:nvSpPr>
            <xdr:cNvPr id="52270" name="Check Box 46" hidden="1">
              <a:extLst>
                <a:ext uri="{63B3BB69-23CF-44E3-9099-C40C66FF867C}">
                  <a14:compatExt spid="_x0000_s52270"/>
                </a:ext>
                <a:ext uri="{FF2B5EF4-FFF2-40B4-BE49-F238E27FC236}">
                  <a16:creationId xmlns:a16="http://schemas.microsoft.com/office/drawing/2014/main" id="{00000000-0008-0000-0D00-00002E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161925</xdr:rowOff>
        </xdr:from>
        <xdr:to>
          <xdr:col>4</xdr:col>
          <xdr:colOff>609600</xdr:colOff>
          <xdr:row>4</xdr:row>
          <xdr:rowOff>485775</xdr:rowOff>
        </xdr:to>
        <xdr:sp macro="" textlink="">
          <xdr:nvSpPr>
            <xdr:cNvPr id="52273" name="Check Box 49" hidden="1">
              <a:extLst>
                <a:ext uri="{63B3BB69-23CF-44E3-9099-C40C66FF867C}">
                  <a14:compatExt spid="_x0000_s52273"/>
                </a:ext>
                <a:ext uri="{FF2B5EF4-FFF2-40B4-BE49-F238E27FC236}">
                  <a16:creationId xmlns:a16="http://schemas.microsoft.com/office/drawing/2014/main" id="{00000000-0008-0000-0D00-00003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4</xdr:row>
          <xdr:rowOff>161925</xdr:rowOff>
        </xdr:from>
        <xdr:to>
          <xdr:col>5</xdr:col>
          <xdr:colOff>609600</xdr:colOff>
          <xdr:row>4</xdr:row>
          <xdr:rowOff>485775</xdr:rowOff>
        </xdr:to>
        <xdr:sp macro="" textlink="">
          <xdr:nvSpPr>
            <xdr:cNvPr id="52274" name="Check Box 50" hidden="1">
              <a:extLst>
                <a:ext uri="{63B3BB69-23CF-44E3-9099-C40C66FF867C}">
                  <a14:compatExt spid="_x0000_s52274"/>
                </a:ext>
                <a:ext uri="{FF2B5EF4-FFF2-40B4-BE49-F238E27FC236}">
                  <a16:creationId xmlns:a16="http://schemas.microsoft.com/office/drawing/2014/main" id="{00000000-0008-0000-0D00-00003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171450</xdr:rowOff>
        </xdr:from>
        <xdr:to>
          <xdr:col>4</xdr:col>
          <xdr:colOff>609600</xdr:colOff>
          <xdr:row>5</xdr:row>
          <xdr:rowOff>495300</xdr:rowOff>
        </xdr:to>
        <xdr:sp macro="" textlink="">
          <xdr:nvSpPr>
            <xdr:cNvPr id="52276" name="Check Box 52" hidden="1">
              <a:extLst>
                <a:ext uri="{63B3BB69-23CF-44E3-9099-C40C66FF867C}">
                  <a14:compatExt spid="_x0000_s52276"/>
                </a:ext>
                <a:ext uri="{FF2B5EF4-FFF2-40B4-BE49-F238E27FC236}">
                  <a16:creationId xmlns:a16="http://schemas.microsoft.com/office/drawing/2014/main" id="{00000000-0008-0000-0D00-00003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5</xdr:row>
          <xdr:rowOff>171450</xdr:rowOff>
        </xdr:from>
        <xdr:to>
          <xdr:col>5</xdr:col>
          <xdr:colOff>609600</xdr:colOff>
          <xdr:row>5</xdr:row>
          <xdr:rowOff>495300</xdr:rowOff>
        </xdr:to>
        <xdr:sp macro="" textlink="">
          <xdr:nvSpPr>
            <xdr:cNvPr id="52277" name="Check Box 53" hidden="1">
              <a:extLst>
                <a:ext uri="{63B3BB69-23CF-44E3-9099-C40C66FF867C}">
                  <a14:compatExt spid="_x0000_s52277"/>
                </a:ext>
                <a:ext uri="{FF2B5EF4-FFF2-40B4-BE49-F238E27FC236}">
                  <a16:creationId xmlns:a16="http://schemas.microsoft.com/office/drawing/2014/main" id="{00000000-0008-0000-0D00-00003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171450</xdr:rowOff>
        </xdr:from>
        <xdr:to>
          <xdr:col>4</xdr:col>
          <xdr:colOff>609600</xdr:colOff>
          <xdr:row>15</xdr:row>
          <xdr:rowOff>495300</xdr:rowOff>
        </xdr:to>
        <xdr:sp macro="" textlink="">
          <xdr:nvSpPr>
            <xdr:cNvPr id="52280" name="Check Box 56" hidden="1">
              <a:extLst>
                <a:ext uri="{63B3BB69-23CF-44E3-9099-C40C66FF867C}">
                  <a14:compatExt spid="_x0000_s52280"/>
                </a:ext>
                <a:ext uri="{FF2B5EF4-FFF2-40B4-BE49-F238E27FC236}">
                  <a16:creationId xmlns:a16="http://schemas.microsoft.com/office/drawing/2014/main" id="{00000000-0008-0000-0D00-00003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15</xdr:row>
          <xdr:rowOff>171450</xdr:rowOff>
        </xdr:from>
        <xdr:to>
          <xdr:col>5</xdr:col>
          <xdr:colOff>609600</xdr:colOff>
          <xdr:row>15</xdr:row>
          <xdr:rowOff>495300</xdr:rowOff>
        </xdr:to>
        <xdr:sp macro="" textlink="">
          <xdr:nvSpPr>
            <xdr:cNvPr id="52281" name="Check Box 57" hidden="1">
              <a:extLst>
                <a:ext uri="{63B3BB69-23CF-44E3-9099-C40C66FF867C}">
                  <a14:compatExt spid="_x0000_s52281"/>
                </a:ext>
                <a:ext uri="{FF2B5EF4-FFF2-40B4-BE49-F238E27FC236}">
                  <a16:creationId xmlns:a16="http://schemas.microsoft.com/office/drawing/2014/main" id="{00000000-0008-0000-0D00-000039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20</xdr:row>
          <xdr:rowOff>133350</xdr:rowOff>
        </xdr:from>
        <xdr:to>
          <xdr:col>4</xdr:col>
          <xdr:colOff>609600</xdr:colOff>
          <xdr:row>20</xdr:row>
          <xdr:rowOff>457200</xdr:rowOff>
        </xdr:to>
        <xdr:sp macro="" textlink="">
          <xdr:nvSpPr>
            <xdr:cNvPr id="52282" name="Check Box 58" hidden="1">
              <a:extLst>
                <a:ext uri="{63B3BB69-23CF-44E3-9099-C40C66FF867C}">
                  <a14:compatExt spid="_x0000_s52282"/>
                </a:ext>
                <a:ext uri="{FF2B5EF4-FFF2-40B4-BE49-F238E27FC236}">
                  <a16:creationId xmlns:a16="http://schemas.microsoft.com/office/drawing/2014/main" id="{00000000-0008-0000-0D00-00003A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20</xdr:row>
          <xdr:rowOff>133350</xdr:rowOff>
        </xdr:from>
        <xdr:to>
          <xdr:col>5</xdr:col>
          <xdr:colOff>609600</xdr:colOff>
          <xdr:row>20</xdr:row>
          <xdr:rowOff>457200</xdr:rowOff>
        </xdr:to>
        <xdr:sp macro="" textlink="">
          <xdr:nvSpPr>
            <xdr:cNvPr id="52283" name="Check Box 59" hidden="1">
              <a:extLst>
                <a:ext uri="{63B3BB69-23CF-44E3-9099-C40C66FF867C}">
                  <a14:compatExt spid="_x0000_s52283"/>
                </a:ext>
                <a:ext uri="{FF2B5EF4-FFF2-40B4-BE49-F238E27FC236}">
                  <a16:creationId xmlns:a16="http://schemas.microsoft.com/office/drawing/2014/main" id="{00000000-0008-0000-0D00-00003B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0</xdr:row>
      <xdr:rowOff>19050</xdr:rowOff>
    </xdr:from>
    <xdr:to>
      <xdr:col>0</xdr:col>
      <xdr:colOff>790992</xdr:colOff>
      <xdr:row>0</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9050"/>
          <a:ext cx="771942" cy="723900"/>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99621</xdr:colOff>
      <xdr:row>13</xdr:row>
      <xdr:rowOff>0</xdr:rowOff>
    </xdr:from>
    <xdr:to>
      <xdr:col>9</xdr:col>
      <xdr:colOff>1663827</xdr:colOff>
      <xdr:row>13</xdr:row>
      <xdr:rowOff>704850</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785421" y="5229225"/>
          <a:ext cx="10717731" cy="704850"/>
          <a:chOff x="781216" y="0"/>
          <a:chExt cx="10660352" cy="704850"/>
        </a:xfrm>
      </xdr:grpSpPr>
      <xdr:sp macro="" textlink="">
        <xdr:nvSpPr>
          <xdr:cNvPr id="4" name="TextBox 3">
            <a:extLst>
              <a:ext uri="{FF2B5EF4-FFF2-40B4-BE49-F238E27FC236}">
                <a16:creationId xmlns:a16="http://schemas.microsoft.com/office/drawing/2014/main" id="{00000000-0008-0000-0E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E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E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13</xdr:row>
      <xdr:rowOff>19050</xdr:rowOff>
    </xdr:from>
    <xdr:to>
      <xdr:col>1</xdr:col>
      <xdr:colOff>105192</xdr:colOff>
      <xdr:row>13</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E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248275"/>
          <a:ext cx="771942" cy="723900"/>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114300</xdr:colOff>
      <xdr:row>17</xdr:row>
      <xdr:rowOff>0</xdr:rowOff>
    </xdr:from>
    <xdr:to>
      <xdr:col>13</xdr:col>
      <xdr:colOff>733425</xdr:colOff>
      <xdr:row>17</xdr:row>
      <xdr:rowOff>704850</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800100" y="7277100"/>
          <a:ext cx="10725150" cy="704850"/>
          <a:chOff x="732498" y="12534900"/>
          <a:chExt cx="10726077" cy="704850"/>
        </a:xfrm>
      </xdr:grpSpPr>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F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F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28575</xdr:colOff>
          <xdr:row>21</xdr:row>
          <xdr:rowOff>152400</xdr:rowOff>
        </xdr:from>
        <xdr:to>
          <xdr:col>3</xdr:col>
          <xdr:colOff>781050</xdr:colOff>
          <xdr:row>21</xdr:row>
          <xdr:rowOff>371475</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0F00-00000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22</xdr:row>
          <xdr:rowOff>152400</xdr:rowOff>
        </xdr:from>
        <xdr:to>
          <xdr:col>3</xdr:col>
          <xdr:colOff>781050</xdr:colOff>
          <xdr:row>22</xdr:row>
          <xdr:rowOff>371475</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F00-00000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26</xdr:row>
          <xdr:rowOff>219075</xdr:rowOff>
        </xdr:from>
        <xdr:to>
          <xdr:col>3</xdr:col>
          <xdr:colOff>781050</xdr:colOff>
          <xdr:row>26</xdr:row>
          <xdr:rowOff>438150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F00-000003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27</xdr:row>
          <xdr:rowOff>219075</xdr:rowOff>
        </xdr:from>
        <xdr:to>
          <xdr:col>3</xdr:col>
          <xdr:colOff>781050</xdr:colOff>
          <xdr:row>27</xdr:row>
          <xdr:rowOff>438150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F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76200</xdr:colOff>
      <xdr:row>28</xdr:row>
      <xdr:rowOff>38104</xdr:rowOff>
    </xdr:from>
    <xdr:to>
      <xdr:col>13</xdr:col>
      <xdr:colOff>733425</xdr:colOff>
      <xdr:row>28</xdr:row>
      <xdr:rowOff>739444</xdr:rowOff>
    </xdr:to>
    <xdr:grpSp>
      <xdr:nvGrpSpPr>
        <xdr:cNvPr id="11" name="Group 10">
          <a:extLst>
            <a:ext uri="{FF2B5EF4-FFF2-40B4-BE49-F238E27FC236}">
              <a16:creationId xmlns:a16="http://schemas.microsoft.com/office/drawing/2014/main" id="{00000000-0008-0000-0F00-00000B000000}"/>
            </a:ext>
          </a:extLst>
        </xdr:cNvPr>
        <xdr:cNvGrpSpPr/>
      </xdr:nvGrpSpPr>
      <xdr:grpSpPr>
        <a:xfrm>
          <a:off x="762000" y="12811129"/>
          <a:ext cx="10763250" cy="701340"/>
          <a:chOff x="732498" y="12534900"/>
          <a:chExt cx="10726077" cy="704850"/>
        </a:xfrm>
      </xdr:grpSpPr>
      <xdr:sp macro="" textlink="">
        <xdr:nvSpPr>
          <xdr:cNvPr id="13" name="TextBox 12">
            <a:extLst>
              <a:ext uri="{FF2B5EF4-FFF2-40B4-BE49-F238E27FC236}">
                <a16:creationId xmlns:a16="http://schemas.microsoft.com/office/drawing/2014/main" id="{00000000-0008-0000-0F00-00000D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14" name="Elbow Connector 13">
            <a:extLst>
              <a:ext uri="{FF2B5EF4-FFF2-40B4-BE49-F238E27FC236}">
                <a16:creationId xmlns:a16="http://schemas.microsoft.com/office/drawing/2014/main" id="{00000000-0008-0000-0F00-00000E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5" name="Elbow Connector 14">
            <a:extLst>
              <a:ext uri="{FF2B5EF4-FFF2-40B4-BE49-F238E27FC236}">
                <a16:creationId xmlns:a16="http://schemas.microsoft.com/office/drawing/2014/main" id="{00000000-0008-0000-0F00-00000F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17</xdr:row>
      <xdr:rowOff>19050</xdr:rowOff>
    </xdr:from>
    <xdr:to>
      <xdr:col>1</xdr:col>
      <xdr:colOff>105192</xdr:colOff>
      <xdr:row>17</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296150"/>
          <a:ext cx="771942" cy="723900"/>
        </a:xfrm>
        <a:prstGeom prst="rect">
          <a:avLst/>
        </a:prstGeom>
        <a:noFill/>
        <a:ln>
          <a:noFill/>
        </a:ln>
      </xdr:spPr>
    </xdr:pic>
    <xdr:clientData/>
  </xdr:twoCellAnchor>
  <xdr:twoCellAnchor editAs="oneCell">
    <xdr:from>
      <xdr:col>0</xdr:col>
      <xdr:colOff>0</xdr:colOff>
      <xdr:row>28</xdr:row>
      <xdr:rowOff>19050</xdr:rowOff>
    </xdr:from>
    <xdr:to>
      <xdr:col>1</xdr:col>
      <xdr:colOff>86142</xdr:colOff>
      <xdr:row>28</xdr:row>
      <xdr:rowOff>742950</xdr:rowOff>
    </xdr:to>
    <xdr:pic>
      <xdr:nvPicPr>
        <xdr:cNvPr id="3" name="Picture 2" descr="Graphical user interface, text&#10;&#10;Description automatically generated with medium confidence">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0" y="12792075"/>
          <a:ext cx="771942" cy="723900"/>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28150</xdr:colOff>
      <xdr:row>6</xdr:row>
      <xdr:rowOff>0</xdr:rowOff>
    </xdr:from>
    <xdr:to>
      <xdr:col>12</xdr:col>
      <xdr:colOff>812534</xdr:colOff>
      <xdr:row>6</xdr:row>
      <xdr:rowOff>704850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780625" y="2209800"/>
          <a:ext cx="10652284" cy="704850"/>
          <a:chOff x="781216" y="0"/>
          <a:chExt cx="10660352" cy="704850"/>
        </a:xfrm>
      </xdr:grpSpPr>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0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0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1</xdr:col>
      <xdr:colOff>38517</xdr:colOff>
      <xdr:row>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0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228850"/>
          <a:ext cx="771942" cy="723900"/>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792913</xdr:colOff>
      <xdr:row>16</xdr:row>
      <xdr:rowOff>0</xdr:rowOff>
    </xdr:from>
    <xdr:to>
      <xdr:col>11</xdr:col>
      <xdr:colOff>773430</xdr:colOff>
      <xdr:row>16</xdr:row>
      <xdr:rowOff>704850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792913" y="5114925"/>
          <a:ext cx="10819967" cy="704850"/>
          <a:chOff x="781216" y="0"/>
          <a:chExt cx="10660352" cy="704850"/>
        </a:xfrm>
      </xdr:grpSpPr>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1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1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16</xdr:row>
      <xdr:rowOff>19050</xdr:rowOff>
    </xdr:from>
    <xdr:to>
      <xdr:col>0</xdr:col>
      <xdr:colOff>790992</xdr:colOff>
      <xdr:row>16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1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5133975"/>
          <a:ext cx="771942" cy="72390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798948</xdr:colOff>
      <xdr:row>22</xdr:row>
      <xdr:rowOff>0</xdr:rowOff>
    </xdr:from>
    <xdr:to>
      <xdr:col>12</xdr:col>
      <xdr:colOff>4572</xdr:colOff>
      <xdr:row>22</xdr:row>
      <xdr:rowOff>704850</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798948" y="6772275"/>
          <a:ext cx="10902324" cy="704850"/>
          <a:chOff x="781216" y="0"/>
          <a:chExt cx="10660352" cy="704850"/>
        </a:xfrm>
      </xdr:grpSpPr>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781216" y="0"/>
            <a:ext cx="10660352"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200-000005000000}"/>
              </a:ext>
            </a:extLst>
          </xdr:cNvPr>
          <xdr:cNvCxnSpPr/>
        </xdr:nvCxnSpPr>
        <xdr:spPr>
          <a:xfrm flipV="1">
            <a:off x="807388" y="16669"/>
            <a:ext cx="1061463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200-000006000000}"/>
              </a:ext>
            </a:extLst>
          </xdr:cNvPr>
          <xdr:cNvCxnSpPr/>
        </xdr:nvCxnSpPr>
        <xdr:spPr>
          <a:xfrm flipV="1">
            <a:off x="883520" y="92871"/>
            <a:ext cx="1048661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22</xdr:row>
      <xdr:rowOff>19050</xdr:rowOff>
    </xdr:from>
    <xdr:to>
      <xdr:col>0</xdr:col>
      <xdr:colOff>790992</xdr:colOff>
      <xdr:row>22</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6791325"/>
          <a:ext cx="771942" cy="723900"/>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779440</xdr:colOff>
      <xdr:row>7</xdr:row>
      <xdr:rowOff>0</xdr:rowOff>
    </xdr:from>
    <xdr:to>
      <xdr:col>5</xdr:col>
      <xdr:colOff>1467909</xdr:colOff>
      <xdr:row>7</xdr:row>
      <xdr:rowOff>704850</xdr:rowOff>
    </xdr:to>
    <xdr:grpSp>
      <xdr:nvGrpSpPr>
        <xdr:cNvPr id="2" name="Group 1">
          <a:extLst>
            <a:ext uri="{FF2B5EF4-FFF2-40B4-BE49-F238E27FC236}">
              <a16:creationId xmlns:a16="http://schemas.microsoft.com/office/drawing/2014/main" id="{00000000-0008-0000-1300-000002000000}"/>
            </a:ext>
          </a:extLst>
        </xdr:cNvPr>
        <xdr:cNvGrpSpPr/>
      </xdr:nvGrpSpPr>
      <xdr:grpSpPr>
        <a:xfrm>
          <a:off x="779440" y="2009775"/>
          <a:ext cx="8727569" cy="704850"/>
          <a:chOff x="780625" y="0"/>
          <a:chExt cx="8740836" cy="704850"/>
        </a:xfrm>
      </xdr:grpSpPr>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780625" y="0"/>
            <a:ext cx="8740836"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300-000005000000}"/>
              </a:ext>
            </a:extLst>
          </xdr:cNvPr>
          <xdr:cNvCxnSpPr/>
        </xdr:nvCxnSpPr>
        <xdr:spPr>
          <a:xfrm flipV="1">
            <a:off x="806777" y="16669"/>
            <a:ext cx="870426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300-000006000000}"/>
              </a:ext>
            </a:extLst>
          </xdr:cNvPr>
          <xdr:cNvCxnSpPr/>
        </xdr:nvCxnSpPr>
        <xdr:spPr>
          <a:xfrm flipV="1">
            <a:off x="882851" y="92871"/>
            <a:ext cx="85579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7</xdr:row>
      <xdr:rowOff>19050</xdr:rowOff>
    </xdr:from>
    <xdr:to>
      <xdr:col>0</xdr:col>
      <xdr:colOff>790992</xdr:colOff>
      <xdr:row>7</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3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28825"/>
          <a:ext cx="771942" cy="723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1427895</xdr:colOff>
      <xdr:row>0</xdr:row>
      <xdr:rowOff>0</xdr:rowOff>
    </xdr:from>
    <xdr:to>
      <xdr:col>5</xdr:col>
      <xdr:colOff>1044538</xdr:colOff>
      <xdr:row>5</xdr:row>
      <xdr:rowOff>123825</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427895" y="0"/>
          <a:ext cx="5826943" cy="1390650"/>
          <a:chOff x="8407015" y="2439154"/>
          <a:chExt cx="6469672" cy="1520059"/>
        </a:xfrm>
      </xdr:grpSpPr>
      <xdr:grpSp>
        <xdr:nvGrpSpPr>
          <xdr:cNvPr id="2" name="Group 1">
            <a:extLst>
              <a:ext uri="{FF2B5EF4-FFF2-40B4-BE49-F238E27FC236}">
                <a16:creationId xmlns:a16="http://schemas.microsoft.com/office/drawing/2014/main" id="{00000000-0008-0000-0100-000002000000}"/>
              </a:ext>
            </a:extLst>
          </xdr:cNvPr>
          <xdr:cNvGrpSpPr/>
        </xdr:nvGrpSpPr>
        <xdr:grpSpPr>
          <a:xfrm>
            <a:off x="8407015" y="2439154"/>
            <a:ext cx="6469672" cy="1520059"/>
            <a:chOff x="8424127" y="2458170"/>
            <a:chExt cx="6477453" cy="1507958"/>
          </a:xfrm>
        </xdr:grpSpPr>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8424127" y="2458170"/>
              <a:ext cx="6477453" cy="1507958"/>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600" b="1"/>
                <a:t>Air</a:t>
              </a:r>
              <a:r>
                <a:rPr lang="en-US" sz="1600" b="1" baseline="0"/>
                <a:t> Quality Permit Application Form - Grain Elevators/Feed Mills</a:t>
              </a:r>
            </a:p>
            <a:p>
              <a:r>
                <a:rPr lang="en-US" sz="1200" b="1" baseline="0"/>
                <a:t>  Lincoln-Lancaster County Health Department</a:t>
              </a:r>
            </a:p>
            <a:p>
              <a:r>
                <a:rPr lang="en-US" sz="1200" b="1" baseline="0"/>
                <a:t>  Environmental Public Health Division - Air Quality Program</a:t>
              </a:r>
            </a:p>
            <a:p>
              <a:r>
                <a:rPr lang="en-US" sz="1200" b="1" baseline="0"/>
                <a:t>  Lincoln, NE 68510</a:t>
              </a:r>
            </a:p>
            <a:p>
              <a:r>
                <a:rPr lang="en-US" sz="1200" b="1" baseline="0"/>
                <a:t>  ph: (402) 441-8040	fax: (402) 441-3890</a:t>
              </a:r>
            </a:p>
            <a:p>
              <a:endParaRPr lang="en-US" sz="600" b="1" baseline="0"/>
            </a:p>
            <a:p>
              <a:r>
                <a:rPr lang="en-US" sz="1200" b="1" baseline="0"/>
                <a:t>  </a:t>
              </a:r>
              <a:endParaRPr lang="en-US" sz="1100" b="0"/>
            </a:p>
          </xdr:txBody>
        </xdr:sp>
        <xdr:cxnSp macro="">
          <xdr:nvCxnSpPr>
            <xdr:cNvPr id="39" name="Elbow Connector 38">
              <a:extLst>
                <a:ext uri="{FF2B5EF4-FFF2-40B4-BE49-F238E27FC236}">
                  <a16:creationId xmlns:a16="http://schemas.microsoft.com/office/drawing/2014/main" id="{00000000-0008-0000-0100-000027000000}"/>
                </a:ext>
              </a:extLst>
            </xdr:cNvPr>
            <xdr:cNvCxnSpPr/>
          </xdr:nvCxnSpPr>
          <xdr:spPr>
            <a:xfrm flipV="1">
              <a:off x="8431248" y="2466671"/>
              <a:ext cx="6455606" cy="148357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40" name="Elbow Connector 39">
              <a:extLst>
                <a:ext uri="{FF2B5EF4-FFF2-40B4-BE49-F238E27FC236}">
                  <a16:creationId xmlns:a16="http://schemas.microsoft.com/office/drawing/2014/main" id="{00000000-0008-0000-0100-000028000000}"/>
                </a:ext>
              </a:extLst>
            </xdr:cNvPr>
            <xdr:cNvCxnSpPr/>
          </xdr:nvCxnSpPr>
          <xdr:spPr>
            <a:xfrm flipV="1">
              <a:off x="8507380" y="2542873"/>
              <a:ext cx="6309302" cy="1339382"/>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8477909" y="3608825"/>
            <a:ext cx="468909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200" b="1" u="sng" baseline="0">
                <a:solidFill>
                  <a:srgbClr val="0000FF"/>
                </a:solidFill>
                <a:effectLst/>
                <a:latin typeface="+mn-lt"/>
                <a:ea typeface="+mn-ea"/>
                <a:cs typeface="+mn-cs"/>
              </a:rPr>
              <a:t>http://www.lincoln.ne.gov/city/health/environ/air.htm</a:t>
            </a:r>
            <a:endParaRPr lang="en-US" sz="1200">
              <a:solidFill>
                <a:srgbClr val="0000FF"/>
              </a:solidFill>
              <a:effectLst/>
            </a:endParaRPr>
          </a:p>
          <a:p>
            <a:endParaRPr lang="en-US" sz="1200">
              <a:solidFill>
                <a:srgbClr val="0000FF"/>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3</xdr:col>
          <xdr:colOff>66675</xdr:colOff>
          <xdr:row>23</xdr:row>
          <xdr:rowOff>95250</xdr:rowOff>
        </xdr:from>
        <xdr:to>
          <xdr:col>3</xdr:col>
          <xdr:colOff>981075</xdr:colOff>
          <xdr:row>24</xdr:row>
          <xdr:rowOff>114300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1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23</xdr:row>
          <xdr:rowOff>85725</xdr:rowOff>
        </xdr:from>
        <xdr:to>
          <xdr:col>4</xdr:col>
          <xdr:colOff>971550</xdr:colOff>
          <xdr:row>24</xdr:row>
          <xdr:rowOff>114300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1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23</xdr:row>
          <xdr:rowOff>85725</xdr:rowOff>
        </xdr:from>
        <xdr:to>
          <xdr:col>5</xdr:col>
          <xdr:colOff>971550</xdr:colOff>
          <xdr:row>24</xdr:row>
          <xdr:rowOff>114300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1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1</xdr:col>
          <xdr:colOff>857250</xdr:colOff>
          <xdr:row>14</xdr:row>
          <xdr:rowOff>19050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1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0</xdr:rowOff>
        </xdr:from>
        <xdr:to>
          <xdr:col>1</xdr:col>
          <xdr:colOff>857250</xdr:colOff>
          <xdr:row>15</xdr:row>
          <xdr:rowOff>19050</xdr:rowOff>
        </xdr:to>
        <xdr:sp macro="" textlink="">
          <xdr:nvSpPr>
            <xdr:cNvPr id="14347" name="Check Box 11" hidden="1">
              <a:extLst>
                <a:ext uri="{63B3BB69-23CF-44E3-9099-C40C66FF867C}">
                  <a14:compatExt spid="_x0000_s14347"/>
                </a:ext>
                <a:ext uri="{FF2B5EF4-FFF2-40B4-BE49-F238E27FC236}">
                  <a16:creationId xmlns:a16="http://schemas.microsoft.com/office/drawing/2014/main" id="{00000000-0008-0000-0100-00000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38100</xdr:rowOff>
        </xdr:from>
        <xdr:to>
          <xdr:col>2</xdr:col>
          <xdr:colOff>647700</xdr:colOff>
          <xdr:row>35</xdr:row>
          <xdr:rowOff>247650</xdr:rowOff>
        </xdr:to>
        <xdr:sp macro="" textlink="">
          <xdr:nvSpPr>
            <xdr:cNvPr id="14349" name="Check Box 13" hidden="1">
              <a:extLst>
                <a:ext uri="{63B3BB69-23CF-44E3-9099-C40C66FF867C}">
                  <a14:compatExt spid="_x0000_s14349"/>
                </a:ext>
                <a:ext uri="{FF2B5EF4-FFF2-40B4-BE49-F238E27FC236}">
                  <a16:creationId xmlns:a16="http://schemas.microsoft.com/office/drawing/2014/main" id="{00000000-0008-0000-0100-00000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85725</xdr:colOff>
          <xdr:row>36</xdr:row>
          <xdr:rowOff>38100</xdr:rowOff>
        </xdr:from>
        <xdr:to>
          <xdr:col>2</xdr:col>
          <xdr:colOff>647700</xdr:colOff>
          <xdr:row>36</xdr:row>
          <xdr:rowOff>247650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1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0</xdr:rowOff>
        </xdr:from>
        <xdr:to>
          <xdr:col>2</xdr:col>
          <xdr:colOff>933450</xdr:colOff>
          <xdr:row>7</xdr:row>
          <xdr:rowOff>9525</xdr:rowOff>
        </xdr:to>
        <xdr:sp macro="" textlink="">
          <xdr:nvSpPr>
            <xdr:cNvPr id="14351" name="Check Box 15" hidden="1">
              <a:extLst>
                <a:ext uri="{63B3BB69-23CF-44E3-9099-C40C66FF867C}">
                  <a14:compatExt spid="_x0000_s14351"/>
                </a:ext>
                <a:ext uri="{FF2B5EF4-FFF2-40B4-BE49-F238E27FC236}">
                  <a16:creationId xmlns:a16="http://schemas.microsoft.com/office/drawing/2014/main" id="{00000000-0008-0000-0100-00000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6</xdr:row>
          <xdr:rowOff>200025</xdr:rowOff>
        </xdr:from>
        <xdr:to>
          <xdr:col>2</xdr:col>
          <xdr:colOff>933450</xdr:colOff>
          <xdr:row>8</xdr:row>
          <xdr:rowOff>0</xdr:rowOff>
        </xdr:to>
        <xdr:sp macro="" textlink="">
          <xdr:nvSpPr>
            <xdr:cNvPr id="14352" name="Check Box 16" hidden="1">
              <a:extLst>
                <a:ext uri="{63B3BB69-23CF-44E3-9099-C40C66FF867C}">
                  <a14:compatExt spid="_x0000_s14352"/>
                </a:ext>
                <a:ext uri="{FF2B5EF4-FFF2-40B4-BE49-F238E27FC236}">
                  <a16:creationId xmlns:a16="http://schemas.microsoft.com/office/drawing/2014/main" id="{00000000-0008-0000-0100-00001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0</xdr:rowOff>
        </xdr:from>
        <xdr:to>
          <xdr:col>5</xdr:col>
          <xdr:colOff>590550</xdr:colOff>
          <xdr:row>7</xdr:row>
          <xdr:rowOff>9525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1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xdr:row>
          <xdr:rowOff>200025</xdr:rowOff>
        </xdr:from>
        <xdr:to>
          <xdr:col>5</xdr:col>
          <xdr:colOff>590550</xdr:colOff>
          <xdr:row>8</xdr:row>
          <xdr:rowOff>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1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42</xdr:row>
          <xdr:rowOff>28575</xdr:rowOff>
        </xdr:from>
        <xdr:to>
          <xdr:col>4</xdr:col>
          <xdr:colOff>876300</xdr:colOff>
          <xdr:row>42</xdr:row>
          <xdr:rowOff>238125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1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42</xdr:row>
          <xdr:rowOff>28575</xdr:rowOff>
        </xdr:from>
        <xdr:to>
          <xdr:col>5</xdr:col>
          <xdr:colOff>876300</xdr:colOff>
          <xdr:row>42</xdr:row>
          <xdr:rowOff>238125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1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43</xdr:row>
          <xdr:rowOff>28575</xdr:rowOff>
        </xdr:from>
        <xdr:to>
          <xdr:col>3</xdr:col>
          <xdr:colOff>1028700</xdr:colOff>
          <xdr:row>43</xdr:row>
          <xdr:rowOff>228600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1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44</xdr:row>
          <xdr:rowOff>28575</xdr:rowOff>
        </xdr:from>
        <xdr:to>
          <xdr:col>3</xdr:col>
          <xdr:colOff>1028700</xdr:colOff>
          <xdr:row>44</xdr:row>
          <xdr:rowOff>228600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1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28575</xdr:rowOff>
        </xdr:from>
        <xdr:to>
          <xdr:col>5</xdr:col>
          <xdr:colOff>1028700</xdr:colOff>
          <xdr:row>43</xdr:row>
          <xdr:rowOff>228600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1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104775</xdr:colOff>
          <xdr:row>46</xdr:row>
          <xdr:rowOff>95250</xdr:rowOff>
        </xdr:from>
        <xdr:to>
          <xdr:col>4</xdr:col>
          <xdr:colOff>885825</xdr:colOff>
          <xdr:row>46</xdr:row>
          <xdr:rowOff>304800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1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46</xdr:row>
          <xdr:rowOff>95250</xdr:rowOff>
        </xdr:from>
        <xdr:to>
          <xdr:col>5</xdr:col>
          <xdr:colOff>876300</xdr:colOff>
          <xdr:row>46</xdr:row>
          <xdr:rowOff>304800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1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49</xdr:row>
          <xdr:rowOff>28575</xdr:rowOff>
        </xdr:from>
        <xdr:to>
          <xdr:col>3</xdr:col>
          <xdr:colOff>1028700</xdr:colOff>
          <xdr:row>49</xdr:row>
          <xdr:rowOff>228600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1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50</xdr:row>
          <xdr:rowOff>19050</xdr:rowOff>
        </xdr:from>
        <xdr:to>
          <xdr:col>5</xdr:col>
          <xdr:colOff>1009650</xdr:colOff>
          <xdr:row>50</xdr:row>
          <xdr:rowOff>219075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1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49</xdr:row>
          <xdr:rowOff>28575</xdr:rowOff>
        </xdr:from>
        <xdr:to>
          <xdr:col>5</xdr:col>
          <xdr:colOff>1038225</xdr:colOff>
          <xdr:row>49</xdr:row>
          <xdr:rowOff>228600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1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55</xdr:row>
          <xdr:rowOff>104775</xdr:rowOff>
        </xdr:from>
        <xdr:to>
          <xdr:col>0</xdr:col>
          <xdr:colOff>1219200</xdr:colOff>
          <xdr:row>55</xdr:row>
          <xdr:rowOff>295275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1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56</xdr:row>
          <xdr:rowOff>114300</xdr:rowOff>
        </xdr:from>
        <xdr:to>
          <xdr:col>0</xdr:col>
          <xdr:colOff>1219200</xdr:colOff>
          <xdr:row>56</xdr:row>
          <xdr:rowOff>304800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1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58</xdr:row>
          <xdr:rowOff>9525</xdr:rowOff>
        </xdr:from>
        <xdr:to>
          <xdr:col>0</xdr:col>
          <xdr:colOff>1219200</xdr:colOff>
          <xdr:row>58</xdr:row>
          <xdr:rowOff>219075</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1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59</xdr:row>
          <xdr:rowOff>0</xdr:rowOff>
        </xdr:from>
        <xdr:to>
          <xdr:col>0</xdr:col>
          <xdr:colOff>1219200</xdr:colOff>
          <xdr:row>59</xdr:row>
          <xdr:rowOff>209550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1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61</xdr:row>
          <xdr:rowOff>28575</xdr:rowOff>
        </xdr:from>
        <xdr:to>
          <xdr:col>0</xdr:col>
          <xdr:colOff>1219200</xdr:colOff>
          <xdr:row>61</xdr:row>
          <xdr:rowOff>238125</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1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62</xdr:row>
          <xdr:rowOff>28575</xdr:rowOff>
        </xdr:from>
        <xdr:to>
          <xdr:col>0</xdr:col>
          <xdr:colOff>1219200</xdr:colOff>
          <xdr:row>62</xdr:row>
          <xdr:rowOff>238125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1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63</xdr:row>
          <xdr:rowOff>28575</xdr:rowOff>
        </xdr:from>
        <xdr:to>
          <xdr:col>0</xdr:col>
          <xdr:colOff>1219200</xdr:colOff>
          <xdr:row>63</xdr:row>
          <xdr:rowOff>238125</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1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65</xdr:row>
          <xdr:rowOff>219075</xdr:rowOff>
        </xdr:from>
        <xdr:to>
          <xdr:col>0</xdr:col>
          <xdr:colOff>1219200</xdr:colOff>
          <xdr:row>65</xdr:row>
          <xdr:rowOff>428625</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1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438150</xdr:colOff>
          <xdr:row>66</xdr:row>
          <xdr:rowOff>219075</xdr:rowOff>
        </xdr:from>
        <xdr:to>
          <xdr:col>0</xdr:col>
          <xdr:colOff>1219200</xdr:colOff>
          <xdr:row>66</xdr:row>
          <xdr:rowOff>428625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1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64</xdr:row>
          <xdr:rowOff>390525</xdr:rowOff>
        </xdr:from>
        <xdr:to>
          <xdr:col>3</xdr:col>
          <xdr:colOff>142875</xdr:colOff>
          <xdr:row>64</xdr:row>
          <xdr:rowOff>571500</xdr:rowOff>
        </xdr:to>
        <xdr:sp macro="" textlink="">
          <xdr:nvSpPr>
            <xdr:cNvPr id="14377" name="Check Box 41" hidden="1">
              <a:extLst>
                <a:ext uri="{63B3BB69-23CF-44E3-9099-C40C66FF867C}">
                  <a14:compatExt spid="_x0000_s14377"/>
                </a:ext>
                <a:ext uri="{FF2B5EF4-FFF2-40B4-BE49-F238E27FC236}">
                  <a16:creationId xmlns:a16="http://schemas.microsoft.com/office/drawing/2014/main" id="{00000000-0008-0000-0100-00002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65</xdr:row>
          <xdr:rowOff>161925</xdr:rowOff>
        </xdr:from>
        <xdr:to>
          <xdr:col>6</xdr:col>
          <xdr:colOff>0</xdr:colOff>
          <xdr:row>65</xdr:row>
          <xdr:rowOff>523875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1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23</xdr:row>
          <xdr:rowOff>0</xdr:rowOff>
        </xdr:from>
        <xdr:to>
          <xdr:col>1</xdr:col>
          <xdr:colOff>857250</xdr:colOff>
          <xdr:row>24</xdr:row>
          <xdr:rowOff>19050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1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24</xdr:row>
          <xdr:rowOff>0</xdr:rowOff>
        </xdr:from>
        <xdr:to>
          <xdr:col>1</xdr:col>
          <xdr:colOff>857250</xdr:colOff>
          <xdr:row>25</xdr:row>
          <xdr:rowOff>19050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1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0</xdr:rowOff>
        </xdr:from>
        <xdr:to>
          <xdr:col>1</xdr:col>
          <xdr:colOff>857250</xdr:colOff>
          <xdr:row>26</xdr:row>
          <xdr:rowOff>19050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1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26</xdr:row>
          <xdr:rowOff>0</xdr:rowOff>
        </xdr:from>
        <xdr:to>
          <xdr:col>1</xdr:col>
          <xdr:colOff>857250</xdr:colOff>
          <xdr:row>27</xdr:row>
          <xdr:rowOff>19050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1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51</xdr:row>
          <xdr:rowOff>28575</xdr:rowOff>
        </xdr:from>
        <xdr:to>
          <xdr:col>3</xdr:col>
          <xdr:colOff>1028700</xdr:colOff>
          <xdr:row>51</xdr:row>
          <xdr:rowOff>228600</xdr:rowOff>
        </xdr:to>
        <xdr:sp macro="" textlink="">
          <xdr:nvSpPr>
            <xdr:cNvPr id="14385" name="Check Box 49" hidden="1">
              <a:extLst>
                <a:ext uri="{63B3BB69-23CF-44E3-9099-C40C66FF867C}">
                  <a14:compatExt spid="_x0000_s14385"/>
                </a:ext>
                <a:ext uri="{FF2B5EF4-FFF2-40B4-BE49-F238E27FC236}">
                  <a16:creationId xmlns:a16="http://schemas.microsoft.com/office/drawing/2014/main" id="{00000000-0008-0000-0100-00003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51</xdr:row>
          <xdr:rowOff>28575</xdr:rowOff>
        </xdr:from>
        <xdr:to>
          <xdr:col>5</xdr:col>
          <xdr:colOff>1038225</xdr:colOff>
          <xdr:row>51</xdr:row>
          <xdr:rowOff>228600</xdr:rowOff>
        </xdr:to>
        <xdr:sp macro="" textlink="">
          <xdr:nvSpPr>
            <xdr:cNvPr id="14386" name="Check Box 50" hidden="1">
              <a:extLst>
                <a:ext uri="{63B3BB69-23CF-44E3-9099-C40C66FF867C}">
                  <a14:compatExt spid="_x0000_s14386"/>
                </a:ext>
                <a:ext uri="{FF2B5EF4-FFF2-40B4-BE49-F238E27FC236}">
                  <a16:creationId xmlns:a16="http://schemas.microsoft.com/office/drawing/2014/main" id="{00000000-0008-0000-0100-00003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57150</xdr:colOff>
      <xdr:row>0</xdr:row>
      <xdr:rowOff>57150</xdr:rowOff>
    </xdr:from>
    <xdr:to>
      <xdr:col>0</xdr:col>
      <xdr:colOff>1381125</xdr:colOff>
      <xdr:row>5</xdr:row>
      <xdr:rowOff>31901</xdr:rowOff>
    </xdr:to>
    <xdr:pic>
      <xdr:nvPicPr>
        <xdr:cNvPr id="6" name="Picture 5" descr="Graphical user interface, text&#10;&#10;Description automatically generated with medium confidenc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r="67113"/>
        <a:stretch>
          <a:fillRect/>
        </a:stretch>
      </xdr:blipFill>
      <xdr:spPr bwMode="auto">
        <a:xfrm>
          <a:off x="57150" y="57150"/>
          <a:ext cx="1323975" cy="1241576"/>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803176</xdr:colOff>
      <xdr:row>19</xdr:row>
      <xdr:rowOff>19050</xdr:rowOff>
    </xdr:from>
    <xdr:to>
      <xdr:col>5</xdr:col>
      <xdr:colOff>1343024</xdr:colOff>
      <xdr:row>19</xdr:row>
      <xdr:rowOff>723900</xdr:rowOff>
    </xdr:to>
    <xdr:grpSp>
      <xdr:nvGrpSpPr>
        <xdr:cNvPr id="2" name="Group 1">
          <a:extLst>
            <a:ext uri="{FF2B5EF4-FFF2-40B4-BE49-F238E27FC236}">
              <a16:creationId xmlns:a16="http://schemas.microsoft.com/office/drawing/2014/main" id="{00000000-0008-0000-1400-000002000000}"/>
            </a:ext>
          </a:extLst>
        </xdr:cNvPr>
        <xdr:cNvGrpSpPr/>
      </xdr:nvGrpSpPr>
      <xdr:grpSpPr>
        <a:xfrm>
          <a:off x="803176" y="7458075"/>
          <a:ext cx="6492973" cy="704850"/>
          <a:chOff x="800100" y="19050"/>
          <a:chExt cx="6467475" cy="704850"/>
        </a:xfrm>
      </xdr:grpSpPr>
      <xdr:sp macro="" textlink="">
        <xdr:nvSpPr>
          <xdr:cNvPr id="4" name="TextBox 3">
            <a:extLst>
              <a:ext uri="{FF2B5EF4-FFF2-40B4-BE49-F238E27FC236}">
                <a16:creationId xmlns:a16="http://schemas.microsoft.com/office/drawing/2014/main" id="{00000000-0008-0000-14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4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4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0</xdr:colOff>
          <xdr:row>24</xdr:row>
          <xdr:rowOff>19050</xdr:rowOff>
        </xdr:from>
        <xdr:to>
          <xdr:col>3</xdr:col>
          <xdr:colOff>781050</xdr:colOff>
          <xdr:row>24</xdr:row>
          <xdr:rowOff>228600</xdr:rowOff>
        </xdr:to>
        <xdr:sp macro="" textlink="">
          <xdr:nvSpPr>
            <xdr:cNvPr id="64583" name="Check Box 71" hidden="1">
              <a:extLst>
                <a:ext uri="{63B3BB69-23CF-44E3-9099-C40C66FF867C}">
                  <a14:compatExt spid="_x0000_s64583"/>
                </a:ext>
                <a:ext uri="{FF2B5EF4-FFF2-40B4-BE49-F238E27FC236}">
                  <a16:creationId xmlns:a16="http://schemas.microsoft.com/office/drawing/2014/main" id="{00000000-0008-0000-1400-00004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781050</xdr:colOff>
          <xdr:row>24</xdr:row>
          <xdr:rowOff>428625</xdr:rowOff>
        </xdr:to>
        <xdr:sp macro="" textlink="">
          <xdr:nvSpPr>
            <xdr:cNvPr id="64584" name="Check Box 72" hidden="1">
              <a:extLst>
                <a:ext uri="{63B3BB69-23CF-44E3-9099-C40C66FF867C}">
                  <a14:compatExt spid="_x0000_s64584"/>
                </a:ext>
                <a:ext uri="{FF2B5EF4-FFF2-40B4-BE49-F238E27FC236}">
                  <a16:creationId xmlns:a16="http://schemas.microsoft.com/office/drawing/2014/main" id="{00000000-0008-0000-1400-00004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19050</xdr:rowOff>
        </xdr:from>
        <xdr:to>
          <xdr:col>3</xdr:col>
          <xdr:colOff>781050</xdr:colOff>
          <xdr:row>25</xdr:row>
          <xdr:rowOff>228600</xdr:rowOff>
        </xdr:to>
        <xdr:sp macro="" textlink="">
          <xdr:nvSpPr>
            <xdr:cNvPr id="64587" name="Check Box 75" hidden="1">
              <a:extLst>
                <a:ext uri="{63B3BB69-23CF-44E3-9099-C40C66FF867C}">
                  <a14:compatExt spid="_x0000_s64587"/>
                </a:ext>
                <a:ext uri="{FF2B5EF4-FFF2-40B4-BE49-F238E27FC236}">
                  <a16:creationId xmlns:a16="http://schemas.microsoft.com/office/drawing/2014/main" id="{00000000-0008-0000-1400-00004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781050</xdr:colOff>
          <xdr:row>25</xdr:row>
          <xdr:rowOff>428625</xdr:rowOff>
        </xdr:to>
        <xdr:sp macro="" textlink="">
          <xdr:nvSpPr>
            <xdr:cNvPr id="64588" name="Check Box 76" hidden="1">
              <a:extLst>
                <a:ext uri="{63B3BB69-23CF-44E3-9099-C40C66FF867C}">
                  <a14:compatExt spid="_x0000_s64588"/>
                </a:ext>
                <a:ext uri="{FF2B5EF4-FFF2-40B4-BE49-F238E27FC236}">
                  <a16:creationId xmlns:a16="http://schemas.microsoft.com/office/drawing/2014/main" id="{00000000-0008-0000-1400-00004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0</xdr:rowOff>
        </xdr:from>
        <xdr:to>
          <xdr:col>3</xdr:col>
          <xdr:colOff>781050</xdr:colOff>
          <xdr:row>26</xdr:row>
          <xdr:rowOff>209550</xdr:rowOff>
        </xdr:to>
        <xdr:sp macro="" textlink="">
          <xdr:nvSpPr>
            <xdr:cNvPr id="64589" name="Check Box 77" hidden="1">
              <a:extLst>
                <a:ext uri="{63B3BB69-23CF-44E3-9099-C40C66FF867C}">
                  <a14:compatExt spid="_x0000_s64589"/>
                </a:ext>
                <a:ext uri="{FF2B5EF4-FFF2-40B4-BE49-F238E27FC236}">
                  <a16:creationId xmlns:a16="http://schemas.microsoft.com/office/drawing/2014/main" id="{00000000-0008-0000-1400-00004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200025</xdr:rowOff>
        </xdr:from>
        <xdr:to>
          <xdr:col>3</xdr:col>
          <xdr:colOff>781050</xdr:colOff>
          <xdr:row>26</xdr:row>
          <xdr:rowOff>409575</xdr:rowOff>
        </xdr:to>
        <xdr:sp macro="" textlink="">
          <xdr:nvSpPr>
            <xdr:cNvPr id="64590" name="Check Box 78" hidden="1">
              <a:extLst>
                <a:ext uri="{63B3BB69-23CF-44E3-9099-C40C66FF867C}">
                  <a14:compatExt spid="_x0000_s64590"/>
                </a:ext>
                <a:ext uri="{FF2B5EF4-FFF2-40B4-BE49-F238E27FC236}">
                  <a16:creationId xmlns:a16="http://schemas.microsoft.com/office/drawing/2014/main" id="{00000000-0008-0000-1400-00004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0</xdr:rowOff>
        </xdr:from>
        <xdr:to>
          <xdr:col>3</xdr:col>
          <xdr:colOff>781050</xdr:colOff>
          <xdr:row>27</xdr:row>
          <xdr:rowOff>209550</xdr:rowOff>
        </xdr:to>
        <xdr:sp macro="" textlink="">
          <xdr:nvSpPr>
            <xdr:cNvPr id="64591" name="Check Box 79" hidden="1">
              <a:extLst>
                <a:ext uri="{63B3BB69-23CF-44E3-9099-C40C66FF867C}">
                  <a14:compatExt spid="_x0000_s64591"/>
                </a:ext>
                <a:ext uri="{FF2B5EF4-FFF2-40B4-BE49-F238E27FC236}">
                  <a16:creationId xmlns:a16="http://schemas.microsoft.com/office/drawing/2014/main" id="{00000000-0008-0000-1400-00004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200025</xdr:rowOff>
        </xdr:from>
        <xdr:to>
          <xdr:col>3</xdr:col>
          <xdr:colOff>781050</xdr:colOff>
          <xdr:row>27</xdr:row>
          <xdr:rowOff>409575</xdr:rowOff>
        </xdr:to>
        <xdr:sp macro="" textlink="">
          <xdr:nvSpPr>
            <xdr:cNvPr id="64592" name="Check Box 80" hidden="1">
              <a:extLst>
                <a:ext uri="{63B3BB69-23CF-44E3-9099-C40C66FF867C}">
                  <a14:compatExt spid="_x0000_s64592"/>
                </a:ext>
                <a:ext uri="{FF2B5EF4-FFF2-40B4-BE49-F238E27FC236}">
                  <a16:creationId xmlns:a16="http://schemas.microsoft.com/office/drawing/2014/main" id="{00000000-0008-0000-1400-00005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0</xdr:rowOff>
        </xdr:from>
        <xdr:to>
          <xdr:col>3</xdr:col>
          <xdr:colOff>781050</xdr:colOff>
          <xdr:row>28</xdr:row>
          <xdr:rowOff>209550</xdr:rowOff>
        </xdr:to>
        <xdr:sp macro="" textlink="">
          <xdr:nvSpPr>
            <xdr:cNvPr id="64595" name="Check Box 83" hidden="1">
              <a:extLst>
                <a:ext uri="{63B3BB69-23CF-44E3-9099-C40C66FF867C}">
                  <a14:compatExt spid="_x0000_s64595"/>
                </a:ext>
                <a:ext uri="{FF2B5EF4-FFF2-40B4-BE49-F238E27FC236}">
                  <a16:creationId xmlns:a16="http://schemas.microsoft.com/office/drawing/2014/main" id="{00000000-0008-0000-1400-00005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200025</xdr:rowOff>
        </xdr:from>
        <xdr:to>
          <xdr:col>3</xdr:col>
          <xdr:colOff>781050</xdr:colOff>
          <xdr:row>28</xdr:row>
          <xdr:rowOff>409575</xdr:rowOff>
        </xdr:to>
        <xdr:sp macro="" textlink="">
          <xdr:nvSpPr>
            <xdr:cNvPr id="64596" name="Check Box 84" hidden="1">
              <a:extLst>
                <a:ext uri="{63B3BB69-23CF-44E3-9099-C40C66FF867C}">
                  <a14:compatExt spid="_x0000_s64596"/>
                </a:ext>
                <a:ext uri="{FF2B5EF4-FFF2-40B4-BE49-F238E27FC236}">
                  <a16:creationId xmlns:a16="http://schemas.microsoft.com/office/drawing/2014/main" id="{00000000-0008-0000-1400-00005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0</xdr:rowOff>
        </xdr:from>
        <xdr:to>
          <xdr:col>3</xdr:col>
          <xdr:colOff>781050</xdr:colOff>
          <xdr:row>29</xdr:row>
          <xdr:rowOff>209550</xdr:rowOff>
        </xdr:to>
        <xdr:sp macro="" textlink="">
          <xdr:nvSpPr>
            <xdr:cNvPr id="64597" name="Check Box 85" hidden="1">
              <a:extLst>
                <a:ext uri="{63B3BB69-23CF-44E3-9099-C40C66FF867C}">
                  <a14:compatExt spid="_x0000_s64597"/>
                </a:ext>
                <a:ext uri="{FF2B5EF4-FFF2-40B4-BE49-F238E27FC236}">
                  <a16:creationId xmlns:a16="http://schemas.microsoft.com/office/drawing/2014/main" id="{00000000-0008-0000-1400-00005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200025</xdr:rowOff>
        </xdr:from>
        <xdr:to>
          <xdr:col>3</xdr:col>
          <xdr:colOff>781050</xdr:colOff>
          <xdr:row>29</xdr:row>
          <xdr:rowOff>409575</xdr:rowOff>
        </xdr:to>
        <xdr:sp macro="" textlink="">
          <xdr:nvSpPr>
            <xdr:cNvPr id="64598" name="Check Box 86" hidden="1">
              <a:extLst>
                <a:ext uri="{63B3BB69-23CF-44E3-9099-C40C66FF867C}">
                  <a14:compatExt spid="_x0000_s64598"/>
                </a:ext>
                <a:ext uri="{FF2B5EF4-FFF2-40B4-BE49-F238E27FC236}">
                  <a16:creationId xmlns:a16="http://schemas.microsoft.com/office/drawing/2014/main" id="{00000000-0008-0000-1400-00005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599" name="Check Box 87" hidden="1">
              <a:extLst>
                <a:ext uri="{63B3BB69-23CF-44E3-9099-C40C66FF867C}">
                  <a14:compatExt spid="_x0000_s64599"/>
                </a:ext>
                <a:ext uri="{FF2B5EF4-FFF2-40B4-BE49-F238E27FC236}">
                  <a16:creationId xmlns:a16="http://schemas.microsoft.com/office/drawing/2014/main" id="{00000000-0008-0000-1400-00005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600" name="Check Box 88" hidden="1">
              <a:extLst>
                <a:ext uri="{63B3BB69-23CF-44E3-9099-C40C66FF867C}">
                  <a14:compatExt spid="_x0000_s64600"/>
                </a:ext>
                <a:ext uri="{FF2B5EF4-FFF2-40B4-BE49-F238E27FC236}">
                  <a16:creationId xmlns:a16="http://schemas.microsoft.com/office/drawing/2014/main" id="{00000000-0008-0000-1400-00005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0</xdr:rowOff>
        </xdr:from>
        <xdr:to>
          <xdr:col>3</xdr:col>
          <xdr:colOff>781050</xdr:colOff>
          <xdr:row>30</xdr:row>
          <xdr:rowOff>209550</xdr:rowOff>
        </xdr:to>
        <xdr:sp macro="" textlink="">
          <xdr:nvSpPr>
            <xdr:cNvPr id="64601" name="Check Box 89" hidden="1">
              <a:extLst>
                <a:ext uri="{63B3BB69-23CF-44E3-9099-C40C66FF867C}">
                  <a14:compatExt spid="_x0000_s64601"/>
                </a:ext>
                <a:ext uri="{FF2B5EF4-FFF2-40B4-BE49-F238E27FC236}">
                  <a16:creationId xmlns:a16="http://schemas.microsoft.com/office/drawing/2014/main" id="{00000000-0008-0000-1400-00005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200025</xdr:rowOff>
        </xdr:from>
        <xdr:to>
          <xdr:col>3</xdr:col>
          <xdr:colOff>781050</xdr:colOff>
          <xdr:row>30</xdr:row>
          <xdr:rowOff>409575</xdr:rowOff>
        </xdr:to>
        <xdr:sp macro="" textlink="">
          <xdr:nvSpPr>
            <xdr:cNvPr id="64602" name="Check Box 90" hidden="1">
              <a:extLst>
                <a:ext uri="{63B3BB69-23CF-44E3-9099-C40C66FF867C}">
                  <a14:compatExt spid="_x0000_s64602"/>
                </a:ext>
                <a:ext uri="{FF2B5EF4-FFF2-40B4-BE49-F238E27FC236}">
                  <a16:creationId xmlns:a16="http://schemas.microsoft.com/office/drawing/2014/main" id="{00000000-0008-0000-1400-00005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0</xdr:rowOff>
        </xdr:from>
        <xdr:to>
          <xdr:col>3</xdr:col>
          <xdr:colOff>781050</xdr:colOff>
          <xdr:row>31</xdr:row>
          <xdr:rowOff>209550</xdr:rowOff>
        </xdr:to>
        <xdr:sp macro="" textlink="">
          <xdr:nvSpPr>
            <xdr:cNvPr id="64603" name="Check Box 91" hidden="1">
              <a:extLst>
                <a:ext uri="{63B3BB69-23CF-44E3-9099-C40C66FF867C}">
                  <a14:compatExt spid="_x0000_s64603"/>
                </a:ext>
                <a:ext uri="{FF2B5EF4-FFF2-40B4-BE49-F238E27FC236}">
                  <a16:creationId xmlns:a16="http://schemas.microsoft.com/office/drawing/2014/main" id="{00000000-0008-0000-1400-00005B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200025</xdr:rowOff>
        </xdr:from>
        <xdr:to>
          <xdr:col>3</xdr:col>
          <xdr:colOff>781050</xdr:colOff>
          <xdr:row>31</xdr:row>
          <xdr:rowOff>409575</xdr:rowOff>
        </xdr:to>
        <xdr:sp macro="" textlink="">
          <xdr:nvSpPr>
            <xdr:cNvPr id="64604" name="Check Box 92" hidden="1">
              <a:extLst>
                <a:ext uri="{63B3BB69-23CF-44E3-9099-C40C66FF867C}">
                  <a14:compatExt spid="_x0000_s64604"/>
                </a:ext>
                <a:ext uri="{FF2B5EF4-FFF2-40B4-BE49-F238E27FC236}">
                  <a16:creationId xmlns:a16="http://schemas.microsoft.com/office/drawing/2014/main" id="{00000000-0008-0000-1400-00005C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0</xdr:rowOff>
        </xdr:from>
        <xdr:to>
          <xdr:col>3</xdr:col>
          <xdr:colOff>781050</xdr:colOff>
          <xdr:row>32</xdr:row>
          <xdr:rowOff>209550</xdr:rowOff>
        </xdr:to>
        <xdr:sp macro="" textlink="">
          <xdr:nvSpPr>
            <xdr:cNvPr id="64605" name="Check Box 93" hidden="1">
              <a:extLst>
                <a:ext uri="{63B3BB69-23CF-44E3-9099-C40C66FF867C}">
                  <a14:compatExt spid="_x0000_s64605"/>
                </a:ext>
                <a:ext uri="{FF2B5EF4-FFF2-40B4-BE49-F238E27FC236}">
                  <a16:creationId xmlns:a16="http://schemas.microsoft.com/office/drawing/2014/main" id="{00000000-0008-0000-1400-00005D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200025</xdr:rowOff>
        </xdr:from>
        <xdr:to>
          <xdr:col>3</xdr:col>
          <xdr:colOff>781050</xdr:colOff>
          <xdr:row>32</xdr:row>
          <xdr:rowOff>409575</xdr:rowOff>
        </xdr:to>
        <xdr:sp macro="" textlink="">
          <xdr:nvSpPr>
            <xdr:cNvPr id="64606" name="Check Box 94" hidden="1">
              <a:extLst>
                <a:ext uri="{63B3BB69-23CF-44E3-9099-C40C66FF867C}">
                  <a14:compatExt spid="_x0000_s64606"/>
                </a:ext>
                <a:ext uri="{FF2B5EF4-FFF2-40B4-BE49-F238E27FC236}">
                  <a16:creationId xmlns:a16="http://schemas.microsoft.com/office/drawing/2014/main" id="{00000000-0008-0000-1400-00005E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0</xdr:rowOff>
        </xdr:from>
        <xdr:to>
          <xdr:col>3</xdr:col>
          <xdr:colOff>781050</xdr:colOff>
          <xdr:row>33</xdr:row>
          <xdr:rowOff>209550</xdr:rowOff>
        </xdr:to>
        <xdr:sp macro="" textlink="">
          <xdr:nvSpPr>
            <xdr:cNvPr id="64607" name="Check Box 95" hidden="1">
              <a:extLst>
                <a:ext uri="{63B3BB69-23CF-44E3-9099-C40C66FF867C}">
                  <a14:compatExt spid="_x0000_s64607"/>
                </a:ext>
                <a:ext uri="{FF2B5EF4-FFF2-40B4-BE49-F238E27FC236}">
                  <a16:creationId xmlns:a16="http://schemas.microsoft.com/office/drawing/2014/main" id="{00000000-0008-0000-1400-00005F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200025</xdr:rowOff>
        </xdr:from>
        <xdr:to>
          <xdr:col>3</xdr:col>
          <xdr:colOff>781050</xdr:colOff>
          <xdr:row>33</xdr:row>
          <xdr:rowOff>409575</xdr:rowOff>
        </xdr:to>
        <xdr:sp macro="" textlink="">
          <xdr:nvSpPr>
            <xdr:cNvPr id="64608" name="Check Box 96" hidden="1">
              <a:extLst>
                <a:ext uri="{63B3BB69-23CF-44E3-9099-C40C66FF867C}">
                  <a14:compatExt spid="_x0000_s64608"/>
                </a:ext>
                <a:ext uri="{FF2B5EF4-FFF2-40B4-BE49-F238E27FC236}">
                  <a16:creationId xmlns:a16="http://schemas.microsoft.com/office/drawing/2014/main" id="{00000000-0008-0000-1400-000060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3</xdr:col>
          <xdr:colOff>781050</xdr:colOff>
          <xdr:row>34</xdr:row>
          <xdr:rowOff>209550</xdr:rowOff>
        </xdr:to>
        <xdr:sp macro="" textlink="">
          <xdr:nvSpPr>
            <xdr:cNvPr id="64609" name="Check Box 97" hidden="1">
              <a:extLst>
                <a:ext uri="{63B3BB69-23CF-44E3-9099-C40C66FF867C}">
                  <a14:compatExt spid="_x0000_s64609"/>
                </a:ext>
                <a:ext uri="{FF2B5EF4-FFF2-40B4-BE49-F238E27FC236}">
                  <a16:creationId xmlns:a16="http://schemas.microsoft.com/office/drawing/2014/main" id="{00000000-0008-0000-1400-000061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200025</xdr:rowOff>
        </xdr:from>
        <xdr:to>
          <xdr:col>3</xdr:col>
          <xdr:colOff>781050</xdr:colOff>
          <xdr:row>34</xdr:row>
          <xdr:rowOff>409575</xdr:rowOff>
        </xdr:to>
        <xdr:sp macro="" textlink="">
          <xdr:nvSpPr>
            <xdr:cNvPr id="64610" name="Check Box 98" hidden="1">
              <a:extLst>
                <a:ext uri="{63B3BB69-23CF-44E3-9099-C40C66FF867C}">
                  <a14:compatExt spid="_x0000_s64610"/>
                </a:ext>
                <a:ext uri="{FF2B5EF4-FFF2-40B4-BE49-F238E27FC236}">
                  <a16:creationId xmlns:a16="http://schemas.microsoft.com/office/drawing/2014/main" id="{00000000-0008-0000-1400-000062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3</xdr:col>
          <xdr:colOff>781050</xdr:colOff>
          <xdr:row>35</xdr:row>
          <xdr:rowOff>209550</xdr:rowOff>
        </xdr:to>
        <xdr:sp macro="" textlink="">
          <xdr:nvSpPr>
            <xdr:cNvPr id="64611" name="Check Box 99" hidden="1">
              <a:extLst>
                <a:ext uri="{63B3BB69-23CF-44E3-9099-C40C66FF867C}">
                  <a14:compatExt spid="_x0000_s64611"/>
                </a:ext>
                <a:ext uri="{FF2B5EF4-FFF2-40B4-BE49-F238E27FC236}">
                  <a16:creationId xmlns:a16="http://schemas.microsoft.com/office/drawing/2014/main" id="{00000000-0008-0000-1400-000063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200025</xdr:rowOff>
        </xdr:from>
        <xdr:to>
          <xdr:col>3</xdr:col>
          <xdr:colOff>781050</xdr:colOff>
          <xdr:row>35</xdr:row>
          <xdr:rowOff>409575</xdr:rowOff>
        </xdr:to>
        <xdr:sp macro="" textlink="">
          <xdr:nvSpPr>
            <xdr:cNvPr id="64612" name="Check Box 100" hidden="1">
              <a:extLst>
                <a:ext uri="{63B3BB69-23CF-44E3-9099-C40C66FF867C}">
                  <a14:compatExt spid="_x0000_s64612"/>
                </a:ext>
                <a:ext uri="{FF2B5EF4-FFF2-40B4-BE49-F238E27FC236}">
                  <a16:creationId xmlns:a16="http://schemas.microsoft.com/office/drawing/2014/main" id="{00000000-0008-0000-1400-000064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3</xdr:col>
          <xdr:colOff>781050</xdr:colOff>
          <xdr:row>36</xdr:row>
          <xdr:rowOff>209550</xdr:rowOff>
        </xdr:to>
        <xdr:sp macro="" textlink="">
          <xdr:nvSpPr>
            <xdr:cNvPr id="64613" name="Check Box 101" hidden="1">
              <a:extLst>
                <a:ext uri="{63B3BB69-23CF-44E3-9099-C40C66FF867C}">
                  <a14:compatExt spid="_x0000_s64613"/>
                </a:ext>
                <a:ext uri="{FF2B5EF4-FFF2-40B4-BE49-F238E27FC236}">
                  <a16:creationId xmlns:a16="http://schemas.microsoft.com/office/drawing/2014/main" id="{00000000-0008-0000-1400-000065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200025</xdr:rowOff>
        </xdr:from>
        <xdr:to>
          <xdr:col>3</xdr:col>
          <xdr:colOff>781050</xdr:colOff>
          <xdr:row>36</xdr:row>
          <xdr:rowOff>409575</xdr:rowOff>
        </xdr:to>
        <xdr:sp macro="" textlink="">
          <xdr:nvSpPr>
            <xdr:cNvPr id="64614" name="Check Box 102" hidden="1">
              <a:extLst>
                <a:ext uri="{63B3BB69-23CF-44E3-9099-C40C66FF867C}">
                  <a14:compatExt spid="_x0000_s64614"/>
                </a:ext>
                <a:ext uri="{FF2B5EF4-FFF2-40B4-BE49-F238E27FC236}">
                  <a16:creationId xmlns:a16="http://schemas.microsoft.com/office/drawing/2014/main" id="{00000000-0008-0000-1400-000066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3</xdr:col>
          <xdr:colOff>781050</xdr:colOff>
          <xdr:row>37</xdr:row>
          <xdr:rowOff>209550</xdr:rowOff>
        </xdr:to>
        <xdr:sp macro="" textlink="">
          <xdr:nvSpPr>
            <xdr:cNvPr id="64615" name="Check Box 103" hidden="1">
              <a:extLst>
                <a:ext uri="{63B3BB69-23CF-44E3-9099-C40C66FF867C}">
                  <a14:compatExt spid="_x0000_s64615"/>
                </a:ext>
                <a:ext uri="{FF2B5EF4-FFF2-40B4-BE49-F238E27FC236}">
                  <a16:creationId xmlns:a16="http://schemas.microsoft.com/office/drawing/2014/main" id="{00000000-0008-0000-1400-000067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200025</xdr:rowOff>
        </xdr:from>
        <xdr:to>
          <xdr:col>3</xdr:col>
          <xdr:colOff>781050</xdr:colOff>
          <xdr:row>37</xdr:row>
          <xdr:rowOff>409575</xdr:rowOff>
        </xdr:to>
        <xdr:sp macro="" textlink="">
          <xdr:nvSpPr>
            <xdr:cNvPr id="64616" name="Check Box 104" hidden="1">
              <a:extLst>
                <a:ext uri="{63B3BB69-23CF-44E3-9099-C40C66FF867C}">
                  <a14:compatExt spid="_x0000_s64616"/>
                </a:ext>
                <a:ext uri="{FF2B5EF4-FFF2-40B4-BE49-F238E27FC236}">
                  <a16:creationId xmlns:a16="http://schemas.microsoft.com/office/drawing/2014/main" id="{00000000-0008-0000-1400-000068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28575</xdr:rowOff>
        </xdr:from>
        <xdr:to>
          <xdr:col>3</xdr:col>
          <xdr:colOff>781050</xdr:colOff>
          <xdr:row>38</xdr:row>
          <xdr:rowOff>238125</xdr:rowOff>
        </xdr:to>
        <xdr:sp macro="" textlink="">
          <xdr:nvSpPr>
            <xdr:cNvPr id="64617" name="Check Box 105" hidden="1">
              <a:extLst>
                <a:ext uri="{63B3BB69-23CF-44E3-9099-C40C66FF867C}">
                  <a14:compatExt spid="_x0000_s64617"/>
                </a:ext>
                <a:ext uri="{FF2B5EF4-FFF2-40B4-BE49-F238E27FC236}">
                  <a16:creationId xmlns:a16="http://schemas.microsoft.com/office/drawing/2014/main" id="{00000000-0008-0000-1400-000069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228600</xdr:rowOff>
        </xdr:from>
        <xdr:to>
          <xdr:col>3</xdr:col>
          <xdr:colOff>781050</xdr:colOff>
          <xdr:row>39</xdr:row>
          <xdr:rowOff>0</xdr:rowOff>
        </xdr:to>
        <xdr:sp macro="" textlink="">
          <xdr:nvSpPr>
            <xdr:cNvPr id="64618" name="Check Box 106" hidden="1">
              <a:extLst>
                <a:ext uri="{63B3BB69-23CF-44E3-9099-C40C66FF867C}">
                  <a14:compatExt spid="_x0000_s64618"/>
                </a:ext>
                <a:ext uri="{FF2B5EF4-FFF2-40B4-BE49-F238E27FC236}">
                  <a16:creationId xmlns:a16="http://schemas.microsoft.com/office/drawing/2014/main" id="{00000000-0008-0000-1400-00006AF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19</xdr:row>
      <xdr:rowOff>19050</xdr:rowOff>
    </xdr:from>
    <xdr:to>
      <xdr:col>0</xdr:col>
      <xdr:colOff>790992</xdr:colOff>
      <xdr:row>19</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4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7458075"/>
          <a:ext cx="771942" cy="723900"/>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828139</xdr:colOff>
      <xdr:row>7</xdr:row>
      <xdr:rowOff>19050</xdr:rowOff>
    </xdr:from>
    <xdr:to>
      <xdr:col>5</xdr:col>
      <xdr:colOff>1050798</xdr:colOff>
      <xdr:row>7</xdr:row>
      <xdr:rowOff>723900</xdr:rowOff>
    </xdr:to>
    <xdr:grpSp>
      <xdr:nvGrpSpPr>
        <xdr:cNvPr id="2" name="Group 1">
          <a:extLst>
            <a:ext uri="{FF2B5EF4-FFF2-40B4-BE49-F238E27FC236}">
              <a16:creationId xmlns:a16="http://schemas.microsoft.com/office/drawing/2014/main" id="{00000000-0008-0000-1500-000002000000}"/>
            </a:ext>
          </a:extLst>
        </xdr:cNvPr>
        <xdr:cNvGrpSpPr/>
      </xdr:nvGrpSpPr>
      <xdr:grpSpPr>
        <a:xfrm>
          <a:off x="828139" y="2409825"/>
          <a:ext cx="6699659" cy="704850"/>
          <a:chOff x="800100" y="19050"/>
          <a:chExt cx="6467475" cy="704850"/>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5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5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0</xdr:col>
          <xdr:colOff>561975</xdr:colOff>
          <xdr:row>11</xdr:row>
          <xdr:rowOff>161925</xdr:rowOff>
        </xdr:from>
        <xdr:to>
          <xdr:col>0</xdr:col>
          <xdr:colOff>1485900</xdr:colOff>
          <xdr:row>11</xdr:row>
          <xdr:rowOff>295275</xdr:rowOff>
        </xdr:to>
        <xdr:sp macro="" textlink="">
          <xdr:nvSpPr>
            <xdr:cNvPr id="78849" name="Check Box 1" hidden="1">
              <a:extLst>
                <a:ext uri="{63B3BB69-23CF-44E3-9099-C40C66FF867C}">
                  <a14:compatExt spid="_x0000_s78849"/>
                </a:ext>
                <a:ext uri="{FF2B5EF4-FFF2-40B4-BE49-F238E27FC236}">
                  <a16:creationId xmlns:a16="http://schemas.microsoft.com/office/drawing/2014/main" id="{00000000-0008-0000-1500-00000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11</xdr:row>
          <xdr:rowOff>361950</xdr:rowOff>
        </xdr:from>
        <xdr:to>
          <xdr:col>0</xdr:col>
          <xdr:colOff>1485900</xdr:colOff>
          <xdr:row>11</xdr:row>
          <xdr:rowOff>495300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15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19050</xdr:colOff>
      <xdr:row>7</xdr:row>
      <xdr:rowOff>19050</xdr:rowOff>
    </xdr:from>
    <xdr:to>
      <xdr:col>0</xdr:col>
      <xdr:colOff>790992</xdr:colOff>
      <xdr:row>7</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942" cy="723900"/>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806256</xdr:colOff>
      <xdr:row>6</xdr:row>
      <xdr:rowOff>19050</xdr:rowOff>
    </xdr:from>
    <xdr:to>
      <xdr:col>5</xdr:col>
      <xdr:colOff>1468053</xdr:colOff>
      <xdr:row>6</xdr:row>
      <xdr:rowOff>723900</xdr:rowOff>
    </xdr:to>
    <xdr:grpSp>
      <xdr:nvGrpSpPr>
        <xdr:cNvPr id="2" name="Group 1">
          <a:extLst>
            <a:ext uri="{FF2B5EF4-FFF2-40B4-BE49-F238E27FC236}">
              <a16:creationId xmlns:a16="http://schemas.microsoft.com/office/drawing/2014/main" id="{00000000-0008-0000-1600-000002000000}"/>
            </a:ext>
          </a:extLst>
        </xdr:cNvPr>
        <xdr:cNvGrpSpPr/>
      </xdr:nvGrpSpPr>
      <xdr:grpSpPr>
        <a:xfrm>
          <a:off x="806256" y="2038350"/>
          <a:ext cx="6748272" cy="704850"/>
          <a:chOff x="800099" y="19050"/>
          <a:chExt cx="6695481" cy="704850"/>
        </a:xfrm>
      </xdr:grpSpPr>
      <xdr:sp macro="" textlink="">
        <xdr:nvSpPr>
          <xdr:cNvPr id="4" name="TextBox 3">
            <a:extLst>
              <a:ext uri="{FF2B5EF4-FFF2-40B4-BE49-F238E27FC236}">
                <a16:creationId xmlns:a16="http://schemas.microsoft.com/office/drawing/2014/main" id="{00000000-0008-0000-1600-000004000000}"/>
              </a:ext>
            </a:extLst>
          </xdr:cNvPr>
          <xdr:cNvSpPr txBox="1"/>
        </xdr:nvSpPr>
        <xdr:spPr>
          <a:xfrm>
            <a:off x="800099" y="19050"/>
            <a:ext cx="6695481"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600-000005000000}"/>
              </a:ext>
            </a:extLst>
          </xdr:cNvPr>
          <xdr:cNvCxnSpPr/>
        </xdr:nvCxnSpPr>
        <xdr:spPr>
          <a:xfrm flipV="1">
            <a:off x="826294" y="35719"/>
            <a:ext cx="665488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600-000006000000}"/>
              </a:ext>
            </a:extLst>
          </xdr:cNvPr>
          <xdr:cNvCxnSpPr/>
        </xdr:nvCxnSpPr>
        <xdr:spPr>
          <a:xfrm flipV="1">
            <a:off x="902494" y="111921"/>
            <a:ext cx="6486814"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6</xdr:row>
      <xdr:rowOff>19050</xdr:rowOff>
    </xdr:from>
    <xdr:to>
      <xdr:col>0</xdr:col>
      <xdr:colOff>790992</xdr:colOff>
      <xdr:row>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38350"/>
          <a:ext cx="771942" cy="723900"/>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893495</xdr:colOff>
      <xdr:row>6</xdr:row>
      <xdr:rowOff>19050</xdr:rowOff>
    </xdr:from>
    <xdr:to>
      <xdr:col>5</xdr:col>
      <xdr:colOff>1028699</xdr:colOff>
      <xdr:row>6</xdr:row>
      <xdr:rowOff>723900</xdr:rowOff>
    </xdr:to>
    <xdr:grpSp>
      <xdr:nvGrpSpPr>
        <xdr:cNvPr id="2" name="Group 1">
          <a:extLst>
            <a:ext uri="{FF2B5EF4-FFF2-40B4-BE49-F238E27FC236}">
              <a16:creationId xmlns:a16="http://schemas.microsoft.com/office/drawing/2014/main" id="{00000000-0008-0000-1700-000002000000}"/>
            </a:ext>
          </a:extLst>
        </xdr:cNvPr>
        <xdr:cNvGrpSpPr/>
      </xdr:nvGrpSpPr>
      <xdr:grpSpPr>
        <a:xfrm>
          <a:off x="893495" y="1971675"/>
          <a:ext cx="7240854" cy="704850"/>
          <a:chOff x="800100" y="19050"/>
          <a:chExt cx="6467475" cy="704850"/>
        </a:xfrm>
      </xdr:grpSpPr>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pPr marL="0" marR="0" indent="0" defTabSz="914400" eaLnBrk="1" fontAlgn="auto" latinLnBrk="0" hangingPunct="1">
              <a:lnSpc>
                <a:spcPct val="100000"/>
              </a:lnSpc>
              <a:spcBef>
                <a:spcPts val="0"/>
              </a:spcBef>
              <a:spcAft>
                <a:spcPts val="0"/>
              </a:spcAft>
              <a:buClrTx/>
              <a:buSzTx/>
              <a:buFontTx/>
              <a:buNone/>
              <a:tabLst/>
              <a:defRPr/>
            </a:pPr>
            <a:r>
              <a:rPr lang="en-US" sz="1100" b="1"/>
              <a:t>  </a:t>
            </a:r>
            <a:r>
              <a:rPr lang="en-US" sz="1100" b="1">
                <a:solidFill>
                  <a:schemeClr val="dk1"/>
                </a:solidFill>
                <a:effectLst/>
                <a:latin typeface="+mn-lt"/>
                <a:ea typeface="+mn-ea"/>
                <a:cs typeface="+mn-cs"/>
              </a:rPr>
              <a:t>Air</a:t>
            </a:r>
            <a:r>
              <a:rPr lang="en-US" sz="1100" b="1" baseline="0">
                <a:solidFill>
                  <a:schemeClr val="dk1"/>
                </a:solidFill>
                <a:effectLst/>
                <a:latin typeface="+mn-lt"/>
                <a:ea typeface="+mn-ea"/>
                <a:cs typeface="+mn-cs"/>
              </a:rPr>
              <a:t> Quality Permit Application Form - Grain Elevators/Feed Mills</a:t>
            </a:r>
            <a:endParaRPr lang="en-US">
              <a:effectLst/>
            </a:endParaRP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17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17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3</xdr:col>
          <xdr:colOff>9525</xdr:colOff>
          <xdr:row>13</xdr:row>
          <xdr:rowOff>28575</xdr:rowOff>
        </xdr:from>
        <xdr:to>
          <xdr:col>3</xdr:col>
          <xdr:colOff>685800</xdr:colOff>
          <xdr:row>13</xdr:row>
          <xdr:rowOff>238125</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1700-00000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13</xdr:row>
          <xdr:rowOff>219075</xdr:rowOff>
        </xdr:from>
        <xdr:to>
          <xdr:col>3</xdr:col>
          <xdr:colOff>685800</xdr:colOff>
          <xdr:row>13</xdr:row>
          <xdr:rowOff>428625</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1700-00000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19050</xdr:rowOff>
        </xdr:from>
        <xdr:to>
          <xdr:col>3</xdr:col>
          <xdr:colOff>714375</xdr:colOff>
          <xdr:row>8</xdr:row>
          <xdr:rowOff>238125</xdr:rowOff>
        </xdr:to>
        <xdr:sp macro="" textlink="">
          <xdr:nvSpPr>
            <xdr:cNvPr id="87083" name="Check Box 43" hidden="1">
              <a:extLst>
                <a:ext uri="{63B3BB69-23CF-44E3-9099-C40C66FF867C}">
                  <a14:compatExt spid="_x0000_s87083"/>
                </a:ext>
                <a:ext uri="{FF2B5EF4-FFF2-40B4-BE49-F238E27FC236}">
                  <a16:creationId xmlns:a16="http://schemas.microsoft.com/office/drawing/2014/main" id="{00000000-0008-0000-1700-00002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8</xdr:row>
          <xdr:rowOff>209550</xdr:rowOff>
        </xdr:from>
        <xdr:to>
          <xdr:col>3</xdr:col>
          <xdr:colOff>714375</xdr:colOff>
          <xdr:row>8</xdr:row>
          <xdr:rowOff>428625</xdr:rowOff>
        </xdr:to>
        <xdr:sp macro="" textlink="">
          <xdr:nvSpPr>
            <xdr:cNvPr id="87084" name="Check Box 44" hidden="1">
              <a:extLst>
                <a:ext uri="{63B3BB69-23CF-44E3-9099-C40C66FF867C}">
                  <a14:compatExt spid="_x0000_s87084"/>
                </a:ext>
                <a:ext uri="{FF2B5EF4-FFF2-40B4-BE49-F238E27FC236}">
                  <a16:creationId xmlns:a16="http://schemas.microsoft.com/office/drawing/2014/main" id="{00000000-0008-0000-1700-00002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19050</xdr:rowOff>
        </xdr:from>
        <xdr:to>
          <xdr:col>5</xdr:col>
          <xdr:colOff>714375</xdr:colOff>
          <xdr:row>8</xdr:row>
          <xdr:rowOff>238125</xdr:rowOff>
        </xdr:to>
        <xdr:sp macro="" textlink="">
          <xdr:nvSpPr>
            <xdr:cNvPr id="87085" name="Check Box 45" hidden="1">
              <a:extLst>
                <a:ext uri="{63B3BB69-23CF-44E3-9099-C40C66FF867C}">
                  <a14:compatExt spid="_x0000_s87085"/>
                </a:ext>
                <a:ext uri="{FF2B5EF4-FFF2-40B4-BE49-F238E27FC236}">
                  <a16:creationId xmlns:a16="http://schemas.microsoft.com/office/drawing/2014/main" id="{00000000-0008-0000-1700-00002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xdr:row>
          <xdr:rowOff>209550</xdr:rowOff>
        </xdr:from>
        <xdr:to>
          <xdr:col>5</xdr:col>
          <xdr:colOff>714375</xdr:colOff>
          <xdr:row>8</xdr:row>
          <xdr:rowOff>428625</xdr:rowOff>
        </xdr:to>
        <xdr:sp macro="" textlink="">
          <xdr:nvSpPr>
            <xdr:cNvPr id="87086" name="Check Box 46" hidden="1">
              <a:extLst>
                <a:ext uri="{63B3BB69-23CF-44E3-9099-C40C66FF867C}">
                  <a14:compatExt spid="_x0000_s87086"/>
                </a:ext>
                <a:ext uri="{FF2B5EF4-FFF2-40B4-BE49-F238E27FC236}">
                  <a16:creationId xmlns:a16="http://schemas.microsoft.com/office/drawing/2014/main" id="{00000000-0008-0000-1700-00002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9525</xdr:rowOff>
        </xdr:from>
        <xdr:to>
          <xdr:col>5</xdr:col>
          <xdr:colOff>714375</xdr:colOff>
          <xdr:row>10</xdr:row>
          <xdr:rowOff>228600</xdr:rowOff>
        </xdr:to>
        <xdr:sp macro="" textlink="">
          <xdr:nvSpPr>
            <xdr:cNvPr id="87087" name="Check Box 47" hidden="1">
              <a:extLst>
                <a:ext uri="{63B3BB69-23CF-44E3-9099-C40C66FF867C}">
                  <a14:compatExt spid="_x0000_s87087"/>
                </a:ext>
                <a:ext uri="{FF2B5EF4-FFF2-40B4-BE49-F238E27FC236}">
                  <a16:creationId xmlns:a16="http://schemas.microsoft.com/office/drawing/2014/main" id="{00000000-0008-0000-1700-00002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10</xdr:row>
          <xdr:rowOff>200025</xdr:rowOff>
        </xdr:from>
        <xdr:to>
          <xdr:col>5</xdr:col>
          <xdr:colOff>714375</xdr:colOff>
          <xdr:row>10</xdr:row>
          <xdr:rowOff>419100</xdr:rowOff>
        </xdr:to>
        <xdr:sp macro="" textlink="">
          <xdr:nvSpPr>
            <xdr:cNvPr id="87088" name="Check Box 48" hidden="1">
              <a:extLst>
                <a:ext uri="{63B3BB69-23CF-44E3-9099-C40C66FF867C}">
                  <a14:compatExt spid="_x0000_s87088"/>
                </a:ext>
                <a:ext uri="{FF2B5EF4-FFF2-40B4-BE49-F238E27FC236}">
                  <a16:creationId xmlns:a16="http://schemas.microsoft.com/office/drawing/2014/main" id="{00000000-0008-0000-1700-00003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28575</xdr:rowOff>
        </xdr:from>
        <xdr:to>
          <xdr:col>3</xdr:col>
          <xdr:colOff>676275</xdr:colOff>
          <xdr:row>14</xdr:row>
          <xdr:rowOff>238125</xdr:rowOff>
        </xdr:to>
        <xdr:sp macro="" textlink="">
          <xdr:nvSpPr>
            <xdr:cNvPr id="87091" name="Check Box 51" hidden="1">
              <a:extLst>
                <a:ext uri="{63B3BB69-23CF-44E3-9099-C40C66FF867C}">
                  <a14:compatExt spid="_x0000_s87091"/>
                </a:ext>
                <a:ext uri="{FF2B5EF4-FFF2-40B4-BE49-F238E27FC236}">
                  <a16:creationId xmlns:a16="http://schemas.microsoft.com/office/drawing/2014/main" id="{00000000-0008-0000-1700-00003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219075</xdr:rowOff>
        </xdr:from>
        <xdr:to>
          <xdr:col>3</xdr:col>
          <xdr:colOff>676275</xdr:colOff>
          <xdr:row>14</xdr:row>
          <xdr:rowOff>428625</xdr:rowOff>
        </xdr:to>
        <xdr:sp macro="" textlink="">
          <xdr:nvSpPr>
            <xdr:cNvPr id="87092" name="Check Box 52" hidden="1">
              <a:extLst>
                <a:ext uri="{63B3BB69-23CF-44E3-9099-C40C66FF867C}">
                  <a14:compatExt spid="_x0000_s87092"/>
                </a:ext>
                <a:ext uri="{FF2B5EF4-FFF2-40B4-BE49-F238E27FC236}">
                  <a16:creationId xmlns:a16="http://schemas.microsoft.com/office/drawing/2014/main" id="{00000000-0008-0000-1700-00003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28575</xdr:rowOff>
        </xdr:from>
        <xdr:to>
          <xdr:col>3</xdr:col>
          <xdr:colOff>676275</xdr:colOff>
          <xdr:row>15</xdr:row>
          <xdr:rowOff>238125</xdr:rowOff>
        </xdr:to>
        <xdr:sp macro="" textlink="">
          <xdr:nvSpPr>
            <xdr:cNvPr id="87093" name="Check Box 53" hidden="1">
              <a:extLst>
                <a:ext uri="{63B3BB69-23CF-44E3-9099-C40C66FF867C}">
                  <a14:compatExt spid="_x0000_s87093"/>
                </a:ext>
                <a:ext uri="{FF2B5EF4-FFF2-40B4-BE49-F238E27FC236}">
                  <a16:creationId xmlns:a16="http://schemas.microsoft.com/office/drawing/2014/main" id="{00000000-0008-0000-1700-00003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219075</xdr:rowOff>
        </xdr:from>
        <xdr:to>
          <xdr:col>3</xdr:col>
          <xdr:colOff>676275</xdr:colOff>
          <xdr:row>15</xdr:row>
          <xdr:rowOff>428625</xdr:rowOff>
        </xdr:to>
        <xdr:sp macro="" textlink="">
          <xdr:nvSpPr>
            <xdr:cNvPr id="87094" name="Check Box 54" hidden="1">
              <a:extLst>
                <a:ext uri="{63B3BB69-23CF-44E3-9099-C40C66FF867C}">
                  <a14:compatExt spid="_x0000_s87094"/>
                </a:ext>
                <a:ext uri="{FF2B5EF4-FFF2-40B4-BE49-F238E27FC236}">
                  <a16:creationId xmlns:a16="http://schemas.microsoft.com/office/drawing/2014/main" id="{00000000-0008-0000-1700-00003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28575</xdr:rowOff>
        </xdr:from>
        <xdr:to>
          <xdr:col>3</xdr:col>
          <xdr:colOff>676275</xdr:colOff>
          <xdr:row>16</xdr:row>
          <xdr:rowOff>238125</xdr:rowOff>
        </xdr:to>
        <xdr:sp macro="" textlink="">
          <xdr:nvSpPr>
            <xdr:cNvPr id="87095" name="Check Box 55" hidden="1">
              <a:extLst>
                <a:ext uri="{63B3BB69-23CF-44E3-9099-C40C66FF867C}">
                  <a14:compatExt spid="_x0000_s87095"/>
                </a:ext>
                <a:ext uri="{FF2B5EF4-FFF2-40B4-BE49-F238E27FC236}">
                  <a16:creationId xmlns:a16="http://schemas.microsoft.com/office/drawing/2014/main" id="{00000000-0008-0000-1700-00003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219075</xdr:rowOff>
        </xdr:from>
        <xdr:to>
          <xdr:col>3</xdr:col>
          <xdr:colOff>676275</xdr:colOff>
          <xdr:row>16</xdr:row>
          <xdr:rowOff>428625</xdr:rowOff>
        </xdr:to>
        <xdr:sp macro="" textlink="">
          <xdr:nvSpPr>
            <xdr:cNvPr id="87096" name="Check Box 56" hidden="1">
              <a:extLst>
                <a:ext uri="{63B3BB69-23CF-44E3-9099-C40C66FF867C}">
                  <a14:compatExt spid="_x0000_s87096"/>
                </a:ext>
                <a:ext uri="{FF2B5EF4-FFF2-40B4-BE49-F238E27FC236}">
                  <a16:creationId xmlns:a16="http://schemas.microsoft.com/office/drawing/2014/main" id="{00000000-0008-0000-1700-00003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28575</xdr:rowOff>
        </xdr:from>
        <xdr:to>
          <xdr:col>3</xdr:col>
          <xdr:colOff>676275</xdr:colOff>
          <xdr:row>17</xdr:row>
          <xdr:rowOff>238125</xdr:rowOff>
        </xdr:to>
        <xdr:sp macro="" textlink="">
          <xdr:nvSpPr>
            <xdr:cNvPr id="87097" name="Check Box 57" hidden="1">
              <a:extLst>
                <a:ext uri="{63B3BB69-23CF-44E3-9099-C40C66FF867C}">
                  <a14:compatExt spid="_x0000_s87097"/>
                </a:ext>
                <a:ext uri="{FF2B5EF4-FFF2-40B4-BE49-F238E27FC236}">
                  <a16:creationId xmlns:a16="http://schemas.microsoft.com/office/drawing/2014/main" id="{00000000-0008-0000-1700-00003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219075</xdr:rowOff>
        </xdr:from>
        <xdr:to>
          <xdr:col>3</xdr:col>
          <xdr:colOff>676275</xdr:colOff>
          <xdr:row>17</xdr:row>
          <xdr:rowOff>428625</xdr:rowOff>
        </xdr:to>
        <xdr:sp macro="" textlink="">
          <xdr:nvSpPr>
            <xdr:cNvPr id="87098" name="Check Box 58" hidden="1">
              <a:extLst>
                <a:ext uri="{63B3BB69-23CF-44E3-9099-C40C66FF867C}">
                  <a14:compatExt spid="_x0000_s87098"/>
                </a:ext>
                <a:ext uri="{FF2B5EF4-FFF2-40B4-BE49-F238E27FC236}">
                  <a16:creationId xmlns:a16="http://schemas.microsoft.com/office/drawing/2014/main" id="{00000000-0008-0000-1700-00003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28575</xdr:rowOff>
        </xdr:from>
        <xdr:to>
          <xdr:col>3</xdr:col>
          <xdr:colOff>676275</xdr:colOff>
          <xdr:row>18</xdr:row>
          <xdr:rowOff>238125</xdr:rowOff>
        </xdr:to>
        <xdr:sp macro="" textlink="">
          <xdr:nvSpPr>
            <xdr:cNvPr id="87099" name="Check Box 59" hidden="1">
              <a:extLst>
                <a:ext uri="{63B3BB69-23CF-44E3-9099-C40C66FF867C}">
                  <a14:compatExt spid="_x0000_s87099"/>
                </a:ext>
                <a:ext uri="{FF2B5EF4-FFF2-40B4-BE49-F238E27FC236}">
                  <a16:creationId xmlns:a16="http://schemas.microsoft.com/office/drawing/2014/main" id="{00000000-0008-0000-1700-00003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xdr:row>
          <xdr:rowOff>219075</xdr:rowOff>
        </xdr:from>
        <xdr:to>
          <xdr:col>3</xdr:col>
          <xdr:colOff>676275</xdr:colOff>
          <xdr:row>18</xdr:row>
          <xdr:rowOff>428625</xdr:rowOff>
        </xdr:to>
        <xdr:sp macro="" textlink="">
          <xdr:nvSpPr>
            <xdr:cNvPr id="87100" name="Check Box 60" hidden="1">
              <a:extLst>
                <a:ext uri="{63B3BB69-23CF-44E3-9099-C40C66FF867C}">
                  <a14:compatExt spid="_x0000_s87100"/>
                </a:ext>
                <a:ext uri="{FF2B5EF4-FFF2-40B4-BE49-F238E27FC236}">
                  <a16:creationId xmlns:a16="http://schemas.microsoft.com/office/drawing/2014/main" id="{00000000-0008-0000-1700-00003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28575</xdr:rowOff>
        </xdr:from>
        <xdr:to>
          <xdr:col>3</xdr:col>
          <xdr:colOff>676275</xdr:colOff>
          <xdr:row>19</xdr:row>
          <xdr:rowOff>238125</xdr:rowOff>
        </xdr:to>
        <xdr:sp macro="" textlink="">
          <xdr:nvSpPr>
            <xdr:cNvPr id="87101" name="Check Box 61" hidden="1">
              <a:extLst>
                <a:ext uri="{63B3BB69-23CF-44E3-9099-C40C66FF867C}">
                  <a14:compatExt spid="_x0000_s87101"/>
                </a:ext>
                <a:ext uri="{FF2B5EF4-FFF2-40B4-BE49-F238E27FC236}">
                  <a16:creationId xmlns:a16="http://schemas.microsoft.com/office/drawing/2014/main" id="{00000000-0008-0000-1700-00003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219075</xdr:rowOff>
        </xdr:from>
        <xdr:to>
          <xdr:col>3</xdr:col>
          <xdr:colOff>676275</xdr:colOff>
          <xdr:row>19</xdr:row>
          <xdr:rowOff>428625</xdr:rowOff>
        </xdr:to>
        <xdr:sp macro="" textlink="">
          <xdr:nvSpPr>
            <xdr:cNvPr id="87102" name="Check Box 62" hidden="1">
              <a:extLst>
                <a:ext uri="{63B3BB69-23CF-44E3-9099-C40C66FF867C}">
                  <a14:compatExt spid="_x0000_s87102"/>
                </a:ext>
                <a:ext uri="{FF2B5EF4-FFF2-40B4-BE49-F238E27FC236}">
                  <a16:creationId xmlns:a16="http://schemas.microsoft.com/office/drawing/2014/main" id="{00000000-0008-0000-1700-00003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28575</xdr:rowOff>
        </xdr:from>
        <xdr:to>
          <xdr:col>3</xdr:col>
          <xdr:colOff>676275</xdr:colOff>
          <xdr:row>20</xdr:row>
          <xdr:rowOff>238125</xdr:rowOff>
        </xdr:to>
        <xdr:sp macro="" textlink="">
          <xdr:nvSpPr>
            <xdr:cNvPr id="87103" name="Check Box 63" hidden="1">
              <a:extLst>
                <a:ext uri="{63B3BB69-23CF-44E3-9099-C40C66FF867C}">
                  <a14:compatExt spid="_x0000_s87103"/>
                </a:ext>
                <a:ext uri="{FF2B5EF4-FFF2-40B4-BE49-F238E27FC236}">
                  <a16:creationId xmlns:a16="http://schemas.microsoft.com/office/drawing/2014/main" id="{00000000-0008-0000-1700-00003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xdr:row>
          <xdr:rowOff>219075</xdr:rowOff>
        </xdr:from>
        <xdr:to>
          <xdr:col>3</xdr:col>
          <xdr:colOff>676275</xdr:colOff>
          <xdr:row>20</xdr:row>
          <xdr:rowOff>428625</xdr:rowOff>
        </xdr:to>
        <xdr:sp macro="" textlink="">
          <xdr:nvSpPr>
            <xdr:cNvPr id="87104" name="Check Box 64" hidden="1">
              <a:extLst>
                <a:ext uri="{63B3BB69-23CF-44E3-9099-C40C66FF867C}">
                  <a14:compatExt spid="_x0000_s87104"/>
                </a:ext>
                <a:ext uri="{FF2B5EF4-FFF2-40B4-BE49-F238E27FC236}">
                  <a16:creationId xmlns:a16="http://schemas.microsoft.com/office/drawing/2014/main" id="{00000000-0008-0000-1700-00004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28575</xdr:rowOff>
        </xdr:from>
        <xdr:to>
          <xdr:col>3</xdr:col>
          <xdr:colOff>676275</xdr:colOff>
          <xdr:row>21</xdr:row>
          <xdr:rowOff>238125</xdr:rowOff>
        </xdr:to>
        <xdr:sp macro="" textlink="">
          <xdr:nvSpPr>
            <xdr:cNvPr id="87105" name="Check Box 65" hidden="1">
              <a:extLst>
                <a:ext uri="{63B3BB69-23CF-44E3-9099-C40C66FF867C}">
                  <a14:compatExt spid="_x0000_s87105"/>
                </a:ext>
                <a:ext uri="{FF2B5EF4-FFF2-40B4-BE49-F238E27FC236}">
                  <a16:creationId xmlns:a16="http://schemas.microsoft.com/office/drawing/2014/main" id="{00000000-0008-0000-1700-00004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219075</xdr:rowOff>
        </xdr:from>
        <xdr:to>
          <xdr:col>3</xdr:col>
          <xdr:colOff>676275</xdr:colOff>
          <xdr:row>21</xdr:row>
          <xdr:rowOff>428625</xdr:rowOff>
        </xdr:to>
        <xdr:sp macro="" textlink="">
          <xdr:nvSpPr>
            <xdr:cNvPr id="87106" name="Check Box 66" hidden="1">
              <a:extLst>
                <a:ext uri="{63B3BB69-23CF-44E3-9099-C40C66FF867C}">
                  <a14:compatExt spid="_x0000_s87106"/>
                </a:ext>
                <a:ext uri="{FF2B5EF4-FFF2-40B4-BE49-F238E27FC236}">
                  <a16:creationId xmlns:a16="http://schemas.microsoft.com/office/drawing/2014/main" id="{00000000-0008-0000-1700-00004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28575</xdr:rowOff>
        </xdr:from>
        <xdr:to>
          <xdr:col>3</xdr:col>
          <xdr:colOff>676275</xdr:colOff>
          <xdr:row>22</xdr:row>
          <xdr:rowOff>238125</xdr:rowOff>
        </xdr:to>
        <xdr:sp macro="" textlink="">
          <xdr:nvSpPr>
            <xdr:cNvPr id="87107" name="Check Box 67" hidden="1">
              <a:extLst>
                <a:ext uri="{63B3BB69-23CF-44E3-9099-C40C66FF867C}">
                  <a14:compatExt spid="_x0000_s87107"/>
                </a:ext>
                <a:ext uri="{FF2B5EF4-FFF2-40B4-BE49-F238E27FC236}">
                  <a16:creationId xmlns:a16="http://schemas.microsoft.com/office/drawing/2014/main" id="{00000000-0008-0000-1700-000043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xdr:row>
          <xdr:rowOff>219075</xdr:rowOff>
        </xdr:from>
        <xdr:to>
          <xdr:col>3</xdr:col>
          <xdr:colOff>676275</xdr:colOff>
          <xdr:row>22</xdr:row>
          <xdr:rowOff>428625</xdr:rowOff>
        </xdr:to>
        <xdr:sp macro="" textlink="">
          <xdr:nvSpPr>
            <xdr:cNvPr id="87108" name="Check Box 68" hidden="1">
              <a:extLst>
                <a:ext uri="{63B3BB69-23CF-44E3-9099-C40C66FF867C}">
                  <a14:compatExt spid="_x0000_s87108"/>
                </a:ext>
                <a:ext uri="{FF2B5EF4-FFF2-40B4-BE49-F238E27FC236}">
                  <a16:creationId xmlns:a16="http://schemas.microsoft.com/office/drawing/2014/main" id="{00000000-0008-0000-1700-000044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28575</xdr:rowOff>
        </xdr:from>
        <xdr:to>
          <xdr:col>3</xdr:col>
          <xdr:colOff>676275</xdr:colOff>
          <xdr:row>23</xdr:row>
          <xdr:rowOff>238125</xdr:rowOff>
        </xdr:to>
        <xdr:sp macro="" textlink="">
          <xdr:nvSpPr>
            <xdr:cNvPr id="87109" name="Check Box 69" hidden="1">
              <a:extLst>
                <a:ext uri="{63B3BB69-23CF-44E3-9099-C40C66FF867C}">
                  <a14:compatExt spid="_x0000_s87109"/>
                </a:ext>
                <a:ext uri="{FF2B5EF4-FFF2-40B4-BE49-F238E27FC236}">
                  <a16:creationId xmlns:a16="http://schemas.microsoft.com/office/drawing/2014/main" id="{00000000-0008-0000-1700-00004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23</xdr:row>
          <xdr:rowOff>219075</xdr:rowOff>
        </xdr:from>
        <xdr:to>
          <xdr:col>3</xdr:col>
          <xdr:colOff>676275</xdr:colOff>
          <xdr:row>23</xdr:row>
          <xdr:rowOff>428625</xdr:rowOff>
        </xdr:to>
        <xdr:sp macro="" textlink="">
          <xdr:nvSpPr>
            <xdr:cNvPr id="87110" name="Check Box 70" hidden="1">
              <a:extLst>
                <a:ext uri="{63B3BB69-23CF-44E3-9099-C40C66FF867C}">
                  <a14:compatExt spid="_x0000_s87110"/>
                </a:ext>
                <a:ext uri="{FF2B5EF4-FFF2-40B4-BE49-F238E27FC236}">
                  <a16:creationId xmlns:a16="http://schemas.microsoft.com/office/drawing/2014/main" id="{00000000-0008-0000-1700-00004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28575</xdr:rowOff>
        </xdr:from>
        <xdr:to>
          <xdr:col>3</xdr:col>
          <xdr:colOff>676275</xdr:colOff>
          <xdr:row>24</xdr:row>
          <xdr:rowOff>238125</xdr:rowOff>
        </xdr:to>
        <xdr:sp macro="" textlink="">
          <xdr:nvSpPr>
            <xdr:cNvPr id="87111" name="Check Box 71" hidden="1">
              <a:extLst>
                <a:ext uri="{63B3BB69-23CF-44E3-9099-C40C66FF867C}">
                  <a14:compatExt spid="_x0000_s87111"/>
                </a:ext>
                <a:ext uri="{FF2B5EF4-FFF2-40B4-BE49-F238E27FC236}">
                  <a16:creationId xmlns:a16="http://schemas.microsoft.com/office/drawing/2014/main" id="{00000000-0008-0000-1700-00004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219075</xdr:rowOff>
        </xdr:from>
        <xdr:to>
          <xdr:col>3</xdr:col>
          <xdr:colOff>676275</xdr:colOff>
          <xdr:row>24</xdr:row>
          <xdr:rowOff>428625</xdr:rowOff>
        </xdr:to>
        <xdr:sp macro="" textlink="">
          <xdr:nvSpPr>
            <xdr:cNvPr id="87112" name="Check Box 72" hidden="1">
              <a:extLst>
                <a:ext uri="{63B3BB69-23CF-44E3-9099-C40C66FF867C}">
                  <a14:compatExt spid="_x0000_s87112"/>
                </a:ext>
                <a:ext uri="{FF2B5EF4-FFF2-40B4-BE49-F238E27FC236}">
                  <a16:creationId xmlns:a16="http://schemas.microsoft.com/office/drawing/2014/main" id="{00000000-0008-0000-1700-00004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28575</xdr:rowOff>
        </xdr:from>
        <xdr:to>
          <xdr:col>3</xdr:col>
          <xdr:colOff>676275</xdr:colOff>
          <xdr:row>25</xdr:row>
          <xdr:rowOff>238125</xdr:rowOff>
        </xdr:to>
        <xdr:sp macro="" textlink="">
          <xdr:nvSpPr>
            <xdr:cNvPr id="87113" name="Check Box 73" hidden="1">
              <a:extLst>
                <a:ext uri="{63B3BB69-23CF-44E3-9099-C40C66FF867C}">
                  <a14:compatExt spid="_x0000_s87113"/>
                </a:ext>
                <a:ext uri="{FF2B5EF4-FFF2-40B4-BE49-F238E27FC236}">
                  <a16:creationId xmlns:a16="http://schemas.microsoft.com/office/drawing/2014/main" id="{00000000-0008-0000-1700-00004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219075</xdr:rowOff>
        </xdr:from>
        <xdr:to>
          <xdr:col>3</xdr:col>
          <xdr:colOff>676275</xdr:colOff>
          <xdr:row>25</xdr:row>
          <xdr:rowOff>428625</xdr:rowOff>
        </xdr:to>
        <xdr:sp macro="" textlink="">
          <xdr:nvSpPr>
            <xdr:cNvPr id="87114" name="Check Box 74" hidden="1">
              <a:extLst>
                <a:ext uri="{63B3BB69-23CF-44E3-9099-C40C66FF867C}">
                  <a14:compatExt spid="_x0000_s87114"/>
                </a:ext>
                <a:ext uri="{FF2B5EF4-FFF2-40B4-BE49-F238E27FC236}">
                  <a16:creationId xmlns:a16="http://schemas.microsoft.com/office/drawing/2014/main" id="{00000000-0008-0000-1700-00004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28575</xdr:rowOff>
        </xdr:from>
        <xdr:to>
          <xdr:col>3</xdr:col>
          <xdr:colOff>676275</xdr:colOff>
          <xdr:row>27</xdr:row>
          <xdr:rowOff>238125</xdr:rowOff>
        </xdr:to>
        <xdr:sp macro="" textlink="">
          <xdr:nvSpPr>
            <xdr:cNvPr id="87115" name="Check Box 75" hidden="1">
              <a:extLst>
                <a:ext uri="{63B3BB69-23CF-44E3-9099-C40C66FF867C}">
                  <a14:compatExt spid="_x0000_s87115"/>
                </a:ext>
                <a:ext uri="{FF2B5EF4-FFF2-40B4-BE49-F238E27FC236}">
                  <a16:creationId xmlns:a16="http://schemas.microsoft.com/office/drawing/2014/main" id="{00000000-0008-0000-1700-00004B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219075</xdr:rowOff>
        </xdr:from>
        <xdr:to>
          <xdr:col>3</xdr:col>
          <xdr:colOff>676275</xdr:colOff>
          <xdr:row>27</xdr:row>
          <xdr:rowOff>428625</xdr:rowOff>
        </xdr:to>
        <xdr:sp macro="" textlink="">
          <xdr:nvSpPr>
            <xdr:cNvPr id="87116" name="Check Box 76" hidden="1">
              <a:extLst>
                <a:ext uri="{63B3BB69-23CF-44E3-9099-C40C66FF867C}">
                  <a14:compatExt spid="_x0000_s87116"/>
                </a:ext>
                <a:ext uri="{FF2B5EF4-FFF2-40B4-BE49-F238E27FC236}">
                  <a16:creationId xmlns:a16="http://schemas.microsoft.com/office/drawing/2014/main" id="{00000000-0008-0000-1700-00004C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28575</xdr:rowOff>
        </xdr:from>
        <xdr:to>
          <xdr:col>3</xdr:col>
          <xdr:colOff>676275</xdr:colOff>
          <xdr:row>28</xdr:row>
          <xdr:rowOff>238125</xdr:rowOff>
        </xdr:to>
        <xdr:sp macro="" textlink="">
          <xdr:nvSpPr>
            <xdr:cNvPr id="87117" name="Check Box 77" hidden="1">
              <a:extLst>
                <a:ext uri="{63B3BB69-23CF-44E3-9099-C40C66FF867C}">
                  <a14:compatExt spid="_x0000_s87117"/>
                </a:ext>
                <a:ext uri="{FF2B5EF4-FFF2-40B4-BE49-F238E27FC236}">
                  <a16:creationId xmlns:a16="http://schemas.microsoft.com/office/drawing/2014/main" id="{00000000-0008-0000-1700-00004D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219075</xdr:rowOff>
        </xdr:from>
        <xdr:to>
          <xdr:col>3</xdr:col>
          <xdr:colOff>676275</xdr:colOff>
          <xdr:row>28</xdr:row>
          <xdr:rowOff>428625</xdr:rowOff>
        </xdr:to>
        <xdr:sp macro="" textlink="">
          <xdr:nvSpPr>
            <xdr:cNvPr id="87118" name="Check Box 78" hidden="1">
              <a:extLst>
                <a:ext uri="{63B3BB69-23CF-44E3-9099-C40C66FF867C}">
                  <a14:compatExt spid="_x0000_s87118"/>
                </a:ext>
                <a:ext uri="{FF2B5EF4-FFF2-40B4-BE49-F238E27FC236}">
                  <a16:creationId xmlns:a16="http://schemas.microsoft.com/office/drawing/2014/main" id="{00000000-0008-0000-1700-00004E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28575</xdr:rowOff>
        </xdr:from>
        <xdr:to>
          <xdr:col>3</xdr:col>
          <xdr:colOff>676275</xdr:colOff>
          <xdr:row>29</xdr:row>
          <xdr:rowOff>238125</xdr:rowOff>
        </xdr:to>
        <xdr:sp macro="" textlink="">
          <xdr:nvSpPr>
            <xdr:cNvPr id="87119" name="Check Box 79" hidden="1">
              <a:extLst>
                <a:ext uri="{63B3BB69-23CF-44E3-9099-C40C66FF867C}">
                  <a14:compatExt spid="_x0000_s87119"/>
                </a:ext>
                <a:ext uri="{FF2B5EF4-FFF2-40B4-BE49-F238E27FC236}">
                  <a16:creationId xmlns:a16="http://schemas.microsoft.com/office/drawing/2014/main" id="{00000000-0008-0000-1700-00004F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xdr:row>
          <xdr:rowOff>219075</xdr:rowOff>
        </xdr:from>
        <xdr:to>
          <xdr:col>3</xdr:col>
          <xdr:colOff>676275</xdr:colOff>
          <xdr:row>29</xdr:row>
          <xdr:rowOff>428625</xdr:rowOff>
        </xdr:to>
        <xdr:sp macro="" textlink="">
          <xdr:nvSpPr>
            <xdr:cNvPr id="87120" name="Check Box 80" hidden="1">
              <a:extLst>
                <a:ext uri="{63B3BB69-23CF-44E3-9099-C40C66FF867C}">
                  <a14:compatExt spid="_x0000_s87120"/>
                </a:ext>
                <a:ext uri="{FF2B5EF4-FFF2-40B4-BE49-F238E27FC236}">
                  <a16:creationId xmlns:a16="http://schemas.microsoft.com/office/drawing/2014/main" id="{00000000-0008-0000-1700-000050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28575</xdr:rowOff>
        </xdr:from>
        <xdr:to>
          <xdr:col>3</xdr:col>
          <xdr:colOff>676275</xdr:colOff>
          <xdr:row>30</xdr:row>
          <xdr:rowOff>238125</xdr:rowOff>
        </xdr:to>
        <xdr:sp macro="" textlink="">
          <xdr:nvSpPr>
            <xdr:cNvPr id="87121" name="Check Box 81" hidden="1">
              <a:extLst>
                <a:ext uri="{63B3BB69-23CF-44E3-9099-C40C66FF867C}">
                  <a14:compatExt spid="_x0000_s87121"/>
                </a:ext>
                <a:ext uri="{FF2B5EF4-FFF2-40B4-BE49-F238E27FC236}">
                  <a16:creationId xmlns:a16="http://schemas.microsoft.com/office/drawing/2014/main" id="{00000000-0008-0000-1700-00005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30</xdr:row>
          <xdr:rowOff>219075</xdr:rowOff>
        </xdr:from>
        <xdr:to>
          <xdr:col>3</xdr:col>
          <xdr:colOff>676275</xdr:colOff>
          <xdr:row>30</xdr:row>
          <xdr:rowOff>428625</xdr:rowOff>
        </xdr:to>
        <xdr:sp macro="" textlink="">
          <xdr:nvSpPr>
            <xdr:cNvPr id="87122" name="Check Box 82" hidden="1">
              <a:extLst>
                <a:ext uri="{63B3BB69-23CF-44E3-9099-C40C66FF867C}">
                  <a14:compatExt spid="_x0000_s87122"/>
                </a:ext>
                <a:ext uri="{FF2B5EF4-FFF2-40B4-BE49-F238E27FC236}">
                  <a16:creationId xmlns:a16="http://schemas.microsoft.com/office/drawing/2014/main" id="{00000000-0008-0000-1700-00005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28575</xdr:rowOff>
        </xdr:from>
        <xdr:to>
          <xdr:col>3</xdr:col>
          <xdr:colOff>676275</xdr:colOff>
          <xdr:row>31</xdr:row>
          <xdr:rowOff>238125</xdr:rowOff>
        </xdr:to>
        <xdr:sp macro="" textlink="">
          <xdr:nvSpPr>
            <xdr:cNvPr id="87125" name="Check Box 85" hidden="1">
              <a:extLst>
                <a:ext uri="{63B3BB69-23CF-44E3-9099-C40C66FF867C}">
                  <a14:compatExt spid="_x0000_s87125"/>
                </a:ext>
                <a:ext uri="{FF2B5EF4-FFF2-40B4-BE49-F238E27FC236}">
                  <a16:creationId xmlns:a16="http://schemas.microsoft.com/office/drawing/2014/main" id="{00000000-0008-0000-1700-000055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31</xdr:row>
          <xdr:rowOff>219075</xdr:rowOff>
        </xdr:from>
        <xdr:to>
          <xdr:col>3</xdr:col>
          <xdr:colOff>676275</xdr:colOff>
          <xdr:row>31</xdr:row>
          <xdr:rowOff>428625</xdr:rowOff>
        </xdr:to>
        <xdr:sp macro="" textlink="">
          <xdr:nvSpPr>
            <xdr:cNvPr id="87126" name="Check Box 86" hidden="1">
              <a:extLst>
                <a:ext uri="{63B3BB69-23CF-44E3-9099-C40C66FF867C}">
                  <a14:compatExt spid="_x0000_s87126"/>
                </a:ext>
                <a:ext uri="{FF2B5EF4-FFF2-40B4-BE49-F238E27FC236}">
                  <a16:creationId xmlns:a16="http://schemas.microsoft.com/office/drawing/2014/main" id="{00000000-0008-0000-1700-000056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28575</xdr:rowOff>
        </xdr:from>
        <xdr:to>
          <xdr:col>3</xdr:col>
          <xdr:colOff>676275</xdr:colOff>
          <xdr:row>32</xdr:row>
          <xdr:rowOff>238125</xdr:rowOff>
        </xdr:to>
        <xdr:sp macro="" textlink="">
          <xdr:nvSpPr>
            <xdr:cNvPr id="87127" name="Check Box 87" hidden="1">
              <a:extLst>
                <a:ext uri="{63B3BB69-23CF-44E3-9099-C40C66FF867C}">
                  <a14:compatExt spid="_x0000_s87127"/>
                </a:ext>
                <a:ext uri="{FF2B5EF4-FFF2-40B4-BE49-F238E27FC236}">
                  <a16:creationId xmlns:a16="http://schemas.microsoft.com/office/drawing/2014/main" id="{00000000-0008-0000-1700-000057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32</xdr:row>
          <xdr:rowOff>219075</xdr:rowOff>
        </xdr:from>
        <xdr:to>
          <xdr:col>3</xdr:col>
          <xdr:colOff>676275</xdr:colOff>
          <xdr:row>32</xdr:row>
          <xdr:rowOff>428625</xdr:rowOff>
        </xdr:to>
        <xdr:sp macro="" textlink="">
          <xdr:nvSpPr>
            <xdr:cNvPr id="87128" name="Check Box 88" hidden="1">
              <a:extLst>
                <a:ext uri="{63B3BB69-23CF-44E3-9099-C40C66FF867C}">
                  <a14:compatExt spid="_x0000_s87128"/>
                </a:ext>
                <a:ext uri="{FF2B5EF4-FFF2-40B4-BE49-F238E27FC236}">
                  <a16:creationId xmlns:a16="http://schemas.microsoft.com/office/drawing/2014/main" id="{00000000-0008-0000-1700-000058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28575</xdr:rowOff>
        </xdr:from>
        <xdr:to>
          <xdr:col>3</xdr:col>
          <xdr:colOff>676275</xdr:colOff>
          <xdr:row>33</xdr:row>
          <xdr:rowOff>238125</xdr:rowOff>
        </xdr:to>
        <xdr:sp macro="" textlink="">
          <xdr:nvSpPr>
            <xdr:cNvPr id="87129" name="Check Box 89" hidden="1">
              <a:extLst>
                <a:ext uri="{63B3BB69-23CF-44E3-9099-C40C66FF867C}">
                  <a14:compatExt spid="_x0000_s87129"/>
                </a:ext>
                <a:ext uri="{FF2B5EF4-FFF2-40B4-BE49-F238E27FC236}">
                  <a16:creationId xmlns:a16="http://schemas.microsoft.com/office/drawing/2014/main" id="{00000000-0008-0000-1700-00005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33</xdr:row>
          <xdr:rowOff>219075</xdr:rowOff>
        </xdr:from>
        <xdr:to>
          <xdr:col>3</xdr:col>
          <xdr:colOff>676275</xdr:colOff>
          <xdr:row>33</xdr:row>
          <xdr:rowOff>428625</xdr:rowOff>
        </xdr:to>
        <xdr:sp macro="" textlink="">
          <xdr:nvSpPr>
            <xdr:cNvPr id="87130" name="Check Box 90" hidden="1">
              <a:extLst>
                <a:ext uri="{63B3BB69-23CF-44E3-9099-C40C66FF867C}">
                  <a14:compatExt spid="_x0000_s87130"/>
                </a:ext>
                <a:ext uri="{FF2B5EF4-FFF2-40B4-BE49-F238E27FC236}">
                  <a16:creationId xmlns:a16="http://schemas.microsoft.com/office/drawing/2014/main" id="{00000000-0008-0000-1700-00005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28575</xdr:rowOff>
        </xdr:from>
        <xdr:to>
          <xdr:col>3</xdr:col>
          <xdr:colOff>676275</xdr:colOff>
          <xdr:row>26</xdr:row>
          <xdr:rowOff>238125</xdr:rowOff>
        </xdr:to>
        <xdr:sp macro="" textlink="">
          <xdr:nvSpPr>
            <xdr:cNvPr id="87137" name="Check Box 97" hidden="1">
              <a:extLst>
                <a:ext uri="{63B3BB69-23CF-44E3-9099-C40C66FF867C}">
                  <a14:compatExt spid="_x0000_s87137"/>
                </a:ext>
                <a:ext uri="{FF2B5EF4-FFF2-40B4-BE49-F238E27FC236}">
                  <a16:creationId xmlns:a16="http://schemas.microsoft.com/office/drawing/2014/main" id="{00000000-0008-0000-1700-000061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219075</xdr:rowOff>
        </xdr:from>
        <xdr:to>
          <xdr:col>3</xdr:col>
          <xdr:colOff>676275</xdr:colOff>
          <xdr:row>26</xdr:row>
          <xdr:rowOff>428625</xdr:rowOff>
        </xdr:to>
        <xdr:sp macro="" textlink="">
          <xdr:nvSpPr>
            <xdr:cNvPr id="87138" name="Check Box 98" hidden="1">
              <a:extLst>
                <a:ext uri="{63B3BB69-23CF-44E3-9099-C40C66FF867C}">
                  <a14:compatExt spid="_x0000_s87138"/>
                </a:ext>
                <a:ext uri="{FF2B5EF4-FFF2-40B4-BE49-F238E27FC236}">
                  <a16:creationId xmlns:a16="http://schemas.microsoft.com/office/drawing/2014/main" id="{00000000-0008-0000-1700-000062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57150</xdr:colOff>
      <xdr:row>6</xdr:row>
      <xdr:rowOff>19050</xdr:rowOff>
    </xdr:from>
    <xdr:to>
      <xdr:col>0</xdr:col>
      <xdr:colOff>829092</xdr:colOff>
      <xdr:row>6</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17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57150" y="1971675"/>
          <a:ext cx="771942" cy="7239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807612</xdr:colOff>
      <xdr:row>0</xdr:row>
      <xdr:rowOff>19050</xdr:rowOff>
    </xdr:from>
    <xdr:to>
      <xdr:col>7</xdr:col>
      <xdr:colOff>3048</xdr:colOff>
      <xdr:row>0</xdr:row>
      <xdr:rowOff>723900</xdr:rowOff>
    </xdr:to>
    <xdr:grpSp>
      <xdr:nvGrpSpPr>
        <xdr:cNvPr id="26" name="Group 25">
          <a:extLst>
            <a:ext uri="{FF2B5EF4-FFF2-40B4-BE49-F238E27FC236}">
              <a16:creationId xmlns:a16="http://schemas.microsoft.com/office/drawing/2014/main" id="{00000000-0008-0000-0200-00001A000000}"/>
            </a:ext>
          </a:extLst>
        </xdr:cNvPr>
        <xdr:cNvGrpSpPr/>
      </xdr:nvGrpSpPr>
      <xdr:grpSpPr>
        <a:xfrm>
          <a:off x="807612" y="19050"/>
          <a:ext cx="6529686" cy="704850"/>
          <a:chOff x="800100" y="19050"/>
          <a:chExt cx="6467475" cy="704850"/>
        </a:xfrm>
      </xdr:grpSpPr>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7" name="Elbow Connector 6">
            <a:extLst>
              <a:ext uri="{FF2B5EF4-FFF2-40B4-BE49-F238E27FC236}">
                <a16:creationId xmlns:a16="http://schemas.microsoft.com/office/drawing/2014/main" id="{00000000-0008-0000-0200-000007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2" name="Elbow Connector 11">
            <a:extLst>
              <a:ext uri="{FF2B5EF4-FFF2-40B4-BE49-F238E27FC236}">
                <a16:creationId xmlns:a16="http://schemas.microsoft.com/office/drawing/2014/main" id="{00000000-0008-0000-0200-00000C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xdr:col>
          <xdr:colOff>19050</xdr:colOff>
          <xdr:row>3</xdr:row>
          <xdr:rowOff>95250</xdr:rowOff>
        </xdr:from>
        <xdr:to>
          <xdr:col>2</xdr:col>
          <xdr:colOff>247650</xdr:colOff>
          <xdr:row>3</xdr:row>
          <xdr:rowOff>314325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2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xdr:row>
          <xdr:rowOff>104775</xdr:rowOff>
        </xdr:from>
        <xdr:to>
          <xdr:col>3</xdr:col>
          <xdr:colOff>238125</xdr:colOff>
          <xdr:row>3</xdr:row>
          <xdr:rowOff>314325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2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xdr:row>
          <xdr:rowOff>9525</xdr:rowOff>
        </xdr:from>
        <xdr:to>
          <xdr:col>1</xdr:col>
          <xdr:colOff>800100</xdr:colOff>
          <xdr:row>5</xdr:row>
          <xdr:rowOff>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2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5</xdr:row>
          <xdr:rowOff>9525</xdr:rowOff>
        </xdr:from>
        <xdr:to>
          <xdr:col>1</xdr:col>
          <xdr:colOff>800100</xdr:colOff>
          <xdr:row>6</xdr:row>
          <xdr:rowOff>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2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4</xdr:row>
          <xdr:rowOff>9525</xdr:rowOff>
        </xdr:from>
        <xdr:to>
          <xdr:col>2</xdr:col>
          <xdr:colOff>952500</xdr:colOff>
          <xdr:row>5</xdr:row>
          <xdr:rowOff>0</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2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5</xdr:row>
          <xdr:rowOff>9525</xdr:rowOff>
        </xdr:from>
        <xdr:to>
          <xdr:col>2</xdr:col>
          <xdr:colOff>952500</xdr:colOff>
          <xdr:row>6</xdr:row>
          <xdr:rowOff>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2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xdr:row>
          <xdr:rowOff>9525</xdr:rowOff>
        </xdr:from>
        <xdr:to>
          <xdr:col>3</xdr:col>
          <xdr:colOff>885825</xdr:colOff>
          <xdr:row>5</xdr:row>
          <xdr:rowOff>0</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2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5</xdr:row>
          <xdr:rowOff>9525</xdr:rowOff>
        </xdr:from>
        <xdr:to>
          <xdr:col>3</xdr:col>
          <xdr:colOff>885825</xdr:colOff>
          <xdr:row>6</xdr:row>
          <xdr:rowOff>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2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xdr:row>
          <xdr:rowOff>9525</xdr:rowOff>
        </xdr:from>
        <xdr:to>
          <xdr:col>4</xdr:col>
          <xdr:colOff>885825</xdr:colOff>
          <xdr:row>5</xdr:row>
          <xdr:rowOff>0</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2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5</xdr:row>
          <xdr:rowOff>9525</xdr:rowOff>
        </xdr:from>
        <xdr:to>
          <xdr:col>4</xdr:col>
          <xdr:colOff>885825</xdr:colOff>
          <xdr:row>6</xdr:row>
          <xdr:rowOff>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2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4</xdr:row>
          <xdr:rowOff>9525</xdr:rowOff>
        </xdr:from>
        <xdr:to>
          <xdr:col>5</xdr:col>
          <xdr:colOff>895350</xdr:colOff>
          <xdr:row>5</xdr:row>
          <xdr:rowOff>0</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2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9525</xdr:rowOff>
        </xdr:from>
        <xdr:to>
          <xdr:col>5</xdr:col>
          <xdr:colOff>895350</xdr:colOff>
          <xdr:row>6</xdr:row>
          <xdr:rowOff>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2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4</xdr:row>
          <xdr:rowOff>9525</xdr:rowOff>
        </xdr:from>
        <xdr:to>
          <xdr:col>6</xdr:col>
          <xdr:colOff>885825</xdr:colOff>
          <xdr:row>5</xdr:row>
          <xdr:rowOff>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2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xdr:row>
          <xdr:rowOff>9525</xdr:rowOff>
        </xdr:from>
        <xdr:to>
          <xdr:col>6</xdr:col>
          <xdr:colOff>885825</xdr:colOff>
          <xdr:row>6</xdr:row>
          <xdr:rowOff>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2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9525</xdr:rowOff>
        </xdr:from>
        <xdr:to>
          <xdr:col>3</xdr:col>
          <xdr:colOff>790575</xdr:colOff>
          <xdr:row>10</xdr:row>
          <xdr:rowOff>19050</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2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9</xdr:row>
          <xdr:rowOff>180975</xdr:rowOff>
        </xdr:from>
        <xdr:to>
          <xdr:col>3</xdr:col>
          <xdr:colOff>790575</xdr:colOff>
          <xdr:row>11</xdr:row>
          <xdr:rowOff>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2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29</xdr:row>
          <xdr:rowOff>0</xdr:rowOff>
        </xdr:from>
        <xdr:to>
          <xdr:col>0</xdr:col>
          <xdr:colOff>257175</xdr:colOff>
          <xdr:row>29</xdr:row>
          <xdr:rowOff>238125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2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30</xdr:row>
          <xdr:rowOff>0</xdr:rowOff>
        </xdr:from>
        <xdr:to>
          <xdr:col>0</xdr:col>
          <xdr:colOff>257175</xdr:colOff>
          <xdr:row>30</xdr:row>
          <xdr:rowOff>238125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2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31</xdr:row>
          <xdr:rowOff>0</xdr:rowOff>
        </xdr:from>
        <xdr:to>
          <xdr:col>0</xdr:col>
          <xdr:colOff>257175</xdr:colOff>
          <xdr:row>31</xdr:row>
          <xdr:rowOff>238125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2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32</xdr:row>
          <xdr:rowOff>0</xdr:rowOff>
        </xdr:from>
        <xdr:to>
          <xdr:col>0</xdr:col>
          <xdr:colOff>257175</xdr:colOff>
          <xdr:row>32</xdr:row>
          <xdr:rowOff>238125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2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33</xdr:row>
          <xdr:rowOff>0</xdr:rowOff>
        </xdr:from>
        <xdr:to>
          <xdr:col>0</xdr:col>
          <xdr:colOff>257175</xdr:colOff>
          <xdr:row>33</xdr:row>
          <xdr:rowOff>238125</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2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34</xdr:row>
          <xdr:rowOff>0</xdr:rowOff>
        </xdr:from>
        <xdr:to>
          <xdr:col>0</xdr:col>
          <xdr:colOff>257175</xdr:colOff>
          <xdr:row>34</xdr:row>
          <xdr:rowOff>238125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2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37</xdr:row>
          <xdr:rowOff>0</xdr:rowOff>
        </xdr:from>
        <xdr:to>
          <xdr:col>0</xdr:col>
          <xdr:colOff>257175</xdr:colOff>
          <xdr:row>37</xdr:row>
          <xdr:rowOff>238125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2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38</xdr:row>
          <xdr:rowOff>0</xdr:rowOff>
        </xdr:from>
        <xdr:to>
          <xdr:col>0</xdr:col>
          <xdr:colOff>257175</xdr:colOff>
          <xdr:row>38</xdr:row>
          <xdr:rowOff>238125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2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39</xdr:row>
          <xdr:rowOff>0</xdr:rowOff>
        </xdr:from>
        <xdr:to>
          <xdr:col>0</xdr:col>
          <xdr:colOff>257175</xdr:colOff>
          <xdr:row>39</xdr:row>
          <xdr:rowOff>238125</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2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40</xdr:row>
          <xdr:rowOff>0</xdr:rowOff>
        </xdr:from>
        <xdr:to>
          <xdr:col>0</xdr:col>
          <xdr:colOff>257175</xdr:colOff>
          <xdr:row>40</xdr:row>
          <xdr:rowOff>238125</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2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41</xdr:row>
          <xdr:rowOff>0</xdr:rowOff>
        </xdr:from>
        <xdr:to>
          <xdr:col>0</xdr:col>
          <xdr:colOff>257175</xdr:colOff>
          <xdr:row>41</xdr:row>
          <xdr:rowOff>238125</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2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42</xdr:row>
          <xdr:rowOff>0</xdr:rowOff>
        </xdr:from>
        <xdr:to>
          <xdr:col>0</xdr:col>
          <xdr:colOff>257175</xdr:colOff>
          <xdr:row>42</xdr:row>
          <xdr:rowOff>238125</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2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0</xdr:rowOff>
        </xdr:from>
        <xdr:to>
          <xdr:col>4</xdr:col>
          <xdr:colOff>781050</xdr:colOff>
          <xdr:row>18</xdr:row>
          <xdr:rowOff>9525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2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xdr:row>
          <xdr:rowOff>171450</xdr:rowOff>
        </xdr:from>
        <xdr:to>
          <xdr:col>4</xdr:col>
          <xdr:colOff>781050</xdr:colOff>
          <xdr:row>18</xdr:row>
          <xdr:rowOff>180975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2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0</xdr:rowOff>
        </xdr:from>
        <xdr:to>
          <xdr:col>4</xdr:col>
          <xdr:colOff>781050</xdr:colOff>
          <xdr:row>22</xdr:row>
          <xdr:rowOff>9525</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2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21</xdr:row>
          <xdr:rowOff>171450</xdr:rowOff>
        </xdr:from>
        <xdr:to>
          <xdr:col>4</xdr:col>
          <xdr:colOff>781050</xdr:colOff>
          <xdr:row>22</xdr:row>
          <xdr:rowOff>180975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2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0</xdr:rowOff>
        </xdr:from>
        <xdr:to>
          <xdr:col>4</xdr:col>
          <xdr:colOff>781050</xdr:colOff>
          <xdr:row>26</xdr:row>
          <xdr:rowOff>9525</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2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25</xdr:row>
          <xdr:rowOff>171450</xdr:rowOff>
        </xdr:from>
        <xdr:to>
          <xdr:col>4</xdr:col>
          <xdr:colOff>781050</xdr:colOff>
          <xdr:row>26</xdr:row>
          <xdr:rowOff>180975</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2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28576</xdr:colOff>
      <xdr:row>0</xdr:row>
      <xdr:rowOff>28575</xdr:rowOff>
    </xdr:from>
    <xdr:to>
      <xdr:col>0</xdr:col>
      <xdr:colOff>800518</xdr:colOff>
      <xdr:row>0</xdr:row>
      <xdr:rowOff>752475</xdr:rowOff>
    </xdr:to>
    <xdr:pic>
      <xdr:nvPicPr>
        <xdr:cNvPr id="4" name="Picture 3" descr="Graphical user interface, text&#10;&#10;Description automatically generated with medium confidence">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28576" y="28575"/>
          <a:ext cx="771942" cy="7239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2619375</xdr:colOff>
          <xdr:row>6</xdr:row>
          <xdr:rowOff>38100</xdr:rowOff>
        </xdr:from>
        <xdr:to>
          <xdr:col>3</xdr:col>
          <xdr:colOff>3808095</xdr:colOff>
          <xdr:row>6</xdr:row>
          <xdr:rowOff>175260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429375" y="1600200"/>
              <a:ext cx="1188720" cy="137160"/>
              <a:chOff x="6353164" y="1647737"/>
              <a:chExt cx="1474725" cy="209551"/>
            </a:xfrm>
          </xdr:grpSpPr>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300-000003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300-000004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7</xdr:row>
          <xdr:rowOff>38100</xdr:rowOff>
        </xdr:from>
        <xdr:to>
          <xdr:col>3</xdr:col>
          <xdr:colOff>3808094</xdr:colOff>
          <xdr:row>7</xdr:row>
          <xdr:rowOff>175260</xdr:rowOff>
        </xdr:to>
        <xdr:grpSp>
          <xdr:nvGrpSpPr>
            <xdr:cNvPr id="10" name="Group 9">
              <a:extLst>
                <a:ext uri="{FF2B5EF4-FFF2-40B4-BE49-F238E27FC236}">
                  <a16:creationId xmlns:a16="http://schemas.microsoft.com/office/drawing/2014/main" id="{00000000-0008-0000-0300-00000A000000}"/>
                </a:ext>
              </a:extLst>
            </xdr:cNvPr>
            <xdr:cNvGrpSpPr/>
          </xdr:nvGrpSpPr>
          <xdr:grpSpPr>
            <a:xfrm>
              <a:off x="6429374" y="1828800"/>
              <a:ext cx="1188720" cy="137160"/>
              <a:chOff x="6353164" y="1647737"/>
              <a:chExt cx="1474725" cy="209551"/>
            </a:xfrm>
          </xdr:grpSpPr>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300-000005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300-000006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8</xdr:row>
          <xdr:rowOff>38100</xdr:rowOff>
        </xdr:from>
        <xdr:to>
          <xdr:col>3</xdr:col>
          <xdr:colOff>3808094</xdr:colOff>
          <xdr:row>8</xdr:row>
          <xdr:rowOff>175260</xdr:rowOff>
        </xdr:to>
        <xdr:grpSp>
          <xdr:nvGrpSpPr>
            <xdr:cNvPr id="13" name="Group 12">
              <a:extLst>
                <a:ext uri="{FF2B5EF4-FFF2-40B4-BE49-F238E27FC236}">
                  <a16:creationId xmlns:a16="http://schemas.microsoft.com/office/drawing/2014/main" id="{00000000-0008-0000-0300-00000D000000}"/>
                </a:ext>
              </a:extLst>
            </xdr:cNvPr>
            <xdr:cNvGrpSpPr/>
          </xdr:nvGrpSpPr>
          <xdr:grpSpPr>
            <a:xfrm>
              <a:off x="6429374" y="2057400"/>
              <a:ext cx="1188720" cy="137160"/>
              <a:chOff x="6353164" y="1647737"/>
              <a:chExt cx="1474725" cy="209551"/>
            </a:xfrm>
          </xdr:grpSpPr>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300-000007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300-000008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9</xdr:row>
          <xdr:rowOff>38100</xdr:rowOff>
        </xdr:from>
        <xdr:to>
          <xdr:col>3</xdr:col>
          <xdr:colOff>3808094</xdr:colOff>
          <xdr:row>9</xdr:row>
          <xdr:rowOff>175260</xdr:rowOff>
        </xdr:to>
        <xdr:grpSp>
          <xdr:nvGrpSpPr>
            <xdr:cNvPr id="19" name="Group 18">
              <a:extLst>
                <a:ext uri="{FF2B5EF4-FFF2-40B4-BE49-F238E27FC236}">
                  <a16:creationId xmlns:a16="http://schemas.microsoft.com/office/drawing/2014/main" id="{00000000-0008-0000-0300-000013000000}"/>
                </a:ext>
              </a:extLst>
            </xdr:cNvPr>
            <xdr:cNvGrpSpPr/>
          </xdr:nvGrpSpPr>
          <xdr:grpSpPr>
            <a:xfrm>
              <a:off x="6429374" y="2286000"/>
              <a:ext cx="1188720" cy="137160"/>
              <a:chOff x="6353164" y="1647737"/>
              <a:chExt cx="1474725" cy="209551"/>
            </a:xfrm>
          </xdr:grpSpPr>
          <xdr:sp macro="" textlink="">
            <xdr:nvSpPr>
              <xdr:cNvPr id="34827" name="Check Box 11" hidden="1">
                <a:extLst>
                  <a:ext uri="{63B3BB69-23CF-44E3-9099-C40C66FF867C}">
                    <a14:compatExt spid="_x0000_s34827"/>
                  </a:ext>
                  <a:ext uri="{FF2B5EF4-FFF2-40B4-BE49-F238E27FC236}">
                    <a16:creationId xmlns:a16="http://schemas.microsoft.com/office/drawing/2014/main" id="{00000000-0008-0000-0300-00000B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28" name="Check Box 12" hidden="1">
                <a:extLst>
                  <a:ext uri="{63B3BB69-23CF-44E3-9099-C40C66FF867C}">
                    <a14:compatExt spid="_x0000_s34828"/>
                  </a:ext>
                  <a:ext uri="{FF2B5EF4-FFF2-40B4-BE49-F238E27FC236}">
                    <a16:creationId xmlns:a16="http://schemas.microsoft.com/office/drawing/2014/main" id="{00000000-0008-0000-0300-00000C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10</xdr:row>
          <xdr:rowOff>38100</xdr:rowOff>
        </xdr:from>
        <xdr:to>
          <xdr:col>3</xdr:col>
          <xdr:colOff>3808094</xdr:colOff>
          <xdr:row>10</xdr:row>
          <xdr:rowOff>175260</xdr:rowOff>
        </xdr:to>
        <xdr:grpSp>
          <xdr:nvGrpSpPr>
            <xdr:cNvPr id="22" name="Group 21">
              <a:extLst>
                <a:ext uri="{FF2B5EF4-FFF2-40B4-BE49-F238E27FC236}">
                  <a16:creationId xmlns:a16="http://schemas.microsoft.com/office/drawing/2014/main" id="{00000000-0008-0000-0300-000016000000}"/>
                </a:ext>
              </a:extLst>
            </xdr:cNvPr>
            <xdr:cNvGrpSpPr/>
          </xdr:nvGrpSpPr>
          <xdr:grpSpPr>
            <a:xfrm>
              <a:off x="6429374" y="2514600"/>
              <a:ext cx="1188720" cy="137160"/>
              <a:chOff x="6353164" y="1647737"/>
              <a:chExt cx="1474725" cy="209551"/>
            </a:xfrm>
          </xdr:grpSpPr>
          <xdr:sp macro="" textlink="">
            <xdr:nvSpPr>
              <xdr:cNvPr id="34829" name="Check Box 13" hidden="1">
                <a:extLst>
                  <a:ext uri="{63B3BB69-23CF-44E3-9099-C40C66FF867C}">
                    <a14:compatExt spid="_x0000_s34829"/>
                  </a:ext>
                  <a:ext uri="{FF2B5EF4-FFF2-40B4-BE49-F238E27FC236}">
                    <a16:creationId xmlns:a16="http://schemas.microsoft.com/office/drawing/2014/main" id="{00000000-0008-0000-0300-00000D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0" name="Check Box 14" hidden="1">
                <a:extLst>
                  <a:ext uri="{63B3BB69-23CF-44E3-9099-C40C66FF867C}">
                    <a14:compatExt spid="_x0000_s34830"/>
                  </a:ext>
                  <a:ext uri="{FF2B5EF4-FFF2-40B4-BE49-F238E27FC236}">
                    <a16:creationId xmlns:a16="http://schemas.microsoft.com/office/drawing/2014/main" id="{00000000-0008-0000-0300-00000E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11</xdr:row>
          <xdr:rowOff>38100</xdr:rowOff>
        </xdr:from>
        <xdr:to>
          <xdr:col>3</xdr:col>
          <xdr:colOff>3808094</xdr:colOff>
          <xdr:row>11</xdr:row>
          <xdr:rowOff>175260</xdr:rowOff>
        </xdr:to>
        <xdr:grpSp>
          <xdr:nvGrpSpPr>
            <xdr:cNvPr id="25" name="Group 24">
              <a:extLst>
                <a:ext uri="{FF2B5EF4-FFF2-40B4-BE49-F238E27FC236}">
                  <a16:creationId xmlns:a16="http://schemas.microsoft.com/office/drawing/2014/main" id="{00000000-0008-0000-0300-000019000000}"/>
                </a:ext>
              </a:extLst>
            </xdr:cNvPr>
            <xdr:cNvGrpSpPr/>
          </xdr:nvGrpSpPr>
          <xdr:grpSpPr>
            <a:xfrm>
              <a:off x="6429374" y="2743200"/>
              <a:ext cx="1188720" cy="137160"/>
              <a:chOff x="6353164" y="1647737"/>
              <a:chExt cx="1474725" cy="209551"/>
            </a:xfrm>
          </xdr:grpSpPr>
          <xdr:sp macro="" textlink="">
            <xdr:nvSpPr>
              <xdr:cNvPr id="34831" name="Check Box 15" hidden="1">
                <a:extLst>
                  <a:ext uri="{63B3BB69-23CF-44E3-9099-C40C66FF867C}">
                    <a14:compatExt spid="_x0000_s34831"/>
                  </a:ext>
                  <a:ext uri="{FF2B5EF4-FFF2-40B4-BE49-F238E27FC236}">
                    <a16:creationId xmlns:a16="http://schemas.microsoft.com/office/drawing/2014/main" id="{00000000-0008-0000-0300-00000F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2" name="Check Box 16" hidden="1">
                <a:extLst>
                  <a:ext uri="{63B3BB69-23CF-44E3-9099-C40C66FF867C}">
                    <a14:compatExt spid="_x0000_s34832"/>
                  </a:ext>
                  <a:ext uri="{FF2B5EF4-FFF2-40B4-BE49-F238E27FC236}">
                    <a16:creationId xmlns:a16="http://schemas.microsoft.com/office/drawing/2014/main" id="{00000000-0008-0000-0300-000010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14</xdr:row>
          <xdr:rowOff>38100</xdr:rowOff>
        </xdr:from>
        <xdr:to>
          <xdr:col>3</xdr:col>
          <xdr:colOff>3808094</xdr:colOff>
          <xdr:row>14</xdr:row>
          <xdr:rowOff>175260</xdr:rowOff>
        </xdr:to>
        <xdr:grpSp>
          <xdr:nvGrpSpPr>
            <xdr:cNvPr id="28" name="Group 27">
              <a:extLst>
                <a:ext uri="{FF2B5EF4-FFF2-40B4-BE49-F238E27FC236}">
                  <a16:creationId xmlns:a16="http://schemas.microsoft.com/office/drawing/2014/main" id="{00000000-0008-0000-0300-00001C000000}"/>
                </a:ext>
              </a:extLst>
            </xdr:cNvPr>
            <xdr:cNvGrpSpPr/>
          </xdr:nvGrpSpPr>
          <xdr:grpSpPr>
            <a:xfrm>
              <a:off x="6429374" y="3619500"/>
              <a:ext cx="1188720" cy="137160"/>
              <a:chOff x="6353164" y="1647737"/>
              <a:chExt cx="1474725" cy="209551"/>
            </a:xfrm>
          </xdr:grpSpPr>
          <xdr:sp macro="" textlink="">
            <xdr:nvSpPr>
              <xdr:cNvPr id="34833" name="Check Box 17" hidden="1">
                <a:extLst>
                  <a:ext uri="{63B3BB69-23CF-44E3-9099-C40C66FF867C}">
                    <a14:compatExt spid="_x0000_s34833"/>
                  </a:ext>
                  <a:ext uri="{FF2B5EF4-FFF2-40B4-BE49-F238E27FC236}">
                    <a16:creationId xmlns:a16="http://schemas.microsoft.com/office/drawing/2014/main" id="{00000000-0008-0000-0300-000011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4" name="Check Box 18" hidden="1">
                <a:extLst>
                  <a:ext uri="{63B3BB69-23CF-44E3-9099-C40C66FF867C}">
                    <a14:compatExt spid="_x0000_s34834"/>
                  </a:ext>
                  <a:ext uri="{FF2B5EF4-FFF2-40B4-BE49-F238E27FC236}">
                    <a16:creationId xmlns:a16="http://schemas.microsoft.com/office/drawing/2014/main" id="{00000000-0008-0000-0300-000012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16</xdr:row>
          <xdr:rowOff>38100</xdr:rowOff>
        </xdr:from>
        <xdr:to>
          <xdr:col>3</xdr:col>
          <xdr:colOff>3808094</xdr:colOff>
          <xdr:row>16</xdr:row>
          <xdr:rowOff>175260</xdr:rowOff>
        </xdr:to>
        <xdr:grpSp>
          <xdr:nvGrpSpPr>
            <xdr:cNvPr id="31" name="Group 30">
              <a:extLst>
                <a:ext uri="{FF2B5EF4-FFF2-40B4-BE49-F238E27FC236}">
                  <a16:creationId xmlns:a16="http://schemas.microsoft.com/office/drawing/2014/main" id="{00000000-0008-0000-0300-00001F000000}"/>
                </a:ext>
              </a:extLst>
            </xdr:cNvPr>
            <xdr:cNvGrpSpPr/>
          </xdr:nvGrpSpPr>
          <xdr:grpSpPr>
            <a:xfrm>
              <a:off x="6429374" y="4429125"/>
              <a:ext cx="1188720" cy="137160"/>
              <a:chOff x="6353164" y="1647737"/>
              <a:chExt cx="1474725" cy="209551"/>
            </a:xfrm>
          </xdr:grpSpPr>
          <xdr:sp macro="" textlink="">
            <xdr:nvSpPr>
              <xdr:cNvPr id="34835" name="Check Box 19" hidden="1">
                <a:extLst>
                  <a:ext uri="{63B3BB69-23CF-44E3-9099-C40C66FF867C}">
                    <a14:compatExt spid="_x0000_s34835"/>
                  </a:ext>
                  <a:ext uri="{FF2B5EF4-FFF2-40B4-BE49-F238E27FC236}">
                    <a16:creationId xmlns:a16="http://schemas.microsoft.com/office/drawing/2014/main" id="{00000000-0008-0000-0300-000013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6" name="Check Box 20" hidden="1">
                <a:extLst>
                  <a:ext uri="{63B3BB69-23CF-44E3-9099-C40C66FF867C}">
                    <a14:compatExt spid="_x0000_s34836"/>
                  </a:ext>
                  <a:ext uri="{FF2B5EF4-FFF2-40B4-BE49-F238E27FC236}">
                    <a16:creationId xmlns:a16="http://schemas.microsoft.com/office/drawing/2014/main" id="{00000000-0008-0000-0300-000014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17</xdr:row>
          <xdr:rowOff>38100</xdr:rowOff>
        </xdr:from>
        <xdr:to>
          <xdr:col>3</xdr:col>
          <xdr:colOff>3808094</xdr:colOff>
          <xdr:row>17</xdr:row>
          <xdr:rowOff>175260</xdr:rowOff>
        </xdr:to>
        <xdr:grpSp>
          <xdr:nvGrpSpPr>
            <xdr:cNvPr id="34" name="Group 33">
              <a:extLst>
                <a:ext uri="{FF2B5EF4-FFF2-40B4-BE49-F238E27FC236}">
                  <a16:creationId xmlns:a16="http://schemas.microsoft.com/office/drawing/2014/main" id="{00000000-0008-0000-0300-000022000000}"/>
                </a:ext>
              </a:extLst>
            </xdr:cNvPr>
            <xdr:cNvGrpSpPr/>
          </xdr:nvGrpSpPr>
          <xdr:grpSpPr>
            <a:xfrm>
              <a:off x="6429374" y="4657725"/>
              <a:ext cx="1188720" cy="137160"/>
              <a:chOff x="6353164" y="1647737"/>
              <a:chExt cx="1474725" cy="209551"/>
            </a:xfrm>
          </xdr:grpSpPr>
          <xdr:sp macro="" textlink="">
            <xdr:nvSpPr>
              <xdr:cNvPr id="34837" name="Check Box 21" hidden="1">
                <a:extLst>
                  <a:ext uri="{63B3BB69-23CF-44E3-9099-C40C66FF867C}">
                    <a14:compatExt spid="_x0000_s34837"/>
                  </a:ext>
                  <a:ext uri="{FF2B5EF4-FFF2-40B4-BE49-F238E27FC236}">
                    <a16:creationId xmlns:a16="http://schemas.microsoft.com/office/drawing/2014/main" id="{00000000-0008-0000-0300-000015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38" name="Check Box 22" hidden="1">
                <a:extLst>
                  <a:ext uri="{63B3BB69-23CF-44E3-9099-C40C66FF867C}">
                    <a14:compatExt spid="_x0000_s34838"/>
                  </a:ext>
                  <a:ext uri="{FF2B5EF4-FFF2-40B4-BE49-F238E27FC236}">
                    <a16:creationId xmlns:a16="http://schemas.microsoft.com/office/drawing/2014/main" id="{00000000-0008-0000-0300-000016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18</xdr:row>
          <xdr:rowOff>38100</xdr:rowOff>
        </xdr:from>
        <xdr:to>
          <xdr:col>3</xdr:col>
          <xdr:colOff>3808094</xdr:colOff>
          <xdr:row>18</xdr:row>
          <xdr:rowOff>175260</xdr:rowOff>
        </xdr:to>
        <xdr:grpSp>
          <xdr:nvGrpSpPr>
            <xdr:cNvPr id="37" name="Group 36">
              <a:extLst>
                <a:ext uri="{FF2B5EF4-FFF2-40B4-BE49-F238E27FC236}">
                  <a16:creationId xmlns:a16="http://schemas.microsoft.com/office/drawing/2014/main" id="{00000000-0008-0000-0300-000025000000}"/>
                </a:ext>
              </a:extLst>
            </xdr:cNvPr>
            <xdr:cNvGrpSpPr/>
          </xdr:nvGrpSpPr>
          <xdr:grpSpPr>
            <a:xfrm>
              <a:off x="6429374" y="4886325"/>
              <a:ext cx="1188720" cy="137160"/>
              <a:chOff x="6353164" y="1647737"/>
              <a:chExt cx="1474725" cy="209551"/>
            </a:xfrm>
          </xdr:grpSpPr>
          <xdr:sp macro="" textlink="">
            <xdr:nvSpPr>
              <xdr:cNvPr id="34839" name="Check Box 23" hidden="1">
                <a:extLst>
                  <a:ext uri="{63B3BB69-23CF-44E3-9099-C40C66FF867C}">
                    <a14:compatExt spid="_x0000_s34839"/>
                  </a:ext>
                  <a:ext uri="{FF2B5EF4-FFF2-40B4-BE49-F238E27FC236}">
                    <a16:creationId xmlns:a16="http://schemas.microsoft.com/office/drawing/2014/main" id="{00000000-0008-0000-0300-000017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40" name="Check Box 24" hidden="1">
                <a:extLst>
                  <a:ext uri="{63B3BB69-23CF-44E3-9099-C40C66FF867C}">
                    <a14:compatExt spid="_x0000_s34840"/>
                  </a:ext>
                  <a:ext uri="{FF2B5EF4-FFF2-40B4-BE49-F238E27FC236}">
                    <a16:creationId xmlns:a16="http://schemas.microsoft.com/office/drawing/2014/main" id="{00000000-0008-0000-0300-000018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19</xdr:row>
          <xdr:rowOff>38100</xdr:rowOff>
        </xdr:from>
        <xdr:to>
          <xdr:col>3</xdr:col>
          <xdr:colOff>3808094</xdr:colOff>
          <xdr:row>19</xdr:row>
          <xdr:rowOff>175260</xdr:rowOff>
        </xdr:to>
        <xdr:grpSp>
          <xdr:nvGrpSpPr>
            <xdr:cNvPr id="40" name="Group 39">
              <a:extLst>
                <a:ext uri="{FF2B5EF4-FFF2-40B4-BE49-F238E27FC236}">
                  <a16:creationId xmlns:a16="http://schemas.microsoft.com/office/drawing/2014/main" id="{00000000-0008-0000-0300-000028000000}"/>
                </a:ext>
              </a:extLst>
            </xdr:cNvPr>
            <xdr:cNvGrpSpPr/>
          </xdr:nvGrpSpPr>
          <xdr:grpSpPr>
            <a:xfrm>
              <a:off x="6429374" y="5114925"/>
              <a:ext cx="1188720" cy="137160"/>
              <a:chOff x="6353164" y="1647737"/>
              <a:chExt cx="1474725" cy="209551"/>
            </a:xfrm>
          </xdr:grpSpPr>
          <xdr:sp macro="" textlink="">
            <xdr:nvSpPr>
              <xdr:cNvPr id="34841" name="Check Box 25" hidden="1">
                <a:extLst>
                  <a:ext uri="{63B3BB69-23CF-44E3-9099-C40C66FF867C}">
                    <a14:compatExt spid="_x0000_s34841"/>
                  </a:ext>
                  <a:ext uri="{FF2B5EF4-FFF2-40B4-BE49-F238E27FC236}">
                    <a16:creationId xmlns:a16="http://schemas.microsoft.com/office/drawing/2014/main" id="{00000000-0008-0000-0300-000019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42" name="Check Box 26" hidden="1">
                <a:extLst>
                  <a:ext uri="{63B3BB69-23CF-44E3-9099-C40C66FF867C}">
                    <a14:compatExt spid="_x0000_s34842"/>
                  </a:ext>
                  <a:ext uri="{FF2B5EF4-FFF2-40B4-BE49-F238E27FC236}">
                    <a16:creationId xmlns:a16="http://schemas.microsoft.com/office/drawing/2014/main" id="{00000000-0008-0000-0300-00001A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20</xdr:row>
          <xdr:rowOff>38100</xdr:rowOff>
        </xdr:from>
        <xdr:to>
          <xdr:col>3</xdr:col>
          <xdr:colOff>3808094</xdr:colOff>
          <xdr:row>20</xdr:row>
          <xdr:rowOff>175260</xdr:rowOff>
        </xdr:to>
        <xdr:grpSp>
          <xdr:nvGrpSpPr>
            <xdr:cNvPr id="43" name="Group 42">
              <a:extLst>
                <a:ext uri="{FF2B5EF4-FFF2-40B4-BE49-F238E27FC236}">
                  <a16:creationId xmlns:a16="http://schemas.microsoft.com/office/drawing/2014/main" id="{00000000-0008-0000-0300-00002B000000}"/>
                </a:ext>
              </a:extLst>
            </xdr:cNvPr>
            <xdr:cNvGrpSpPr/>
          </xdr:nvGrpSpPr>
          <xdr:grpSpPr>
            <a:xfrm>
              <a:off x="6429374" y="5343525"/>
              <a:ext cx="1188720" cy="137160"/>
              <a:chOff x="6353164" y="1647737"/>
              <a:chExt cx="1474725" cy="209551"/>
            </a:xfrm>
          </xdr:grpSpPr>
          <xdr:sp macro="" textlink="">
            <xdr:nvSpPr>
              <xdr:cNvPr id="34843" name="Check Box 27" hidden="1">
                <a:extLst>
                  <a:ext uri="{63B3BB69-23CF-44E3-9099-C40C66FF867C}">
                    <a14:compatExt spid="_x0000_s34843"/>
                  </a:ext>
                  <a:ext uri="{FF2B5EF4-FFF2-40B4-BE49-F238E27FC236}">
                    <a16:creationId xmlns:a16="http://schemas.microsoft.com/office/drawing/2014/main" id="{00000000-0008-0000-0300-00001B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44" name="Check Box 28" hidden="1">
                <a:extLst>
                  <a:ext uri="{63B3BB69-23CF-44E3-9099-C40C66FF867C}">
                    <a14:compatExt spid="_x0000_s34844"/>
                  </a:ext>
                  <a:ext uri="{FF2B5EF4-FFF2-40B4-BE49-F238E27FC236}">
                    <a16:creationId xmlns:a16="http://schemas.microsoft.com/office/drawing/2014/main" id="{00000000-0008-0000-0300-00001C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0</xdr:col>
      <xdr:colOff>783616</xdr:colOff>
      <xdr:row>36</xdr:row>
      <xdr:rowOff>0</xdr:rowOff>
    </xdr:from>
    <xdr:to>
      <xdr:col>4</xdr:col>
      <xdr:colOff>3860673</xdr:colOff>
      <xdr:row>36</xdr:row>
      <xdr:rowOff>704850</xdr:rowOff>
    </xdr:to>
    <xdr:grpSp>
      <xdr:nvGrpSpPr>
        <xdr:cNvPr id="51" name="Group 50">
          <a:extLst>
            <a:ext uri="{FF2B5EF4-FFF2-40B4-BE49-F238E27FC236}">
              <a16:creationId xmlns:a16="http://schemas.microsoft.com/office/drawing/2014/main" id="{00000000-0008-0000-0300-000033000000}"/>
            </a:ext>
          </a:extLst>
        </xdr:cNvPr>
        <xdr:cNvGrpSpPr/>
      </xdr:nvGrpSpPr>
      <xdr:grpSpPr>
        <a:xfrm>
          <a:off x="783616" y="11401425"/>
          <a:ext cx="10801832" cy="704850"/>
          <a:chOff x="780350" y="0"/>
          <a:chExt cx="10756805" cy="704850"/>
        </a:xfrm>
      </xdr:grpSpPr>
      <xdr:sp macro="" textlink="">
        <xdr:nvSpPr>
          <xdr:cNvPr id="53" name="TextBox 52">
            <a:extLst>
              <a:ext uri="{FF2B5EF4-FFF2-40B4-BE49-F238E27FC236}">
                <a16:creationId xmlns:a16="http://schemas.microsoft.com/office/drawing/2014/main" id="{00000000-0008-0000-0300-000035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4" name="Elbow Connector 53">
            <a:extLst>
              <a:ext uri="{FF2B5EF4-FFF2-40B4-BE49-F238E27FC236}">
                <a16:creationId xmlns:a16="http://schemas.microsoft.com/office/drawing/2014/main" id="{00000000-0008-0000-0300-000036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55" name="Elbow Connector 54">
            <a:extLst>
              <a:ext uri="{FF2B5EF4-FFF2-40B4-BE49-F238E27FC236}">
                <a16:creationId xmlns:a16="http://schemas.microsoft.com/office/drawing/2014/main" id="{00000000-0008-0000-0300-000037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xdr:from>
          <xdr:col>3</xdr:col>
          <xdr:colOff>2619375</xdr:colOff>
          <xdr:row>13</xdr:row>
          <xdr:rowOff>228600</xdr:rowOff>
        </xdr:from>
        <xdr:to>
          <xdr:col>3</xdr:col>
          <xdr:colOff>3808095</xdr:colOff>
          <xdr:row>13</xdr:row>
          <xdr:rowOff>365760</xdr:rowOff>
        </xdr:to>
        <xdr:grpSp>
          <xdr:nvGrpSpPr>
            <xdr:cNvPr id="56" name="Group 55">
              <a:extLst>
                <a:ext uri="{FF2B5EF4-FFF2-40B4-BE49-F238E27FC236}">
                  <a16:creationId xmlns:a16="http://schemas.microsoft.com/office/drawing/2014/main" id="{00000000-0008-0000-0300-000038000000}"/>
                </a:ext>
              </a:extLst>
            </xdr:cNvPr>
            <xdr:cNvGrpSpPr/>
          </xdr:nvGrpSpPr>
          <xdr:grpSpPr>
            <a:xfrm>
              <a:off x="6429375" y="3390900"/>
              <a:ext cx="1188720" cy="137160"/>
              <a:chOff x="6353164" y="1647737"/>
              <a:chExt cx="1474725" cy="209551"/>
            </a:xfrm>
          </xdr:grpSpPr>
          <xdr:sp macro="" textlink="">
            <xdr:nvSpPr>
              <xdr:cNvPr id="34897" name="Check Box 81" hidden="1">
                <a:extLst>
                  <a:ext uri="{63B3BB69-23CF-44E3-9099-C40C66FF867C}">
                    <a14:compatExt spid="_x0000_s34897"/>
                  </a:ext>
                  <a:ext uri="{FF2B5EF4-FFF2-40B4-BE49-F238E27FC236}">
                    <a16:creationId xmlns:a16="http://schemas.microsoft.com/office/drawing/2014/main" id="{00000000-0008-0000-0300-000051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898" name="Check Box 82" hidden="1">
                <a:extLst>
                  <a:ext uri="{63B3BB69-23CF-44E3-9099-C40C66FF867C}">
                    <a14:compatExt spid="_x0000_s34898"/>
                  </a:ext>
                  <a:ext uri="{FF2B5EF4-FFF2-40B4-BE49-F238E27FC236}">
                    <a16:creationId xmlns:a16="http://schemas.microsoft.com/office/drawing/2014/main" id="{00000000-0008-0000-0300-000052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2619374</xdr:colOff>
          <xdr:row>15</xdr:row>
          <xdr:rowOff>38100</xdr:rowOff>
        </xdr:from>
        <xdr:to>
          <xdr:col>3</xdr:col>
          <xdr:colOff>3808094</xdr:colOff>
          <xdr:row>15</xdr:row>
          <xdr:rowOff>175260</xdr:rowOff>
        </xdr:to>
        <xdr:grpSp>
          <xdr:nvGrpSpPr>
            <xdr:cNvPr id="46" name="Group 45">
              <a:extLst>
                <a:ext uri="{FF2B5EF4-FFF2-40B4-BE49-F238E27FC236}">
                  <a16:creationId xmlns:a16="http://schemas.microsoft.com/office/drawing/2014/main" id="{00000000-0008-0000-0300-00002E000000}"/>
                </a:ext>
              </a:extLst>
            </xdr:cNvPr>
            <xdr:cNvGrpSpPr/>
          </xdr:nvGrpSpPr>
          <xdr:grpSpPr>
            <a:xfrm>
              <a:off x="6429374" y="3848100"/>
              <a:ext cx="1188720" cy="137160"/>
              <a:chOff x="6353164" y="1647737"/>
              <a:chExt cx="1474725" cy="209551"/>
            </a:xfrm>
          </xdr:grpSpPr>
          <xdr:sp macro="" textlink="">
            <xdr:nvSpPr>
              <xdr:cNvPr id="34899" name="Check Box 83" hidden="1">
                <a:extLst>
                  <a:ext uri="{63B3BB69-23CF-44E3-9099-C40C66FF867C}">
                    <a14:compatExt spid="_x0000_s34899"/>
                  </a:ext>
                  <a:ext uri="{FF2B5EF4-FFF2-40B4-BE49-F238E27FC236}">
                    <a16:creationId xmlns:a16="http://schemas.microsoft.com/office/drawing/2014/main" id="{00000000-0008-0000-0300-000053880000}"/>
                  </a:ext>
                </a:extLst>
              </xdr:cNvPr>
              <xdr:cNvSpPr/>
            </xdr:nvSpPr>
            <xdr:spPr bwMode="auto">
              <a:xfrm>
                <a:off x="6353164" y="1647739"/>
                <a:ext cx="684323"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4900" name="Check Box 84" hidden="1">
                <a:extLst>
                  <a:ext uri="{63B3BB69-23CF-44E3-9099-C40C66FF867C}">
                    <a14:compatExt spid="_x0000_s34900"/>
                  </a:ext>
                  <a:ext uri="{FF2B5EF4-FFF2-40B4-BE49-F238E27FC236}">
                    <a16:creationId xmlns:a16="http://schemas.microsoft.com/office/drawing/2014/main" id="{00000000-0008-0000-0300-000054880000}"/>
                  </a:ext>
                </a:extLst>
              </xdr:cNvPr>
              <xdr:cNvSpPr/>
            </xdr:nvSpPr>
            <xdr:spPr bwMode="auto">
              <a:xfrm>
                <a:off x="7058023" y="1647737"/>
                <a:ext cx="769866" cy="2095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editAs="oneCell">
    <xdr:from>
      <xdr:col>0</xdr:col>
      <xdr:colOff>19050</xdr:colOff>
      <xdr:row>36</xdr:row>
      <xdr:rowOff>19050</xdr:rowOff>
    </xdr:from>
    <xdr:to>
      <xdr:col>0</xdr:col>
      <xdr:colOff>790992</xdr:colOff>
      <xdr:row>36</xdr:row>
      <xdr:rowOff>742950</xdr:rowOff>
    </xdr:to>
    <xdr:pic>
      <xdr:nvPicPr>
        <xdr:cNvPr id="3" name="Picture 2" descr="Graphical user interface, text&#10;&#10;Description automatically generated with medium confidenc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1420475"/>
          <a:ext cx="771942" cy="7239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85025</xdr:colOff>
      <xdr:row>32</xdr:row>
      <xdr:rowOff>0</xdr:rowOff>
    </xdr:from>
    <xdr:to>
      <xdr:col>11</xdr:col>
      <xdr:colOff>754855</xdr:colOff>
      <xdr:row>32</xdr:row>
      <xdr:rowOff>704850</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780350" y="9867900"/>
          <a:ext cx="10756805" cy="704850"/>
          <a:chOff x="780350" y="0"/>
          <a:chExt cx="10756805" cy="704850"/>
        </a:xfrm>
      </xdr:grpSpPr>
      <xdr:sp macro="" textlink="">
        <xdr:nvSpPr>
          <xdr:cNvPr id="14" name="TextBox 13">
            <a:extLst>
              <a:ext uri="{FF2B5EF4-FFF2-40B4-BE49-F238E27FC236}">
                <a16:creationId xmlns:a16="http://schemas.microsoft.com/office/drawing/2014/main" id="{00000000-0008-0000-0400-00000E000000}"/>
              </a:ext>
            </a:extLst>
          </xdr:cNvPr>
          <xdr:cNvSpPr txBox="1"/>
        </xdr:nvSpPr>
        <xdr:spPr>
          <a:xfrm>
            <a:off x="780350" y="0"/>
            <a:ext cx="1075680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15" name="Elbow Connector 14">
            <a:extLst>
              <a:ext uri="{FF2B5EF4-FFF2-40B4-BE49-F238E27FC236}">
                <a16:creationId xmlns:a16="http://schemas.microsoft.com/office/drawing/2014/main" id="{00000000-0008-0000-0400-00000F000000}"/>
              </a:ext>
            </a:extLst>
          </xdr:cNvPr>
          <xdr:cNvCxnSpPr/>
        </xdr:nvCxnSpPr>
        <xdr:spPr>
          <a:xfrm flipV="1">
            <a:off x="806522" y="16669"/>
            <a:ext cx="10725912"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16" name="Elbow Connector 15">
            <a:extLst>
              <a:ext uri="{FF2B5EF4-FFF2-40B4-BE49-F238E27FC236}">
                <a16:creationId xmlns:a16="http://schemas.microsoft.com/office/drawing/2014/main" id="{00000000-0008-0000-0400-000010000000}"/>
              </a:ext>
            </a:extLst>
          </xdr:cNvPr>
          <xdr:cNvCxnSpPr/>
        </xdr:nvCxnSpPr>
        <xdr:spPr>
          <a:xfrm flipV="1">
            <a:off x="882654" y="92871"/>
            <a:ext cx="10579608"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32</xdr:row>
      <xdr:rowOff>19050</xdr:rowOff>
    </xdr:from>
    <xdr:to>
      <xdr:col>1</xdr:col>
      <xdr:colOff>95667</xdr:colOff>
      <xdr:row>32</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9886950"/>
          <a:ext cx="771942" cy="7239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780351</xdr:colOff>
      <xdr:row>8</xdr:row>
      <xdr:rowOff>0</xdr:rowOff>
    </xdr:from>
    <xdr:to>
      <xdr:col>1</xdr:col>
      <xdr:colOff>4927473</xdr:colOff>
      <xdr:row>8</xdr:row>
      <xdr:rowOff>704850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780351" y="2390775"/>
          <a:ext cx="6461697" cy="704850"/>
          <a:chOff x="800100" y="19050"/>
          <a:chExt cx="6467475" cy="704850"/>
        </a:xfrm>
      </xdr:grpSpPr>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6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6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8</xdr:row>
      <xdr:rowOff>19050</xdr:rowOff>
    </xdr:from>
    <xdr:to>
      <xdr:col>0</xdr:col>
      <xdr:colOff>790992</xdr:colOff>
      <xdr:row>8</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409825"/>
          <a:ext cx="771942" cy="7239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782322</xdr:colOff>
      <xdr:row>3</xdr:row>
      <xdr:rowOff>247649</xdr:rowOff>
    </xdr:from>
    <xdr:to>
      <xdr:col>4</xdr:col>
      <xdr:colOff>1535811</xdr:colOff>
      <xdr:row>4</xdr:row>
      <xdr:rowOff>730561</xdr:rowOff>
    </xdr:to>
    <xdr:grpSp>
      <xdr:nvGrpSpPr>
        <xdr:cNvPr id="27" name="Group 26">
          <a:extLst>
            <a:ext uri="{FF2B5EF4-FFF2-40B4-BE49-F238E27FC236}">
              <a16:creationId xmlns:a16="http://schemas.microsoft.com/office/drawing/2014/main" id="{00000000-0008-0000-0700-00001B000000}"/>
            </a:ext>
          </a:extLst>
        </xdr:cNvPr>
        <xdr:cNvGrpSpPr/>
      </xdr:nvGrpSpPr>
      <xdr:grpSpPr>
        <a:xfrm>
          <a:off x="782322" y="1590674"/>
          <a:ext cx="6478014" cy="730562"/>
          <a:chOff x="800100" y="19050"/>
          <a:chExt cx="6467475" cy="704850"/>
        </a:xfrm>
      </xdr:grpSpPr>
      <xdr:sp macro="" textlink="">
        <xdr:nvSpPr>
          <xdr:cNvPr id="29" name="TextBox 28">
            <a:extLst>
              <a:ext uri="{FF2B5EF4-FFF2-40B4-BE49-F238E27FC236}">
                <a16:creationId xmlns:a16="http://schemas.microsoft.com/office/drawing/2014/main" id="{00000000-0008-0000-0700-00001D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30" name="Elbow Connector 29">
            <a:extLst>
              <a:ext uri="{FF2B5EF4-FFF2-40B4-BE49-F238E27FC236}">
                <a16:creationId xmlns:a16="http://schemas.microsoft.com/office/drawing/2014/main" id="{00000000-0008-0000-0700-00001E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31" name="Elbow Connector 30">
            <a:extLst>
              <a:ext uri="{FF2B5EF4-FFF2-40B4-BE49-F238E27FC236}">
                <a16:creationId xmlns:a16="http://schemas.microsoft.com/office/drawing/2014/main" id="{00000000-0008-0000-0700-00001F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4</xdr:row>
      <xdr:rowOff>19050</xdr:rowOff>
    </xdr:from>
    <xdr:to>
      <xdr:col>0</xdr:col>
      <xdr:colOff>790992</xdr:colOff>
      <xdr:row>4</xdr:row>
      <xdr:rowOff>742950</xdr:rowOff>
    </xdr:to>
    <xdr:pic>
      <xdr:nvPicPr>
        <xdr:cNvPr id="2" name="Picture 1" descr="Graphical user interface, text&#10;&#10;Description automatically generated with medium confidenc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1609725"/>
          <a:ext cx="771942" cy="7239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822103</xdr:colOff>
      <xdr:row>5</xdr:row>
      <xdr:rowOff>0</xdr:rowOff>
    </xdr:from>
    <xdr:to>
      <xdr:col>6</xdr:col>
      <xdr:colOff>1066800</xdr:colOff>
      <xdr:row>5</xdr:row>
      <xdr:rowOff>704850</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822103" y="2028825"/>
          <a:ext cx="6807422" cy="704850"/>
          <a:chOff x="800100" y="19050"/>
          <a:chExt cx="6467475" cy="704850"/>
        </a:xfrm>
      </xdr:grpSpPr>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800100" y="19050"/>
            <a:ext cx="6467475"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800-000005000000}"/>
              </a:ext>
            </a:extLst>
          </xdr:cNvPr>
          <xdr:cNvCxnSpPr/>
        </xdr:nvCxnSpPr>
        <xdr:spPr>
          <a:xfrm flipV="1">
            <a:off x="826294" y="35719"/>
            <a:ext cx="6426994"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800-000006000000}"/>
              </a:ext>
            </a:extLst>
          </xdr:cNvPr>
          <xdr:cNvCxnSpPr/>
        </xdr:nvCxnSpPr>
        <xdr:spPr>
          <a:xfrm flipV="1">
            <a:off x="902494" y="111921"/>
            <a:ext cx="627935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0</xdr:col>
      <xdr:colOff>19050</xdr:colOff>
      <xdr:row>5</xdr:row>
      <xdr:rowOff>19050</xdr:rowOff>
    </xdr:from>
    <xdr:to>
      <xdr:col>0</xdr:col>
      <xdr:colOff>790992</xdr:colOff>
      <xdr:row>5</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047875"/>
          <a:ext cx="771942" cy="7239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152400</xdr:colOff>
      <xdr:row>94</xdr:row>
      <xdr:rowOff>0</xdr:rowOff>
    </xdr:from>
    <xdr:to>
      <xdr:col>14</xdr:col>
      <xdr:colOff>687705</xdr:colOff>
      <xdr:row>94</xdr:row>
      <xdr:rowOff>704850</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819150" y="23888700"/>
          <a:ext cx="10917555" cy="704850"/>
          <a:chOff x="732498" y="12534900"/>
          <a:chExt cx="10726077" cy="704850"/>
        </a:xfrm>
      </xdr:grpSpPr>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732498" y="12534900"/>
            <a:ext cx="10726077" cy="704850"/>
          </a:xfrm>
          <a:prstGeom prst="rect">
            <a:avLst/>
          </a:prstGeom>
          <a:gradFill flip="none" rotWithShape="1">
            <a:gsLst>
              <a:gs pos="0">
                <a:schemeClr val="accent1">
                  <a:tint val="66000"/>
                  <a:satMod val="160000"/>
                </a:schemeClr>
              </a:gs>
              <a:gs pos="36000">
                <a:schemeClr val="tx2">
                  <a:lumMod val="20000"/>
                  <a:lumOff val="80000"/>
                </a:schemeClr>
              </a:gs>
              <a:gs pos="100000">
                <a:schemeClr val="accent1">
                  <a:tint val="23500"/>
                  <a:satMod val="160000"/>
                </a:schemeClr>
              </a:gs>
            </a:gsLst>
            <a:path path="circle">
              <a:fillToRect l="100000" t="100000"/>
            </a:path>
            <a:tileRect r="-100000" b="-100000"/>
          </a:gra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scene3d>
              <a:camera prst="orthographicFront"/>
              <a:lightRig rig="threePt" dir="t"/>
            </a:scene3d>
            <a:sp3d prstMaterial="dkEdge"/>
          </a:bodyPr>
          <a:lstStyle/>
          <a:p>
            <a:endParaRPr lang="en-US" sz="500" b="1"/>
          </a:p>
          <a:p>
            <a:r>
              <a:rPr lang="en-US" sz="1100" b="1"/>
              <a:t>  Air</a:t>
            </a:r>
            <a:r>
              <a:rPr lang="en-US" sz="1100" b="1" baseline="0"/>
              <a:t> Quality Permit Application Form - Grain Elevators/Feed Mills</a:t>
            </a:r>
          </a:p>
          <a:p>
            <a:r>
              <a:rPr lang="en-US" sz="1100" b="0" baseline="0"/>
              <a:t>  Lincoln-Lancaster County Health Department</a:t>
            </a:r>
          </a:p>
          <a:p>
            <a:r>
              <a:rPr lang="en-US" sz="1100" b="0" baseline="0"/>
              <a:t>  Air Quality Program</a:t>
            </a:r>
            <a:endParaRPr lang="en-US" sz="1100" b="0"/>
          </a:p>
        </xdr:txBody>
      </xdr:sp>
      <xdr:cxnSp macro="">
        <xdr:nvCxnSpPr>
          <xdr:cNvPr id="5" name="Elbow Connector 4">
            <a:extLst>
              <a:ext uri="{FF2B5EF4-FFF2-40B4-BE49-F238E27FC236}">
                <a16:creationId xmlns:a16="http://schemas.microsoft.com/office/drawing/2014/main" id="{00000000-0008-0000-0900-000005000000}"/>
              </a:ext>
            </a:extLst>
          </xdr:cNvPr>
          <xdr:cNvCxnSpPr/>
        </xdr:nvCxnSpPr>
        <xdr:spPr>
          <a:xfrm flipV="1">
            <a:off x="757038" y="12551569"/>
            <a:ext cx="10687740" cy="673894"/>
          </a:xfrm>
          <a:prstGeom prst="bentConnector3">
            <a:avLst>
              <a:gd name="adj1" fmla="val -19"/>
            </a:avLst>
          </a:prstGeom>
          <a:ln w="25400" cap="sq">
            <a:solidFill>
              <a:srgbClr val="002060"/>
            </a:solidFill>
            <a:miter lim="800000"/>
          </a:ln>
        </xdr:spPr>
        <xdr:style>
          <a:lnRef idx="1">
            <a:schemeClr val="accent1"/>
          </a:lnRef>
          <a:fillRef idx="0">
            <a:schemeClr val="accent1"/>
          </a:fillRef>
          <a:effectRef idx="0">
            <a:schemeClr val="accent1"/>
          </a:effectRef>
          <a:fontRef idx="minor">
            <a:schemeClr val="tx1"/>
          </a:fontRef>
        </xdr:style>
      </xdr:cxnSp>
      <xdr:cxnSp macro="">
        <xdr:nvCxnSpPr>
          <xdr:cNvPr id="6" name="Elbow Connector 5">
            <a:extLst>
              <a:ext uri="{FF2B5EF4-FFF2-40B4-BE49-F238E27FC236}">
                <a16:creationId xmlns:a16="http://schemas.microsoft.com/office/drawing/2014/main" id="{00000000-0008-0000-0900-000006000000}"/>
              </a:ext>
            </a:extLst>
          </xdr:cNvPr>
          <xdr:cNvCxnSpPr/>
        </xdr:nvCxnSpPr>
        <xdr:spPr>
          <a:xfrm flipV="1">
            <a:off x="828423" y="12627771"/>
            <a:ext cx="10541436" cy="545304"/>
          </a:xfrm>
          <a:prstGeom prst="bentConnector3">
            <a:avLst>
              <a:gd name="adj1" fmla="val -19"/>
            </a:avLst>
          </a:prstGeom>
          <a:ln w="25400" cap="sq">
            <a:solidFill>
              <a:schemeClr val="bg1">
                <a:lumMod val="50000"/>
              </a:schemeClr>
            </a:solidFill>
            <a:miter lim="800000"/>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28</xdr:col>
          <xdr:colOff>38100</xdr:colOff>
          <xdr:row>147</xdr:row>
          <xdr:rowOff>104775</xdr:rowOff>
        </xdr:from>
        <xdr:to>
          <xdr:col>30</xdr:col>
          <xdr:colOff>514350</xdr:colOff>
          <xdr:row>148</xdr:row>
          <xdr:rowOff>190500</xdr:rowOff>
        </xdr:to>
        <xdr:sp macro="" textlink="">
          <xdr:nvSpPr>
            <xdr:cNvPr id="39937" name="Object 1" hidden="1">
              <a:extLst>
                <a:ext uri="{63B3BB69-23CF-44E3-9099-C40C66FF867C}">
                  <a14:compatExt spid="_x0000_s39937"/>
                </a:ext>
                <a:ext uri="{FF2B5EF4-FFF2-40B4-BE49-F238E27FC236}">
                  <a16:creationId xmlns:a16="http://schemas.microsoft.com/office/drawing/2014/main" id="{00000000-0008-0000-0900-0000019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47625</xdr:colOff>
          <xdr:row>156</xdr:row>
          <xdr:rowOff>0</xdr:rowOff>
        </xdr:from>
        <xdr:to>
          <xdr:col>30</xdr:col>
          <xdr:colOff>514350</xdr:colOff>
          <xdr:row>158</xdr:row>
          <xdr:rowOff>28575</xdr:rowOff>
        </xdr:to>
        <xdr:sp macro="" textlink="">
          <xdr:nvSpPr>
            <xdr:cNvPr id="39938" name="Object 2" hidden="1">
              <a:extLst>
                <a:ext uri="{63B3BB69-23CF-44E3-9099-C40C66FF867C}">
                  <a14:compatExt spid="_x0000_s39938"/>
                </a:ext>
                <a:ext uri="{FF2B5EF4-FFF2-40B4-BE49-F238E27FC236}">
                  <a16:creationId xmlns:a16="http://schemas.microsoft.com/office/drawing/2014/main" id="{00000000-0008-0000-0900-0000029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19050</xdr:colOff>
      <xdr:row>94</xdr:row>
      <xdr:rowOff>19050</xdr:rowOff>
    </xdr:from>
    <xdr:to>
      <xdr:col>1</xdr:col>
      <xdr:colOff>124242</xdr:colOff>
      <xdr:row>94</xdr:row>
      <xdr:rowOff>742950</xdr:rowOff>
    </xdr:to>
    <xdr:pic>
      <xdr:nvPicPr>
        <xdr:cNvPr id="7" name="Picture 6" descr="Graphical user interface, text&#10;&#10;Description automatically generated with medium confidence">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7113"/>
        <a:stretch>
          <a:fillRect/>
        </a:stretch>
      </xdr:blipFill>
      <xdr:spPr bwMode="auto">
        <a:xfrm>
          <a:off x="19050" y="23907750"/>
          <a:ext cx="771942" cy="72390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4.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oleObject" Target="../embeddings/oleObject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21.xml"/><Relationship Id="rId13" Type="http://schemas.openxmlformats.org/officeDocument/2006/relationships/ctrlProp" Target="../ctrlProps/ctrlProp126.xml"/><Relationship Id="rId3" Type="http://schemas.openxmlformats.org/officeDocument/2006/relationships/vmlDrawing" Target="../drawings/vmlDrawing6.vml"/><Relationship Id="rId7" Type="http://schemas.openxmlformats.org/officeDocument/2006/relationships/ctrlProp" Target="../ctrlProps/ctrlProp120.xml"/><Relationship Id="rId12" Type="http://schemas.openxmlformats.org/officeDocument/2006/relationships/ctrlProp" Target="../ctrlProps/ctrlProp125.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119.xml"/><Relationship Id="rId11" Type="http://schemas.openxmlformats.org/officeDocument/2006/relationships/ctrlProp" Target="../ctrlProps/ctrlProp124.xml"/><Relationship Id="rId5" Type="http://schemas.openxmlformats.org/officeDocument/2006/relationships/ctrlProp" Target="../ctrlProps/ctrlProp118.xml"/><Relationship Id="rId15" Type="http://schemas.openxmlformats.org/officeDocument/2006/relationships/ctrlProp" Target="../ctrlProps/ctrlProp128.xml"/><Relationship Id="rId10" Type="http://schemas.openxmlformats.org/officeDocument/2006/relationships/ctrlProp" Target="../ctrlProps/ctrlProp123.xml"/><Relationship Id="rId4" Type="http://schemas.openxmlformats.org/officeDocument/2006/relationships/ctrlProp" Target="../ctrlProps/ctrlProp117.xml"/><Relationship Id="rId9" Type="http://schemas.openxmlformats.org/officeDocument/2006/relationships/ctrlProp" Target="../ctrlProps/ctrlProp122.xml"/><Relationship Id="rId14" Type="http://schemas.openxmlformats.org/officeDocument/2006/relationships/ctrlProp" Target="../ctrlProps/ctrlProp12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132.xml"/><Relationship Id="rId2" Type="http://schemas.openxmlformats.org/officeDocument/2006/relationships/drawing" Target="../drawings/drawing15.xml"/><Relationship Id="rId1" Type="http://schemas.openxmlformats.org/officeDocument/2006/relationships/printerSettings" Target="../printerSettings/printerSettings16.bin"/><Relationship Id="rId6" Type="http://schemas.openxmlformats.org/officeDocument/2006/relationships/ctrlProp" Target="../ctrlProps/ctrlProp131.xml"/><Relationship Id="rId5" Type="http://schemas.openxmlformats.org/officeDocument/2006/relationships/ctrlProp" Target="../ctrlProps/ctrlProp130.xml"/><Relationship Id="rId4" Type="http://schemas.openxmlformats.org/officeDocument/2006/relationships/ctrlProp" Target="../ctrlProps/ctrlProp12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18" Type="http://schemas.openxmlformats.org/officeDocument/2006/relationships/ctrlProp" Target="../ctrlProps/ctrlProp30.xml"/><Relationship Id="rId26" Type="http://schemas.openxmlformats.org/officeDocument/2006/relationships/ctrlProp" Target="../ctrlProps/ctrlProp38.xml"/><Relationship Id="rId39" Type="http://schemas.openxmlformats.org/officeDocument/2006/relationships/ctrlProp" Target="../ctrlProps/ctrlProp51.xml"/><Relationship Id="rId3" Type="http://schemas.openxmlformats.org/officeDocument/2006/relationships/drawing" Target="../drawings/drawing2.xml"/><Relationship Id="rId21" Type="http://schemas.openxmlformats.org/officeDocument/2006/relationships/ctrlProp" Target="../ctrlProps/ctrlProp33.xml"/><Relationship Id="rId34" Type="http://schemas.openxmlformats.org/officeDocument/2006/relationships/ctrlProp" Target="../ctrlProps/ctrlProp46.xml"/><Relationship Id="rId42" Type="http://schemas.openxmlformats.org/officeDocument/2006/relationships/ctrlProp" Target="../ctrlProps/ctrlProp54.xml"/><Relationship Id="rId7" Type="http://schemas.openxmlformats.org/officeDocument/2006/relationships/ctrlProp" Target="../ctrlProps/ctrlProp19.xml"/><Relationship Id="rId12" Type="http://schemas.openxmlformats.org/officeDocument/2006/relationships/ctrlProp" Target="../ctrlProps/ctrlProp24.xml"/><Relationship Id="rId17" Type="http://schemas.openxmlformats.org/officeDocument/2006/relationships/ctrlProp" Target="../ctrlProps/ctrlProp29.xml"/><Relationship Id="rId25" Type="http://schemas.openxmlformats.org/officeDocument/2006/relationships/ctrlProp" Target="../ctrlProps/ctrlProp37.xml"/><Relationship Id="rId33" Type="http://schemas.openxmlformats.org/officeDocument/2006/relationships/ctrlProp" Target="../ctrlProps/ctrlProp45.xml"/><Relationship Id="rId38" Type="http://schemas.openxmlformats.org/officeDocument/2006/relationships/ctrlProp" Target="../ctrlProps/ctrlProp50.xml"/><Relationship Id="rId2" Type="http://schemas.openxmlformats.org/officeDocument/2006/relationships/printerSettings" Target="../printerSettings/printerSettings2.bin"/><Relationship Id="rId16" Type="http://schemas.openxmlformats.org/officeDocument/2006/relationships/ctrlProp" Target="../ctrlProps/ctrlProp28.xml"/><Relationship Id="rId20" Type="http://schemas.openxmlformats.org/officeDocument/2006/relationships/ctrlProp" Target="../ctrlProps/ctrlProp32.xml"/><Relationship Id="rId29" Type="http://schemas.openxmlformats.org/officeDocument/2006/relationships/ctrlProp" Target="../ctrlProps/ctrlProp41.xml"/><Relationship Id="rId41" Type="http://schemas.openxmlformats.org/officeDocument/2006/relationships/ctrlProp" Target="../ctrlProps/ctrlProp53.xml"/><Relationship Id="rId1" Type="http://schemas.openxmlformats.org/officeDocument/2006/relationships/hyperlink" Target="http://www.census.gov/eos/www/naics/" TargetMode="External"/><Relationship Id="rId6" Type="http://schemas.openxmlformats.org/officeDocument/2006/relationships/ctrlProp" Target="../ctrlProps/ctrlProp18.xml"/><Relationship Id="rId11" Type="http://schemas.openxmlformats.org/officeDocument/2006/relationships/ctrlProp" Target="../ctrlProps/ctrlProp23.xml"/><Relationship Id="rId24" Type="http://schemas.openxmlformats.org/officeDocument/2006/relationships/ctrlProp" Target="../ctrlProps/ctrlProp36.xml"/><Relationship Id="rId32" Type="http://schemas.openxmlformats.org/officeDocument/2006/relationships/ctrlProp" Target="../ctrlProps/ctrlProp44.xml"/><Relationship Id="rId37" Type="http://schemas.openxmlformats.org/officeDocument/2006/relationships/ctrlProp" Target="../ctrlProps/ctrlProp49.xml"/><Relationship Id="rId40" Type="http://schemas.openxmlformats.org/officeDocument/2006/relationships/ctrlProp" Target="../ctrlProps/ctrlProp52.xml"/><Relationship Id="rId5" Type="http://schemas.openxmlformats.org/officeDocument/2006/relationships/ctrlProp" Target="../ctrlProps/ctrlProp17.xml"/><Relationship Id="rId15" Type="http://schemas.openxmlformats.org/officeDocument/2006/relationships/ctrlProp" Target="../ctrlProps/ctrlProp27.xml"/><Relationship Id="rId23" Type="http://schemas.openxmlformats.org/officeDocument/2006/relationships/ctrlProp" Target="../ctrlProps/ctrlProp35.xml"/><Relationship Id="rId28" Type="http://schemas.openxmlformats.org/officeDocument/2006/relationships/ctrlProp" Target="../ctrlProps/ctrlProp40.xml"/><Relationship Id="rId36" Type="http://schemas.openxmlformats.org/officeDocument/2006/relationships/ctrlProp" Target="../ctrlProps/ctrlProp48.xml"/><Relationship Id="rId10" Type="http://schemas.openxmlformats.org/officeDocument/2006/relationships/ctrlProp" Target="../ctrlProps/ctrlProp22.xml"/><Relationship Id="rId19" Type="http://schemas.openxmlformats.org/officeDocument/2006/relationships/ctrlProp" Target="../ctrlProps/ctrlProp31.xml"/><Relationship Id="rId31" Type="http://schemas.openxmlformats.org/officeDocument/2006/relationships/ctrlProp" Target="../ctrlProps/ctrlProp43.xml"/><Relationship Id="rId4" Type="http://schemas.openxmlformats.org/officeDocument/2006/relationships/vmlDrawing" Target="../drawings/vmlDrawing2.vml"/><Relationship Id="rId9" Type="http://schemas.openxmlformats.org/officeDocument/2006/relationships/ctrlProp" Target="../ctrlProps/ctrlProp21.xml"/><Relationship Id="rId14" Type="http://schemas.openxmlformats.org/officeDocument/2006/relationships/ctrlProp" Target="../ctrlProps/ctrlProp26.xml"/><Relationship Id="rId22" Type="http://schemas.openxmlformats.org/officeDocument/2006/relationships/ctrlProp" Target="../ctrlProps/ctrlProp34.xml"/><Relationship Id="rId27" Type="http://schemas.openxmlformats.org/officeDocument/2006/relationships/ctrlProp" Target="../ctrlProps/ctrlProp39.xml"/><Relationship Id="rId30" Type="http://schemas.openxmlformats.org/officeDocument/2006/relationships/ctrlProp" Target="../ctrlProps/ctrlProp42.xml"/><Relationship Id="rId35" Type="http://schemas.openxmlformats.org/officeDocument/2006/relationships/ctrlProp" Target="../ctrlProps/ctrlProp4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135.xml"/><Relationship Id="rId13" Type="http://schemas.openxmlformats.org/officeDocument/2006/relationships/ctrlProp" Target="../ctrlProps/ctrlProp140.xml"/><Relationship Id="rId18" Type="http://schemas.openxmlformats.org/officeDocument/2006/relationships/ctrlProp" Target="../ctrlProps/ctrlProp145.xml"/><Relationship Id="rId26" Type="http://schemas.openxmlformats.org/officeDocument/2006/relationships/ctrlProp" Target="../ctrlProps/ctrlProp153.xml"/><Relationship Id="rId3" Type="http://schemas.openxmlformats.org/officeDocument/2006/relationships/printerSettings" Target="../printerSettings/printerSettings21.bin"/><Relationship Id="rId21" Type="http://schemas.openxmlformats.org/officeDocument/2006/relationships/ctrlProp" Target="../ctrlProps/ctrlProp148.xml"/><Relationship Id="rId34" Type="http://schemas.openxmlformats.org/officeDocument/2006/relationships/ctrlProp" Target="../ctrlProps/ctrlProp161.xml"/><Relationship Id="rId7" Type="http://schemas.openxmlformats.org/officeDocument/2006/relationships/ctrlProp" Target="../ctrlProps/ctrlProp134.xml"/><Relationship Id="rId12" Type="http://schemas.openxmlformats.org/officeDocument/2006/relationships/ctrlProp" Target="../ctrlProps/ctrlProp139.xml"/><Relationship Id="rId17" Type="http://schemas.openxmlformats.org/officeDocument/2006/relationships/ctrlProp" Target="../ctrlProps/ctrlProp144.xml"/><Relationship Id="rId25" Type="http://schemas.openxmlformats.org/officeDocument/2006/relationships/ctrlProp" Target="../ctrlProps/ctrlProp152.xml"/><Relationship Id="rId33" Type="http://schemas.openxmlformats.org/officeDocument/2006/relationships/ctrlProp" Target="../ctrlProps/ctrlProp160.xml"/><Relationship Id="rId2" Type="http://schemas.openxmlformats.org/officeDocument/2006/relationships/hyperlink" Target="http://www.ecfr.gov/cgi-bin/text-idx?SID=7b552cbdc55eaecff28257405e00005e&amp;tpl=/ecfrbrowse/Title40/40tab_02.tpl" TargetMode="External"/><Relationship Id="rId16" Type="http://schemas.openxmlformats.org/officeDocument/2006/relationships/ctrlProp" Target="../ctrlProps/ctrlProp143.xml"/><Relationship Id="rId20" Type="http://schemas.openxmlformats.org/officeDocument/2006/relationships/ctrlProp" Target="../ctrlProps/ctrlProp147.xml"/><Relationship Id="rId29" Type="http://schemas.openxmlformats.org/officeDocument/2006/relationships/ctrlProp" Target="../ctrlProps/ctrlProp156.xml"/><Relationship Id="rId1" Type="http://schemas.openxmlformats.org/officeDocument/2006/relationships/hyperlink" Target="http://www.lincoln.ne.gov/city/health/environ/air/regulations.htm" TargetMode="External"/><Relationship Id="rId6" Type="http://schemas.openxmlformats.org/officeDocument/2006/relationships/ctrlProp" Target="../ctrlProps/ctrlProp133.xml"/><Relationship Id="rId11" Type="http://schemas.openxmlformats.org/officeDocument/2006/relationships/ctrlProp" Target="../ctrlProps/ctrlProp138.xml"/><Relationship Id="rId24" Type="http://schemas.openxmlformats.org/officeDocument/2006/relationships/ctrlProp" Target="../ctrlProps/ctrlProp151.xml"/><Relationship Id="rId32" Type="http://schemas.openxmlformats.org/officeDocument/2006/relationships/ctrlProp" Target="../ctrlProps/ctrlProp159.xml"/><Relationship Id="rId37" Type="http://schemas.openxmlformats.org/officeDocument/2006/relationships/ctrlProp" Target="../ctrlProps/ctrlProp164.xml"/><Relationship Id="rId5" Type="http://schemas.openxmlformats.org/officeDocument/2006/relationships/vmlDrawing" Target="../drawings/vmlDrawing8.vml"/><Relationship Id="rId15" Type="http://schemas.openxmlformats.org/officeDocument/2006/relationships/ctrlProp" Target="../ctrlProps/ctrlProp142.xml"/><Relationship Id="rId23" Type="http://schemas.openxmlformats.org/officeDocument/2006/relationships/ctrlProp" Target="../ctrlProps/ctrlProp150.xml"/><Relationship Id="rId28" Type="http://schemas.openxmlformats.org/officeDocument/2006/relationships/ctrlProp" Target="../ctrlProps/ctrlProp155.xml"/><Relationship Id="rId36" Type="http://schemas.openxmlformats.org/officeDocument/2006/relationships/ctrlProp" Target="../ctrlProps/ctrlProp163.xml"/><Relationship Id="rId10" Type="http://schemas.openxmlformats.org/officeDocument/2006/relationships/ctrlProp" Target="../ctrlProps/ctrlProp137.xml"/><Relationship Id="rId19" Type="http://schemas.openxmlformats.org/officeDocument/2006/relationships/ctrlProp" Target="../ctrlProps/ctrlProp146.xml"/><Relationship Id="rId31" Type="http://schemas.openxmlformats.org/officeDocument/2006/relationships/ctrlProp" Target="../ctrlProps/ctrlProp158.xml"/><Relationship Id="rId4" Type="http://schemas.openxmlformats.org/officeDocument/2006/relationships/drawing" Target="../drawings/drawing20.xml"/><Relationship Id="rId9" Type="http://schemas.openxmlformats.org/officeDocument/2006/relationships/ctrlProp" Target="../ctrlProps/ctrlProp136.xml"/><Relationship Id="rId14" Type="http://schemas.openxmlformats.org/officeDocument/2006/relationships/ctrlProp" Target="../ctrlProps/ctrlProp141.xml"/><Relationship Id="rId22" Type="http://schemas.openxmlformats.org/officeDocument/2006/relationships/ctrlProp" Target="../ctrlProps/ctrlProp149.xml"/><Relationship Id="rId27" Type="http://schemas.openxmlformats.org/officeDocument/2006/relationships/ctrlProp" Target="../ctrlProps/ctrlProp154.xml"/><Relationship Id="rId30" Type="http://schemas.openxmlformats.org/officeDocument/2006/relationships/ctrlProp" Target="../ctrlProps/ctrlProp157.xml"/><Relationship Id="rId35" Type="http://schemas.openxmlformats.org/officeDocument/2006/relationships/ctrlProp" Target="../ctrlProps/ctrlProp16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1.xml"/><Relationship Id="rId1" Type="http://schemas.openxmlformats.org/officeDocument/2006/relationships/printerSettings" Target="../printerSettings/printerSettings22.bin"/><Relationship Id="rId5" Type="http://schemas.openxmlformats.org/officeDocument/2006/relationships/ctrlProp" Target="../ctrlProps/ctrlProp166.xml"/><Relationship Id="rId4" Type="http://schemas.openxmlformats.org/officeDocument/2006/relationships/ctrlProp" Target="../ctrlProps/ctrlProp165.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3" Type="http://schemas.openxmlformats.org/officeDocument/2006/relationships/ctrlProp" Target="../ctrlProps/ctrlProp176.xml"/><Relationship Id="rId18" Type="http://schemas.openxmlformats.org/officeDocument/2006/relationships/ctrlProp" Target="../ctrlProps/ctrlProp181.xml"/><Relationship Id="rId26" Type="http://schemas.openxmlformats.org/officeDocument/2006/relationships/ctrlProp" Target="../ctrlProps/ctrlProp189.xml"/><Relationship Id="rId39" Type="http://schemas.openxmlformats.org/officeDocument/2006/relationships/ctrlProp" Target="../ctrlProps/ctrlProp202.xml"/><Relationship Id="rId3" Type="http://schemas.openxmlformats.org/officeDocument/2006/relationships/vmlDrawing" Target="../drawings/vmlDrawing10.vml"/><Relationship Id="rId21" Type="http://schemas.openxmlformats.org/officeDocument/2006/relationships/ctrlProp" Target="../ctrlProps/ctrlProp184.xml"/><Relationship Id="rId34" Type="http://schemas.openxmlformats.org/officeDocument/2006/relationships/ctrlProp" Target="../ctrlProps/ctrlProp197.xml"/><Relationship Id="rId42" Type="http://schemas.openxmlformats.org/officeDocument/2006/relationships/ctrlProp" Target="../ctrlProps/ctrlProp205.xml"/><Relationship Id="rId47" Type="http://schemas.openxmlformats.org/officeDocument/2006/relationships/ctrlProp" Target="../ctrlProps/ctrlProp210.xml"/><Relationship Id="rId50" Type="http://schemas.openxmlformats.org/officeDocument/2006/relationships/ctrlProp" Target="../ctrlProps/ctrlProp213.xml"/><Relationship Id="rId7" Type="http://schemas.openxmlformats.org/officeDocument/2006/relationships/ctrlProp" Target="../ctrlProps/ctrlProp170.xml"/><Relationship Id="rId12" Type="http://schemas.openxmlformats.org/officeDocument/2006/relationships/ctrlProp" Target="../ctrlProps/ctrlProp175.xml"/><Relationship Id="rId17" Type="http://schemas.openxmlformats.org/officeDocument/2006/relationships/ctrlProp" Target="../ctrlProps/ctrlProp180.xml"/><Relationship Id="rId25" Type="http://schemas.openxmlformats.org/officeDocument/2006/relationships/ctrlProp" Target="../ctrlProps/ctrlProp188.xml"/><Relationship Id="rId33" Type="http://schemas.openxmlformats.org/officeDocument/2006/relationships/ctrlProp" Target="../ctrlProps/ctrlProp196.xml"/><Relationship Id="rId38" Type="http://schemas.openxmlformats.org/officeDocument/2006/relationships/ctrlProp" Target="../ctrlProps/ctrlProp201.xml"/><Relationship Id="rId46" Type="http://schemas.openxmlformats.org/officeDocument/2006/relationships/ctrlProp" Target="../ctrlProps/ctrlProp209.xml"/><Relationship Id="rId2" Type="http://schemas.openxmlformats.org/officeDocument/2006/relationships/drawing" Target="../drawings/drawing23.xml"/><Relationship Id="rId16" Type="http://schemas.openxmlformats.org/officeDocument/2006/relationships/ctrlProp" Target="../ctrlProps/ctrlProp179.xml"/><Relationship Id="rId20" Type="http://schemas.openxmlformats.org/officeDocument/2006/relationships/ctrlProp" Target="../ctrlProps/ctrlProp183.xml"/><Relationship Id="rId29" Type="http://schemas.openxmlformats.org/officeDocument/2006/relationships/ctrlProp" Target="../ctrlProps/ctrlProp192.xml"/><Relationship Id="rId41" Type="http://schemas.openxmlformats.org/officeDocument/2006/relationships/ctrlProp" Target="../ctrlProps/ctrlProp204.xml"/><Relationship Id="rId1" Type="http://schemas.openxmlformats.org/officeDocument/2006/relationships/printerSettings" Target="../printerSettings/printerSettings24.bin"/><Relationship Id="rId6" Type="http://schemas.openxmlformats.org/officeDocument/2006/relationships/ctrlProp" Target="../ctrlProps/ctrlProp169.xml"/><Relationship Id="rId11" Type="http://schemas.openxmlformats.org/officeDocument/2006/relationships/ctrlProp" Target="../ctrlProps/ctrlProp174.xml"/><Relationship Id="rId24" Type="http://schemas.openxmlformats.org/officeDocument/2006/relationships/ctrlProp" Target="../ctrlProps/ctrlProp187.xml"/><Relationship Id="rId32" Type="http://schemas.openxmlformats.org/officeDocument/2006/relationships/ctrlProp" Target="../ctrlProps/ctrlProp195.xml"/><Relationship Id="rId37" Type="http://schemas.openxmlformats.org/officeDocument/2006/relationships/ctrlProp" Target="../ctrlProps/ctrlProp200.xml"/><Relationship Id="rId40" Type="http://schemas.openxmlformats.org/officeDocument/2006/relationships/ctrlProp" Target="../ctrlProps/ctrlProp203.xml"/><Relationship Id="rId45" Type="http://schemas.openxmlformats.org/officeDocument/2006/relationships/ctrlProp" Target="../ctrlProps/ctrlProp208.xml"/><Relationship Id="rId5" Type="http://schemas.openxmlformats.org/officeDocument/2006/relationships/ctrlProp" Target="../ctrlProps/ctrlProp168.xml"/><Relationship Id="rId15" Type="http://schemas.openxmlformats.org/officeDocument/2006/relationships/ctrlProp" Target="../ctrlProps/ctrlProp178.xml"/><Relationship Id="rId23" Type="http://schemas.openxmlformats.org/officeDocument/2006/relationships/ctrlProp" Target="../ctrlProps/ctrlProp186.xml"/><Relationship Id="rId28" Type="http://schemas.openxmlformats.org/officeDocument/2006/relationships/ctrlProp" Target="../ctrlProps/ctrlProp191.xml"/><Relationship Id="rId36" Type="http://schemas.openxmlformats.org/officeDocument/2006/relationships/ctrlProp" Target="../ctrlProps/ctrlProp199.xml"/><Relationship Id="rId49" Type="http://schemas.openxmlformats.org/officeDocument/2006/relationships/ctrlProp" Target="../ctrlProps/ctrlProp212.xml"/><Relationship Id="rId10" Type="http://schemas.openxmlformats.org/officeDocument/2006/relationships/ctrlProp" Target="../ctrlProps/ctrlProp173.xml"/><Relationship Id="rId19" Type="http://schemas.openxmlformats.org/officeDocument/2006/relationships/ctrlProp" Target="../ctrlProps/ctrlProp182.xml"/><Relationship Id="rId31" Type="http://schemas.openxmlformats.org/officeDocument/2006/relationships/ctrlProp" Target="../ctrlProps/ctrlProp194.xml"/><Relationship Id="rId44" Type="http://schemas.openxmlformats.org/officeDocument/2006/relationships/ctrlProp" Target="../ctrlProps/ctrlProp207.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 Id="rId22" Type="http://schemas.openxmlformats.org/officeDocument/2006/relationships/ctrlProp" Target="../ctrlProps/ctrlProp185.xml"/><Relationship Id="rId27" Type="http://schemas.openxmlformats.org/officeDocument/2006/relationships/ctrlProp" Target="../ctrlProps/ctrlProp190.xml"/><Relationship Id="rId30" Type="http://schemas.openxmlformats.org/officeDocument/2006/relationships/ctrlProp" Target="../ctrlProps/ctrlProp193.xml"/><Relationship Id="rId35" Type="http://schemas.openxmlformats.org/officeDocument/2006/relationships/ctrlProp" Target="../ctrlProps/ctrlProp198.xml"/><Relationship Id="rId43" Type="http://schemas.openxmlformats.org/officeDocument/2006/relationships/ctrlProp" Target="../ctrlProps/ctrlProp206.xml"/><Relationship Id="rId48" Type="http://schemas.openxmlformats.org/officeDocument/2006/relationships/ctrlProp" Target="../ctrlProps/ctrlProp211.xml"/><Relationship Id="rId8" Type="http://schemas.openxmlformats.org/officeDocument/2006/relationships/ctrlProp" Target="../ctrlProps/ctrlProp171.xml"/><Relationship Id="rId51" Type="http://schemas.openxmlformats.org/officeDocument/2006/relationships/ctrlProp" Target="../ctrlProps/ctrlProp21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26" Type="http://schemas.openxmlformats.org/officeDocument/2006/relationships/ctrlProp" Target="../ctrlProps/ctrlProp77.xml"/><Relationship Id="rId3" Type="http://schemas.openxmlformats.org/officeDocument/2006/relationships/vmlDrawing" Target="../drawings/vmlDrawing3.vml"/><Relationship Id="rId21" Type="http://schemas.openxmlformats.org/officeDocument/2006/relationships/ctrlProp" Target="../ctrlProps/ctrlProp72.xml"/><Relationship Id="rId34" Type="http://schemas.openxmlformats.org/officeDocument/2006/relationships/ctrlProp" Target="../ctrlProps/ctrlProp85.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33" Type="http://schemas.openxmlformats.org/officeDocument/2006/relationships/ctrlProp" Target="../ctrlProps/ctrlProp84.xml"/><Relationship Id="rId2" Type="http://schemas.openxmlformats.org/officeDocument/2006/relationships/drawing" Target="../drawings/drawing3.xml"/><Relationship Id="rId16" Type="http://schemas.openxmlformats.org/officeDocument/2006/relationships/ctrlProp" Target="../ctrlProps/ctrlProp67.xml"/><Relationship Id="rId20" Type="http://schemas.openxmlformats.org/officeDocument/2006/relationships/ctrlProp" Target="../ctrlProps/ctrlProp71.xml"/><Relationship Id="rId29" Type="http://schemas.openxmlformats.org/officeDocument/2006/relationships/ctrlProp" Target="../ctrlProps/ctrlProp80.xml"/><Relationship Id="rId1" Type="http://schemas.openxmlformats.org/officeDocument/2006/relationships/printerSettings" Target="../printerSettings/printerSettings3.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32" Type="http://schemas.openxmlformats.org/officeDocument/2006/relationships/ctrlProp" Target="../ctrlProps/ctrlProp83.xml"/><Relationship Id="rId37" Type="http://schemas.openxmlformats.org/officeDocument/2006/relationships/ctrlProp" Target="../ctrlProps/ctrlProp88.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28" Type="http://schemas.openxmlformats.org/officeDocument/2006/relationships/ctrlProp" Target="../ctrlProps/ctrlProp79.xml"/><Relationship Id="rId36" Type="http://schemas.openxmlformats.org/officeDocument/2006/relationships/ctrlProp" Target="../ctrlProps/ctrlProp87.xml"/><Relationship Id="rId10" Type="http://schemas.openxmlformats.org/officeDocument/2006/relationships/ctrlProp" Target="../ctrlProps/ctrlProp61.xml"/><Relationship Id="rId19" Type="http://schemas.openxmlformats.org/officeDocument/2006/relationships/ctrlProp" Target="../ctrlProps/ctrlProp70.xml"/><Relationship Id="rId31" Type="http://schemas.openxmlformats.org/officeDocument/2006/relationships/ctrlProp" Target="../ctrlProps/ctrlProp82.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 Id="rId27" Type="http://schemas.openxmlformats.org/officeDocument/2006/relationships/ctrlProp" Target="../ctrlProps/ctrlProp78.xml"/><Relationship Id="rId30" Type="http://schemas.openxmlformats.org/officeDocument/2006/relationships/ctrlProp" Target="../ctrlProps/ctrlProp81.xml"/><Relationship Id="rId35" Type="http://schemas.openxmlformats.org/officeDocument/2006/relationships/ctrlProp" Target="../ctrlProps/ctrlProp8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93.xml"/><Relationship Id="rId13" Type="http://schemas.openxmlformats.org/officeDocument/2006/relationships/ctrlProp" Target="../ctrlProps/ctrlProp98.xml"/><Relationship Id="rId18" Type="http://schemas.openxmlformats.org/officeDocument/2006/relationships/ctrlProp" Target="../ctrlProps/ctrlProp103.xml"/><Relationship Id="rId26" Type="http://schemas.openxmlformats.org/officeDocument/2006/relationships/ctrlProp" Target="../ctrlProps/ctrlProp111.xml"/><Relationship Id="rId3" Type="http://schemas.openxmlformats.org/officeDocument/2006/relationships/vmlDrawing" Target="../drawings/vmlDrawing4.vml"/><Relationship Id="rId21" Type="http://schemas.openxmlformats.org/officeDocument/2006/relationships/ctrlProp" Target="../ctrlProps/ctrlProp106.xml"/><Relationship Id="rId7" Type="http://schemas.openxmlformats.org/officeDocument/2006/relationships/ctrlProp" Target="../ctrlProps/ctrlProp92.xml"/><Relationship Id="rId12" Type="http://schemas.openxmlformats.org/officeDocument/2006/relationships/ctrlProp" Target="../ctrlProps/ctrlProp97.xml"/><Relationship Id="rId17" Type="http://schemas.openxmlformats.org/officeDocument/2006/relationships/ctrlProp" Target="../ctrlProps/ctrlProp102.xml"/><Relationship Id="rId25" Type="http://schemas.openxmlformats.org/officeDocument/2006/relationships/ctrlProp" Target="../ctrlProps/ctrlProp110.xml"/><Relationship Id="rId2" Type="http://schemas.openxmlformats.org/officeDocument/2006/relationships/drawing" Target="../drawings/drawing4.xml"/><Relationship Id="rId16" Type="http://schemas.openxmlformats.org/officeDocument/2006/relationships/ctrlProp" Target="../ctrlProps/ctrlProp101.xml"/><Relationship Id="rId20" Type="http://schemas.openxmlformats.org/officeDocument/2006/relationships/ctrlProp" Target="../ctrlProps/ctrlProp105.xml"/><Relationship Id="rId29" Type="http://schemas.openxmlformats.org/officeDocument/2006/relationships/ctrlProp" Target="../ctrlProps/ctrlProp114.xml"/><Relationship Id="rId1" Type="http://schemas.openxmlformats.org/officeDocument/2006/relationships/printerSettings" Target="../printerSettings/printerSettings4.bin"/><Relationship Id="rId6" Type="http://schemas.openxmlformats.org/officeDocument/2006/relationships/ctrlProp" Target="../ctrlProps/ctrlProp91.xml"/><Relationship Id="rId11" Type="http://schemas.openxmlformats.org/officeDocument/2006/relationships/ctrlProp" Target="../ctrlProps/ctrlProp96.xml"/><Relationship Id="rId24" Type="http://schemas.openxmlformats.org/officeDocument/2006/relationships/ctrlProp" Target="../ctrlProps/ctrlProp109.xml"/><Relationship Id="rId5" Type="http://schemas.openxmlformats.org/officeDocument/2006/relationships/ctrlProp" Target="../ctrlProps/ctrlProp90.xml"/><Relationship Id="rId15" Type="http://schemas.openxmlformats.org/officeDocument/2006/relationships/ctrlProp" Target="../ctrlProps/ctrlProp100.xml"/><Relationship Id="rId23" Type="http://schemas.openxmlformats.org/officeDocument/2006/relationships/ctrlProp" Target="../ctrlProps/ctrlProp108.xml"/><Relationship Id="rId28" Type="http://schemas.openxmlformats.org/officeDocument/2006/relationships/ctrlProp" Target="../ctrlProps/ctrlProp113.xml"/><Relationship Id="rId10" Type="http://schemas.openxmlformats.org/officeDocument/2006/relationships/ctrlProp" Target="../ctrlProps/ctrlProp95.xml"/><Relationship Id="rId19" Type="http://schemas.openxmlformats.org/officeDocument/2006/relationships/ctrlProp" Target="../ctrlProps/ctrlProp104.xml"/><Relationship Id="rId31" Type="http://schemas.openxmlformats.org/officeDocument/2006/relationships/ctrlProp" Target="../ctrlProps/ctrlProp116.xml"/><Relationship Id="rId4" Type="http://schemas.openxmlformats.org/officeDocument/2006/relationships/ctrlProp" Target="../ctrlProps/ctrlProp89.xml"/><Relationship Id="rId9" Type="http://schemas.openxmlformats.org/officeDocument/2006/relationships/ctrlProp" Target="../ctrlProps/ctrlProp94.xml"/><Relationship Id="rId14" Type="http://schemas.openxmlformats.org/officeDocument/2006/relationships/ctrlProp" Target="../ctrlProps/ctrlProp99.xml"/><Relationship Id="rId22" Type="http://schemas.openxmlformats.org/officeDocument/2006/relationships/ctrlProp" Target="../ctrlProps/ctrlProp107.xml"/><Relationship Id="rId27" Type="http://schemas.openxmlformats.org/officeDocument/2006/relationships/ctrlProp" Target="../ctrlProps/ctrlProp112.xml"/><Relationship Id="rId30" Type="http://schemas.openxmlformats.org/officeDocument/2006/relationships/ctrlProp" Target="../ctrlProps/ctrlProp11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rgb="FFC00000"/>
    <pageSetUpPr fitToPage="1"/>
  </sheetPr>
  <dimension ref="B1:AB71"/>
  <sheetViews>
    <sheetView tabSelected="1" zoomScaleNormal="100" workbookViewId="0"/>
  </sheetViews>
  <sheetFormatPr defaultColWidth="9.140625" defaultRowHeight="15" x14ac:dyDescent="0.25"/>
  <cols>
    <col min="1" max="1" width="3" style="68" customWidth="1"/>
    <col min="2" max="11" width="9.140625" style="68" customWidth="1"/>
    <col min="12" max="16384" width="9.140625" style="68"/>
  </cols>
  <sheetData>
    <row r="1" spans="2:28" ht="15.75" thickBot="1" x14ac:dyDescent="0.3"/>
    <row r="2" spans="2:28" ht="24.95" customHeight="1" thickBot="1" x14ac:dyDescent="0.3">
      <c r="B2" s="760" t="s">
        <v>1928</v>
      </c>
      <c r="C2" s="761"/>
      <c r="D2" s="761"/>
      <c r="E2" s="761"/>
      <c r="F2" s="761"/>
      <c r="G2" s="761"/>
      <c r="H2" s="761"/>
      <c r="I2" s="761"/>
      <c r="J2" s="761"/>
      <c r="K2" s="762"/>
      <c r="M2" s="748" t="s">
        <v>2362</v>
      </c>
      <c r="N2" s="749"/>
      <c r="O2" s="750"/>
    </row>
    <row r="3" spans="2:28" ht="20.100000000000001" customHeight="1" thickBot="1" x14ac:dyDescent="0.3">
      <c r="B3" s="757" t="s">
        <v>1441</v>
      </c>
      <c r="C3" s="758"/>
      <c r="D3" s="758"/>
      <c r="E3" s="758"/>
      <c r="F3" s="758"/>
      <c r="G3" s="758"/>
      <c r="H3" s="758"/>
      <c r="I3" s="758"/>
      <c r="J3" s="758"/>
      <c r="K3" s="759"/>
      <c r="M3" s="751">
        <v>45664</v>
      </c>
      <c r="N3" s="752"/>
      <c r="O3" s="753"/>
      <c r="P3" s="557"/>
      <c r="Q3" s="557"/>
      <c r="R3" s="557"/>
      <c r="S3" s="557"/>
      <c r="T3" s="557"/>
      <c r="U3" s="557"/>
      <c r="V3" s="557"/>
      <c r="W3" s="557"/>
      <c r="X3" s="557"/>
      <c r="Y3" s="557"/>
      <c r="Z3" s="557"/>
      <c r="AA3" s="557"/>
      <c r="AB3" s="557"/>
    </row>
    <row r="4" spans="2:28" x14ac:dyDescent="0.25">
      <c r="B4" s="87"/>
      <c r="C4" s="88"/>
      <c r="D4" s="88"/>
      <c r="E4" s="88"/>
      <c r="F4" s="88"/>
      <c r="G4" s="88"/>
      <c r="H4" s="88"/>
      <c r="I4" s="88"/>
      <c r="J4" s="88"/>
      <c r="K4" s="89"/>
      <c r="M4" s="557"/>
      <c r="N4" s="557"/>
      <c r="O4" s="557"/>
      <c r="P4" s="557"/>
      <c r="Q4" s="557"/>
      <c r="R4" s="557"/>
      <c r="S4" s="557"/>
      <c r="T4" s="557"/>
      <c r="U4" s="557"/>
      <c r="V4" s="557"/>
      <c r="W4" s="557"/>
      <c r="X4" s="557"/>
      <c r="Y4" s="557"/>
      <c r="Z4" s="557"/>
      <c r="AA4" s="557"/>
      <c r="AB4" s="557"/>
    </row>
    <row r="5" spans="2:28" ht="91.5" customHeight="1" x14ac:dyDescent="0.25">
      <c r="B5" s="754" t="s">
        <v>1930</v>
      </c>
      <c r="C5" s="755"/>
      <c r="D5" s="755"/>
      <c r="E5" s="755"/>
      <c r="F5" s="755"/>
      <c r="G5" s="755"/>
      <c r="H5" s="755"/>
      <c r="I5" s="755"/>
      <c r="J5" s="755"/>
      <c r="K5" s="756"/>
      <c r="M5" s="557"/>
      <c r="N5" s="557"/>
      <c r="O5" s="557"/>
      <c r="P5" s="557"/>
      <c r="Q5" s="557"/>
      <c r="R5" s="557"/>
      <c r="S5" s="557"/>
      <c r="T5" s="557"/>
      <c r="U5" s="557"/>
      <c r="V5" s="557"/>
      <c r="W5" s="557"/>
      <c r="X5" s="557"/>
      <c r="Y5" s="557"/>
      <c r="Z5" s="557"/>
      <c r="AA5" s="557"/>
      <c r="AB5" s="557"/>
    </row>
    <row r="6" spans="2:28" ht="64.5" customHeight="1" x14ac:dyDescent="0.25">
      <c r="B6" s="754" t="s">
        <v>1929</v>
      </c>
      <c r="C6" s="755"/>
      <c r="D6" s="755"/>
      <c r="E6" s="755"/>
      <c r="F6" s="755"/>
      <c r="G6" s="755"/>
      <c r="H6" s="755"/>
      <c r="I6" s="755"/>
      <c r="J6" s="755"/>
      <c r="K6" s="756"/>
      <c r="M6" s="557"/>
      <c r="N6" s="557"/>
      <c r="O6" s="557"/>
      <c r="P6" s="557"/>
      <c r="Q6" s="557"/>
      <c r="R6" s="557"/>
      <c r="S6" s="557"/>
      <c r="T6" s="557"/>
      <c r="U6" s="557"/>
      <c r="V6" s="557"/>
      <c r="W6" s="557"/>
      <c r="X6" s="557"/>
      <c r="Y6" s="557"/>
      <c r="Z6" s="557"/>
      <c r="AA6" s="557"/>
      <c r="AB6" s="557"/>
    </row>
    <row r="7" spans="2:28" ht="55.5" customHeight="1" x14ac:dyDescent="0.25">
      <c r="B7" s="754" t="s">
        <v>1868</v>
      </c>
      <c r="C7" s="755"/>
      <c r="D7" s="755"/>
      <c r="E7" s="755"/>
      <c r="F7" s="755"/>
      <c r="G7" s="755"/>
      <c r="H7" s="755"/>
      <c r="I7" s="755"/>
      <c r="J7" s="755"/>
      <c r="K7" s="756"/>
      <c r="M7" s="557"/>
      <c r="N7" s="557"/>
      <c r="O7" s="557"/>
      <c r="P7" s="557"/>
      <c r="Q7" s="557"/>
      <c r="R7" s="557"/>
      <c r="S7" s="557"/>
      <c r="T7" s="557"/>
      <c r="U7" s="557"/>
      <c r="V7" s="557"/>
      <c r="W7" s="557"/>
      <c r="X7" s="557"/>
      <c r="Y7" s="557"/>
      <c r="Z7" s="557"/>
      <c r="AA7" s="557"/>
      <c r="AB7" s="557"/>
    </row>
    <row r="8" spans="2:28" ht="85.5" customHeight="1" thickBot="1" x14ac:dyDescent="0.3">
      <c r="B8" s="754" t="s">
        <v>1660</v>
      </c>
      <c r="C8" s="755"/>
      <c r="D8" s="755"/>
      <c r="E8" s="755"/>
      <c r="F8" s="755"/>
      <c r="G8" s="755"/>
      <c r="H8" s="755"/>
      <c r="I8" s="755"/>
      <c r="J8" s="755"/>
      <c r="K8" s="756"/>
      <c r="M8" s="557"/>
      <c r="N8" s="557"/>
      <c r="O8" s="557"/>
      <c r="P8" s="557"/>
      <c r="Q8" s="557"/>
      <c r="R8" s="557"/>
      <c r="S8" s="557"/>
      <c r="T8" s="557"/>
      <c r="U8" s="557"/>
      <c r="V8" s="557"/>
      <c r="W8" s="557"/>
      <c r="X8" s="557"/>
      <c r="Y8" s="557"/>
      <c r="Z8" s="557"/>
      <c r="AA8" s="557"/>
      <c r="AB8" s="557"/>
    </row>
    <row r="9" spans="2:28" ht="15.75" thickBot="1" x14ac:dyDescent="0.3">
      <c r="B9" s="774" t="s">
        <v>1364</v>
      </c>
      <c r="C9" s="775"/>
      <c r="D9" s="776"/>
      <c r="E9" s="768"/>
      <c r="F9" s="769"/>
      <c r="G9" s="769"/>
      <c r="H9" s="769"/>
      <c r="I9" s="769"/>
      <c r="J9" s="769"/>
      <c r="K9" s="773"/>
      <c r="M9" s="557"/>
      <c r="N9" s="557"/>
      <c r="O9" s="557"/>
      <c r="P9" s="557"/>
      <c r="Q9" s="557"/>
      <c r="R9" s="557"/>
      <c r="S9" s="557"/>
      <c r="T9" s="557"/>
      <c r="U9" s="557"/>
      <c r="V9" s="557"/>
      <c r="W9" s="557"/>
      <c r="X9" s="557"/>
      <c r="Y9" s="557"/>
      <c r="Z9" s="557"/>
      <c r="AA9" s="557"/>
      <c r="AB9" s="557"/>
    </row>
    <row r="10" spans="2:28" ht="52.5" customHeight="1" thickBot="1" x14ac:dyDescent="0.3">
      <c r="B10" s="763" t="s">
        <v>1442</v>
      </c>
      <c r="C10" s="764"/>
      <c r="D10" s="764"/>
      <c r="E10" s="764"/>
      <c r="F10" s="764"/>
      <c r="G10" s="764"/>
      <c r="H10" s="764"/>
      <c r="I10" s="764"/>
      <c r="J10" s="764"/>
      <c r="K10" s="765"/>
      <c r="M10" s="557"/>
      <c r="N10" s="557"/>
      <c r="O10" s="557"/>
      <c r="P10" s="557"/>
      <c r="Q10" s="557"/>
      <c r="R10" s="557"/>
      <c r="S10" s="557"/>
      <c r="T10" s="557"/>
      <c r="U10" s="557"/>
      <c r="V10" s="557"/>
      <c r="W10" s="557"/>
      <c r="X10" s="557"/>
      <c r="Y10" s="557"/>
      <c r="Z10" s="557"/>
      <c r="AA10" s="557"/>
      <c r="AB10" s="557"/>
    </row>
    <row r="11" spans="2:28" ht="15.75" thickBot="1" x14ac:dyDescent="0.3">
      <c r="B11" s="774" t="s">
        <v>1364</v>
      </c>
      <c r="C11" s="775"/>
      <c r="D11" s="776"/>
      <c r="E11" s="777" t="s">
        <v>1443</v>
      </c>
      <c r="F11" s="778"/>
      <c r="G11" s="778"/>
      <c r="H11" s="778"/>
      <c r="I11" s="778"/>
      <c r="J11" s="778"/>
      <c r="K11" s="779"/>
    </row>
    <row r="12" spans="2:28" ht="45.75" customHeight="1" thickBot="1" x14ac:dyDescent="0.3">
      <c r="B12" s="763" t="s">
        <v>1444</v>
      </c>
      <c r="C12" s="764"/>
      <c r="D12" s="764"/>
      <c r="E12" s="764"/>
      <c r="F12" s="764"/>
      <c r="G12" s="764"/>
      <c r="H12" s="764"/>
      <c r="I12" s="764"/>
      <c r="J12" s="764"/>
      <c r="K12" s="765"/>
    </row>
    <row r="13" spans="2:28" ht="64.5" customHeight="1" thickBot="1" x14ac:dyDescent="0.3">
      <c r="B13" s="771" t="s">
        <v>1419</v>
      </c>
      <c r="C13" s="772"/>
      <c r="D13" s="768"/>
      <c r="E13" s="769"/>
      <c r="F13" s="770"/>
      <c r="G13" s="766" t="s">
        <v>1445</v>
      </c>
      <c r="H13" s="766"/>
      <c r="I13" s="766"/>
      <c r="J13" s="766"/>
      <c r="K13" s="767"/>
      <c r="N13" s="86"/>
      <c r="O13" s="86"/>
      <c r="S13" s="86" t="b">
        <v>1</v>
      </c>
      <c r="T13" s="86" t="b">
        <v>1</v>
      </c>
    </row>
    <row r="14" spans="2:28" ht="63.75" customHeight="1" thickBot="1" x14ac:dyDescent="0.3">
      <c r="B14" s="763" t="s">
        <v>1446</v>
      </c>
      <c r="C14" s="764"/>
      <c r="D14" s="764"/>
      <c r="E14" s="764"/>
      <c r="F14" s="764"/>
      <c r="G14" s="764"/>
      <c r="H14" s="764"/>
      <c r="I14" s="764"/>
      <c r="J14" s="764"/>
      <c r="K14" s="765"/>
    </row>
    <row r="15" spans="2:28" ht="66.75" customHeight="1" thickBot="1" x14ac:dyDescent="0.3">
      <c r="B15" s="771" t="s">
        <v>1419</v>
      </c>
      <c r="C15" s="772"/>
      <c r="D15" s="777"/>
      <c r="E15" s="778"/>
      <c r="F15" s="786"/>
      <c r="G15" s="787"/>
      <c r="H15" s="787"/>
      <c r="I15" s="787"/>
      <c r="J15" s="787"/>
      <c r="K15" s="788"/>
      <c r="N15" s="86"/>
      <c r="O15" s="86"/>
    </row>
    <row r="16" spans="2:28" ht="43.5" customHeight="1" thickBot="1" x14ac:dyDescent="0.3">
      <c r="B16" s="783"/>
      <c r="C16" s="784"/>
      <c r="D16" s="784"/>
      <c r="E16" s="784"/>
      <c r="F16" s="784"/>
      <c r="G16" s="784"/>
      <c r="H16" s="784"/>
      <c r="I16" s="784"/>
      <c r="J16" s="784"/>
      <c r="K16" s="785"/>
    </row>
    <row r="17" spans="2:11" ht="48" customHeight="1" x14ac:dyDescent="0.25">
      <c r="B17" s="754" t="s">
        <v>1661</v>
      </c>
      <c r="C17" s="755"/>
      <c r="D17" s="755"/>
      <c r="E17" s="755"/>
      <c r="F17" s="755"/>
      <c r="G17" s="755"/>
      <c r="H17" s="755"/>
      <c r="I17" s="755"/>
      <c r="J17" s="755"/>
      <c r="K17" s="756"/>
    </row>
    <row r="18" spans="2:11" ht="66" customHeight="1" x14ac:dyDescent="0.25">
      <c r="B18" s="754" t="s">
        <v>1447</v>
      </c>
      <c r="C18" s="755"/>
      <c r="D18" s="755"/>
      <c r="E18" s="755"/>
      <c r="F18" s="755"/>
      <c r="G18" s="755"/>
      <c r="H18" s="755"/>
      <c r="I18" s="755"/>
      <c r="J18" s="755"/>
      <c r="K18" s="756"/>
    </row>
    <row r="19" spans="2:11" ht="66" customHeight="1" x14ac:dyDescent="0.25">
      <c r="B19" s="789" t="s">
        <v>1810</v>
      </c>
      <c r="C19" s="790"/>
      <c r="D19" s="790"/>
      <c r="E19" s="790"/>
      <c r="F19" s="790"/>
      <c r="G19" s="790"/>
      <c r="H19" s="790"/>
      <c r="I19" s="790"/>
      <c r="J19" s="790"/>
      <c r="K19" s="791"/>
    </row>
    <row r="20" spans="2:11" ht="63" customHeight="1" thickBot="1" x14ac:dyDescent="0.3">
      <c r="B20" s="780" t="s">
        <v>2361</v>
      </c>
      <c r="C20" s="781"/>
      <c r="D20" s="781"/>
      <c r="E20" s="781"/>
      <c r="F20" s="781"/>
      <c r="G20" s="781"/>
      <c r="H20" s="781"/>
      <c r="I20" s="781"/>
      <c r="J20" s="781"/>
      <c r="K20" s="782"/>
    </row>
    <row r="21" spans="2:11" ht="15.75" thickTop="1" x14ac:dyDescent="0.25">
      <c r="B21" s="78"/>
      <c r="C21" s="78"/>
      <c r="D21" s="78"/>
      <c r="E21" s="78"/>
      <c r="F21" s="78"/>
      <c r="G21" s="78"/>
      <c r="H21" s="78"/>
      <c r="I21" s="78"/>
      <c r="J21" s="78"/>
      <c r="K21" s="78"/>
    </row>
    <row r="22" spans="2:11" x14ac:dyDescent="0.25">
      <c r="B22" s="78"/>
      <c r="C22" s="78"/>
      <c r="D22" s="78"/>
      <c r="E22" s="78"/>
      <c r="F22" s="78"/>
      <c r="G22" s="78"/>
      <c r="H22" s="78"/>
      <c r="I22" s="78"/>
      <c r="J22" s="78"/>
      <c r="K22" s="78"/>
    </row>
    <row r="23" spans="2:11" x14ac:dyDescent="0.25">
      <c r="B23" s="78"/>
      <c r="C23" s="78"/>
      <c r="D23" s="78"/>
      <c r="E23" s="78"/>
      <c r="F23" s="78"/>
      <c r="G23" s="78"/>
      <c r="H23" s="78"/>
      <c r="I23" s="78"/>
      <c r="J23" s="78"/>
      <c r="K23" s="78"/>
    </row>
    <row r="24" spans="2:11" x14ac:dyDescent="0.25">
      <c r="B24" s="78"/>
      <c r="C24" s="78"/>
      <c r="D24" s="78"/>
      <c r="E24" s="78"/>
      <c r="F24" s="78"/>
      <c r="G24" s="78"/>
      <c r="H24" s="78"/>
      <c r="I24" s="78"/>
      <c r="J24" s="78"/>
      <c r="K24" s="78"/>
    </row>
    <row r="25" spans="2:11" x14ac:dyDescent="0.25">
      <c r="B25" s="78"/>
      <c r="C25" s="78"/>
      <c r="D25" s="78"/>
      <c r="E25" s="78"/>
      <c r="F25" s="78"/>
      <c r="G25" s="78"/>
      <c r="H25" s="78"/>
      <c r="I25" s="78"/>
      <c r="J25" s="78"/>
      <c r="K25" s="78"/>
    </row>
    <row r="26" spans="2:11" x14ac:dyDescent="0.25">
      <c r="B26" s="78"/>
      <c r="C26" s="78"/>
      <c r="D26" s="78"/>
      <c r="E26" s="78"/>
      <c r="F26" s="78"/>
      <c r="G26" s="78"/>
      <c r="H26" s="78"/>
      <c r="I26" s="78"/>
      <c r="J26" s="78"/>
      <c r="K26" s="78"/>
    </row>
    <row r="27" spans="2:11" x14ac:dyDescent="0.25">
      <c r="B27" s="78"/>
      <c r="C27" s="78"/>
      <c r="D27" s="78"/>
      <c r="E27" s="78"/>
      <c r="F27" s="78"/>
      <c r="G27" s="78"/>
      <c r="H27" s="78"/>
      <c r="I27" s="78"/>
      <c r="J27" s="78"/>
      <c r="K27" s="78"/>
    </row>
    <row r="28" spans="2:11" x14ac:dyDescent="0.25">
      <c r="B28" s="78"/>
      <c r="C28" s="78"/>
      <c r="D28" s="78"/>
      <c r="E28" s="78"/>
      <c r="F28" s="78"/>
      <c r="G28" s="78"/>
      <c r="H28" s="78"/>
      <c r="I28" s="78"/>
      <c r="J28" s="78"/>
      <c r="K28" s="78"/>
    </row>
    <row r="29" spans="2:11" x14ac:dyDescent="0.25">
      <c r="B29" s="78"/>
      <c r="C29" s="78"/>
      <c r="D29" s="78"/>
      <c r="E29" s="78"/>
      <c r="F29" s="78"/>
      <c r="G29" s="78"/>
      <c r="H29" s="78"/>
      <c r="I29" s="78"/>
      <c r="J29" s="78"/>
      <c r="K29" s="78"/>
    </row>
    <row r="30" spans="2:11" x14ac:dyDescent="0.25">
      <c r="B30" s="78"/>
      <c r="C30" s="78"/>
      <c r="D30" s="78"/>
      <c r="E30" s="78"/>
      <c r="F30" s="78"/>
      <c r="G30" s="78"/>
      <c r="H30" s="78"/>
      <c r="I30" s="78"/>
      <c r="J30" s="78"/>
      <c r="K30" s="78"/>
    </row>
    <row r="31" spans="2:11" x14ac:dyDescent="0.25">
      <c r="B31" s="78"/>
      <c r="C31" s="78"/>
      <c r="D31" s="78"/>
      <c r="E31" s="78"/>
      <c r="F31" s="78"/>
      <c r="G31" s="78"/>
      <c r="H31" s="78"/>
      <c r="I31" s="78"/>
      <c r="J31" s="78"/>
      <c r="K31" s="78"/>
    </row>
    <row r="32" spans="2:11" x14ac:dyDescent="0.25">
      <c r="B32" s="78"/>
      <c r="C32" s="78"/>
      <c r="D32" s="78"/>
      <c r="E32" s="78"/>
      <c r="F32" s="78"/>
      <c r="G32" s="78"/>
      <c r="H32" s="78"/>
      <c r="I32" s="78"/>
      <c r="J32" s="78"/>
      <c r="K32" s="78"/>
    </row>
    <row r="33" spans="2:11" x14ac:dyDescent="0.25">
      <c r="B33" s="78"/>
      <c r="C33" s="78"/>
      <c r="D33" s="78"/>
      <c r="E33" s="78"/>
      <c r="F33" s="78"/>
      <c r="G33" s="78"/>
      <c r="H33" s="78"/>
      <c r="I33" s="78"/>
      <c r="J33" s="78"/>
      <c r="K33" s="78"/>
    </row>
    <row r="34" spans="2:11" x14ac:dyDescent="0.25">
      <c r="B34" s="78"/>
      <c r="C34" s="78"/>
      <c r="D34" s="78"/>
      <c r="E34" s="78"/>
      <c r="F34" s="78"/>
      <c r="G34" s="78"/>
      <c r="H34" s="78"/>
      <c r="I34" s="78"/>
      <c r="J34" s="78"/>
      <c r="K34" s="78"/>
    </row>
    <row r="35" spans="2:11" x14ac:dyDescent="0.25">
      <c r="B35" s="78"/>
      <c r="C35" s="78"/>
      <c r="D35" s="78"/>
      <c r="E35" s="78"/>
      <c r="F35" s="78"/>
      <c r="G35" s="78"/>
      <c r="H35" s="78"/>
      <c r="I35" s="78"/>
      <c r="J35" s="78"/>
      <c r="K35" s="78"/>
    </row>
    <row r="36" spans="2:11" x14ac:dyDescent="0.25">
      <c r="B36" s="78"/>
      <c r="C36" s="78"/>
      <c r="D36" s="78"/>
      <c r="E36" s="78"/>
      <c r="F36" s="78"/>
      <c r="G36" s="78"/>
      <c r="H36" s="78"/>
      <c r="I36" s="78"/>
      <c r="J36" s="78"/>
      <c r="K36" s="78"/>
    </row>
    <row r="37" spans="2:11" x14ac:dyDescent="0.25">
      <c r="B37" s="78"/>
      <c r="C37" s="78"/>
      <c r="D37" s="78"/>
      <c r="E37" s="78"/>
      <c r="F37" s="78"/>
      <c r="G37" s="78"/>
      <c r="H37" s="78"/>
      <c r="I37" s="78"/>
      <c r="J37" s="78"/>
      <c r="K37" s="78"/>
    </row>
    <row r="38" spans="2:11" x14ac:dyDescent="0.25">
      <c r="B38" s="78"/>
      <c r="C38" s="78"/>
      <c r="D38" s="78"/>
      <c r="E38" s="78"/>
      <c r="F38" s="78"/>
      <c r="G38" s="78"/>
      <c r="H38" s="78"/>
      <c r="I38" s="78"/>
      <c r="J38" s="78"/>
      <c r="K38" s="78"/>
    </row>
    <row r="39" spans="2:11" x14ac:dyDescent="0.25">
      <c r="B39" s="78"/>
      <c r="C39" s="78"/>
      <c r="D39" s="78"/>
      <c r="E39" s="78"/>
      <c r="F39" s="78"/>
      <c r="G39" s="78"/>
      <c r="H39" s="78"/>
      <c r="I39" s="78"/>
      <c r="J39" s="78"/>
      <c r="K39" s="78"/>
    </row>
    <row r="40" spans="2:11" x14ac:dyDescent="0.25">
      <c r="B40" s="78"/>
      <c r="C40" s="78"/>
      <c r="D40" s="78"/>
      <c r="E40" s="78"/>
      <c r="F40" s="78"/>
      <c r="G40" s="78"/>
      <c r="H40" s="78"/>
      <c r="I40" s="78"/>
      <c r="J40" s="78"/>
      <c r="K40" s="78"/>
    </row>
    <row r="41" spans="2:11" x14ac:dyDescent="0.25">
      <c r="B41" s="78"/>
      <c r="C41" s="78"/>
      <c r="D41" s="78"/>
      <c r="E41" s="78"/>
      <c r="F41" s="78"/>
      <c r="G41" s="78"/>
      <c r="H41" s="78"/>
      <c r="I41" s="78"/>
      <c r="J41" s="78"/>
      <c r="K41" s="78"/>
    </row>
    <row r="42" spans="2:11" x14ac:dyDescent="0.25">
      <c r="B42" s="78"/>
      <c r="C42" s="78"/>
      <c r="D42" s="78"/>
      <c r="E42" s="78"/>
      <c r="F42" s="78"/>
      <c r="G42" s="78"/>
      <c r="H42" s="78"/>
      <c r="I42" s="78"/>
      <c r="J42" s="78"/>
      <c r="K42" s="78"/>
    </row>
    <row r="43" spans="2:11" x14ac:dyDescent="0.25">
      <c r="B43" s="78"/>
      <c r="C43" s="78"/>
      <c r="D43" s="78"/>
      <c r="E43" s="78"/>
      <c r="F43" s="78"/>
      <c r="G43" s="78"/>
      <c r="H43" s="78"/>
      <c r="I43" s="78"/>
      <c r="J43" s="78"/>
      <c r="K43" s="78"/>
    </row>
    <row r="44" spans="2:11" x14ac:dyDescent="0.25">
      <c r="B44" s="78"/>
      <c r="C44" s="78"/>
      <c r="D44" s="78"/>
      <c r="E44" s="78"/>
      <c r="F44" s="78"/>
      <c r="G44" s="78"/>
      <c r="H44" s="78"/>
      <c r="I44" s="78"/>
      <c r="J44" s="78"/>
      <c r="K44" s="78"/>
    </row>
    <row r="45" spans="2:11" x14ac:dyDescent="0.25">
      <c r="B45" s="78"/>
      <c r="C45" s="78"/>
      <c r="D45" s="78"/>
      <c r="E45" s="78"/>
      <c r="F45" s="78"/>
      <c r="G45" s="78"/>
      <c r="H45" s="78"/>
      <c r="I45" s="78"/>
      <c r="J45" s="78"/>
      <c r="K45" s="78"/>
    </row>
    <row r="46" spans="2:11" x14ac:dyDescent="0.25">
      <c r="B46" s="78"/>
      <c r="C46" s="78"/>
      <c r="D46" s="78"/>
      <c r="E46" s="78"/>
      <c r="F46" s="78"/>
      <c r="G46" s="78"/>
      <c r="H46" s="78"/>
      <c r="I46" s="78"/>
      <c r="J46" s="78"/>
      <c r="K46" s="78"/>
    </row>
    <row r="47" spans="2:11" x14ac:dyDescent="0.25">
      <c r="B47" s="78"/>
      <c r="C47" s="78"/>
      <c r="D47" s="78"/>
      <c r="E47" s="78"/>
      <c r="F47" s="78"/>
      <c r="G47" s="78"/>
      <c r="H47" s="78"/>
      <c r="I47" s="78"/>
      <c r="J47" s="78"/>
      <c r="K47" s="78"/>
    </row>
    <row r="48" spans="2:11" x14ac:dyDescent="0.25">
      <c r="B48" s="78"/>
      <c r="C48" s="78"/>
      <c r="D48" s="78"/>
      <c r="E48" s="78"/>
      <c r="F48" s="78"/>
      <c r="G48" s="78"/>
      <c r="H48" s="78"/>
      <c r="I48" s="78"/>
      <c r="J48" s="78"/>
      <c r="K48" s="78"/>
    </row>
    <row r="49" spans="2:11" x14ac:dyDescent="0.25">
      <c r="B49" s="78"/>
      <c r="C49" s="78"/>
      <c r="D49" s="78"/>
      <c r="E49" s="78"/>
      <c r="F49" s="78"/>
      <c r="G49" s="78"/>
      <c r="H49" s="78"/>
      <c r="I49" s="78"/>
      <c r="J49" s="78"/>
      <c r="K49" s="78"/>
    </row>
    <row r="50" spans="2:11" x14ac:dyDescent="0.25">
      <c r="B50" s="78"/>
      <c r="C50" s="78"/>
      <c r="D50" s="78"/>
      <c r="E50" s="78"/>
      <c r="F50" s="78"/>
      <c r="G50" s="78"/>
      <c r="H50" s="78"/>
      <c r="I50" s="78"/>
      <c r="J50" s="78"/>
      <c r="K50" s="78"/>
    </row>
    <row r="51" spans="2:11" x14ac:dyDescent="0.25">
      <c r="B51" s="78"/>
      <c r="C51" s="78"/>
      <c r="D51" s="78"/>
      <c r="E51" s="78"/>
      <c r="F51" s="78"/>
      <c r="G51" s="78"/>
      <c r="H51" s="78"/>
      <c r="I51" s="78"/>
      <c r="J51" s="78"/>
      <c r="K51" s="78"/>
    </row>
    <row r="52" spans="2:11" x14ac:dyDescent="0.25">
      <c r="B52" s="78"/>
      <c r="C52" s="78"/>
      <c r="D52" s="78"/>
      <c r="E52" s="78"/>
      <c r="F52" s="78"/>
      <c r="G52" s="78"/>
      <c r="H52" s="78"/>
      <c r="I52" s="78"/>
      <c r="J52" s="78"/>
      <c r="K52" s="78"/>
    </row>
    <row r="53" spans="2:11" x14ac:dyDescent="0.25">
      <c r="B53" s="78"/>
      <c r="C53" s="78"/>
      <c r="D53" s="78"/>
      <c r="E53" s="78"/>
      <c r="F53" s="78"/>
      <c r="G53" s="78"/>
      <c r="H53" s="78"/>
      <c r="I53" s="78"/>
      <c r="J53" s="78"/>
      <c r="K53" s="78"/>
    </row>
    <row r="54" spans="2:11" x14ac:dyDescent="0.25">
      <c r="B54" s="78"/>
      <c r="C54" s="78"/>
      <c r="D54" s="78"/>
      <c r="E54" s="78"/>
      <c r="F54" s="78"/>
      <c r="G54" s="78"/>
      <c r="H54" s="78"/>
      <c r="I54" s="78"/>
      <c r="J54" s="78"/>
      <c r="K54" s="78"/>
    </row>
    <row r="55" spans="2:11" x14ac:dyDescent="0.25">
      <c r="B55" s="78"/>
      <c r="C55" s="78"/>
      <c r="D55" s="78"/>
      <c r="E55" s="78"/>
      <c r="F55" s="78"/>
      <c r="G55" s="78"/>
      <c r="H55" s="78"/>
      <c r="I55" s="78"/>
      <c r="J55" s="78"/>
      <c r="K55" s="78"/>
    </row>
    <row r="56" spans="2:11" x14ac:dyDescent="0.25">
      <c r="B56" s="78"/>
      <c r="C56" s="78"/>
      <c r="D56" s="78"/>
      <c r="E56" s="78"/>
      <c r="F56" s="78"/>
      <c r="G56" s="78"/>
      <c r="H56" s="78"/>
      <c r="I56" s="78"/>
      <c r="J56" s="78"/>
      <c r="K56" s="78"/>
    </row>
    <row r="57" spans="2:11" x14ac:dyDescent="0.25">
      <c r="B57" s="78"/>
      <c r="C57" s="78"/>
      <c r="D57" s="78"/>
      <c r="E57" s="78"/>
      <c r="F57" s="78"/>
      <c r="G57" s="78"/>
      <c r="H57" s="78"/>
      <c r="I57" s="78"/>
      <c r="J57" s="78"/>
      <c r="K57" s="78"/>
    </row>
    <row r="58" spans="2:11" x14ac:dyDescent="0.25">
      <c r="B58" s="78"/>
      <c r="C58" s="78"/>
      <c r="D58" s="78"/>
      <c r="E58" s="78"/>
      <c r="F58" s="78"/>
      <c r="G58" s="78"/>
      <c r="H58" s="78"/>
      <c r="I58" s="78"/>
      <c r="J58" s="78"/>
      <c r="K58" s="78"/>
    </row>
    <row r="59" spans="2:11" x14ac:dyDescent="0.25">
      <c r="B59" s="78"/>
      <c r="C59" s="78"/>
      <c r="D59" s="78"/>
      <c r="E59" s="78"/>
      <c r="F59" s="78"/>
      <c r="G59" s="78"/>
      <c r="H59" s="78"/>
      <c r="I59" s="78"/>
      <c r="J59" s="78"/>
      <c r="K59" s="78"/>
    </row>
    <row r="60" spans="2:11" x14ac:dyDescent="0.25">
      <c r="B60" s="78"/>
      <c r="C60" s="78"/>
      <c r="D60" s="78"/>
      <c r="E60" s="78"/>
      <c r="F60" s="78"/>
      <c r="G60" s="78"/>
      <c r="H60" s="78"/>
      <c r="I60" s="78"/>
      <c r="J60" s="78"/>
      <c r="K60" s="78"/>
    </row>
    <row r="61" spans="2:11" x14ac:dyDescent="0.25">
      <c r="B61" s="78"/>
      <c r="C61" s="78"/>
      <c r="D61" s="78"/>
      <c r="E61" s="78"/>
      <c r="F61" s="78"/>
      <c r="G61" s="78"/>
      <c r="H61" s="78"/>
      <c r="I61" s="78"/>
      <c r="J61" s="78"/>
      <c r="K61" s="78"/>
    </row>
    <row r="62" spans="2:11" x14ac:dyDescent="0.25">
      <c r="B62" s="78"/>
      <c r="C62" s="78"/>
      <c r="D62" s="78"/>
      <c r="E62" s="78"/>
      <c r="F62" s="78"/>
      <c r="G62" s="78"/>
      <c r="H62" s="78"/>
      <c r="I62" s="78"/>
      <c r="J62" s="78"/>
      <c r="K62" s="78"/>
    </row>
    <row r="63" spans="2:11" x14ac:dyDescent="0.25">
      <c r="B63" s="78"/>
      <c r="C63" s="78"/>
      <c r="D63" s="78"/>
      <c r="E63" s="78"/>
      <c r="F63" s="78"/>
      <c r="G63" s="78"/>
      <c r="H63" s="78"/>
      <c r="I63" s="78"/>
      <c r="J63" s="78"/>
      <c r="K63" s="78"/>
    </row>
    <row r="64" spans="2:11" x14ac:dyDescent="0.25">
      <c r="B64" s="78"/>
      <c r="C64" s="78"/>
      <c r="D64" s="78"/>
      <c r="E64" s="78"/>
      <c r="F64" s="78"/>
      <c r="G64" s="78"/>
      <c r="H64" s="78"/>
      <c r="I64" s="78"/>
      <c r="J64" s="78"/>
      <c r="K64" s="78"/>
    </row>
    <row r="65" spans="2:11" x14ac:dyDescent="0.25">
      <c r="B65" s="78"/>
      <c r="C65" s="78"/>
      <c r="D65" s="78"/>
      <c r="E65" s="78"/>
      <c r="F65" s="78"/>
      <c r="G65" s="78"/>
      <c r="H65" s="78"/>
      <c r="I65" s="78"/>
      <c r="J65" s="78"/>
      <c r="K65" s="78"/>
    </row>
    <row r="66" spans="2:11" x14ac:dyDescent="0.25">
      <c r="B66" s="78"/>
      <c r="C66" s="78"/>
      <c r="D66" s="78"/>
      <c r="E66" s="78"/>
      <c r="F66" s="78"/>
      <c r="G66" s="78"/>
      <c r="H66" s="78"/>
      <c r="I66" s="78"/>
      <c r="J66" s="78"/>
      <c r="K66" s="78"/>
    </row>
    <row r="67" spans="2:11" x14ac:dyDescent="0.25">
      <c r="B67" s="78"/>
      <c r="C67" s="78"/>
      <c r="D67" s="78"/>
      <c r="E67" s="78"/>
      <c r="F67" s="78"/>
      <c r="G67" s="78"/>
      <c r="H67" s="78"/>
      <c r="I67" s="78"/>
      <c r="J67" s="78"/>
      <c r="K67" s="78"/>
    </row>
    <row r="68" spans="2:11" x14ac:dyDescent="0.25">
      <c r="B68" s="78"/>
      <c r="C68" s="78"/>
      <c r="D68" s="78"/>
      <c r="E68" s="78"/>
      <c r="F68" s="78"/>
      <c r="G68" s="78"/>
      <c r="H68" s="78"/>
      <c r="I68" s="78"/>
      <c r="J68" s="78"/>
      <c r="K68" s="78"/>
    </row>
    <row r="69" spans="2:11" x14ac:dyDescent="0.25">
      <c r="B69" s="78"/>
      <c r="C69" s="78"/>
      <c r="D69" s="78"/>
      <c r="E69" s="78"/>
      <c r="F69" s="78"/>
      <c r="G69" s="78"/>
      <c r="H69" s="78"/>
      <c r="I69" s="78"/>
      <c r="J69" s="78"/>
      <c r="K69" s="78"/>
    </row>
    <row r="70" spans="2:11" x14ac:dyDescent="0.25">
      <c r="B70" s="78"/>
      <c r="C70" s="78"/>
      <c r="D70" s="78"/>
      <c r="E70" s="78"/>
      <c r="F70" s="78"/>
      <c r="G70" s="78"/>
      <c r="H70" s="78"/>
      <c r="I70" s="78"/>
      <c r="J70" s="78"/>
      <c r="K70" s="78"/>
    </row>
    <row r="71" spans="2:11" x14ac:dyDescent="0.25">
      <c r="B71" s="78"/>
      <c r="C71" s="78"/>
      <c r="D71" s="78"/>
      <c r="E71" s="78"/>
      <c r="F71" s="78"/>
      <c r="G71" s="78"/>
      <c r="H71" s="78"/>
      <c r="I71" s="78"/>
      <c r="J71" s="78"/>
      <c r="K71" s="78"/>
    </row>
  </sheetData>
  <sheetProtection algorithmName="SHA-512" hashValue="fCi4j0Xu4TfaC40UwdetIxoqnKLndMkx2k+GXtfcvVqgCBbx81Ins85AxrisO68ph7dtohBh0TDxuo2/SqWhLA==" saltValue="Vbt2fY+yCcSnf/sLN+XcWw==" spinCount="100000" sheet="1" objects="1" scenarios="1"/>
  <mergeCells count="26">
    <mergeCell ref="B20:K20"/>
    <mergeCell ref="B14:K14"/>
    <mergeCell ref="B18:K18"/>
    <mergeCell ref="B16:K16"/>
    <mergeCell ref="B15:C15"/>
    <mergeCell ref="D15:F15"/>
    <mergeCell ref="G15:K15"/>
    <mergeCell ref="B17:K17"/>
    <mergeCell ref="B19:K19"/>
    <mergeCell ref="B12:K12"/>
    <mergeCell ref="G13:K13"/>
    <mergeCell ref="D13:F13"/>
    <mergeCell ref="B13:C13"/>
    <mergeCell ref="E9:K9"/>
    <mergeCell ref="B9:D9"/>
    <mergeCell ref="B10:K10"/>
    <mergeCell ref="B11:D11"/>
    <mergeCell ref="E11:K11"/>
    <mergeCell ref="M2:O2"/>
    <mergeCell ref="M3:O3"/>
    <mergeCell ref="B8:K8"/>
    <mergeCell ref="B5:K5"/>
    <mergeCell ref="B3:K3"/>
    <mergeCell ref="B2:K2"/>
    <mergeCell ref="B7:K7"/>
    <mergeCell ref="B6:K6"/>
  </mergeCells>
  <pageMargins left="0.7" right="0.7" top="0.75" bottom="0.75" header="0.3" footer="0.3"/>
  <pageSetup scale="7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3</xdr:col>
                    <xdr:colOff>152400</xdr:colOff>
                    <xdr:row>12</xdr:row>
                    <xdr:rowOff>47625</xdr:rowOff>
                  </from>
                  <to>
                    <xdr:col>4</xdr:col>
                    <xdr:colOff>304800</xdr:colOff>
                    <xdr:row>12</xdr:row>
                    <xdr:rowOff>781050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4</xdr:col>
                    <xdr:colOff>361950</xdr:colOff>
                    <xdr:row>12</xdr:row>
                    <xdr:rowOff>47625</xdr:rowOff>
                  </from>
                  <to>
                    <xdr:col>6</xdr:col>
                    <xdr:colOff>0</xdr:colOff>
                    <xdr:row>12</xdr:row>
                    <xdr:rowOff>781050</xdr:rowOff>
                  </to>
                </anchor>
              </controlPr>
            </control>
          </mc:Choice>
        </mc:AlternateContent>
        <mc:AlternateContent xmlns:mc="http://schemas.openxmlformats.org/markup-compatibility/2006">
          <mc:Choice Requires="x14">
            <control shapeId="31759" r:id="rId6" name="Check Box 15">
              <controlPr defaultSize="0" autoFill="0" autoLine="0" autoPict="0">
                <anchor moveWithCells="1">
                  <from>
                    <xdr:col>1</xdr:col>
                    <xdr:colOff>0</xdr:colOff>
                    <xdr:row>15</xdr:row>
                    <xdr:rowOff>47625</xdr:rowOff>
                  </from>
                  <to>
                    <xdr:col>2</xdr:col>
                    <xdr:colOff>171450</xdr:colOff>
                    <xdr:row>15</xdr:row>
                    <xdr:rowOff>276225</xdr:rowOff>
                  </to>
                </anchor>
              </controlPr>
            </control>
          </mc:Choice>
        </mc:AlternateContent>
        <mc:AlternateContent xmlns:mc="http://schemas.openxmlformats.org/markup-compatibility/2006">
          <mc:Choice Requires="x14">
            <control shapeId="31760" r:id="rId7" name="Check Box 16">
              <controlPr defaultSize="0" autoFill="0" autoLine="0" autoPict="0">
                <anchor moveWithCells="1">
                  <from>
                    <xdr:col>1</xdr:col>
                    <xdr:colOff>0</xdr:colOff>
                    <xdr:row>15</xdr:row>
                    <xdr:rowOff>238125</xdr:rowOff>
                  </from>
                  <to>
                    <xdr:col>2</xdr:col>
                    <xdr:colOff>171450</xdr:colOff>
                    <xdr:row>15</xdr:row>
                    <xdr:rowOff>466725</xdr:rowOff>
                  </to>
                </anchor>
              </controlPr>
            </control>
          </mc:Choice>
        </mc:AlternateContent>
        <mc:AlternateContent xmlns:mc="http://schemas.openxmlformats.org/markup-compatibility/2006">
          <mc:Choice Requires="x14">
            <control shapeId="31761" r:id="rId8" name="Check Box 17">
              <controlPr defaultSize="0" autoFill="0" autoLine="0" autoPict="0">
                <anchor moveWithCells="1">
                  <from>
                    <xdr:col>2</xdr:col>
                    <xdr:colOff>466725</xdr:colOff>
                    <xdr:row>15</xdr:row>
                    <xdr:rowOff>47625</xdr:rowOff>
                  </from>
                  <to>
                    <xdr:col>4</xdr:col>
                    <xdr:colOff>171450</xdr:colOff>
                    <xdr:row>15</xdr:row>
                    <xdr:rowOff>276225</xdr:rowOff>
                  </to>
                </anchor>
              </controlPr>
            </control>
          </mc:Choice>
        </mc:AlternateContent>
        <mc:AlternateContent xmlns:mc="http://schemas.openxmlformats.org/markup-compatibility/2006">
          <mc:Choice Requires="x14">
            <control shapeId="31762" r:id="rId9" name="Check Box 18">
              <controlPr defaultSize="0" autoFill="0" autoLine="0" autoPict="0">
                <anchor moveWithCells="1">
                  <from>
                    <xdr:col>2</xdr:col>
                    <xdr:colOff>466725</xdr:colOff>
                    <xdr:row>15</xdr:row>
                    <xdr:rowOff>238125</xdr:rowOff>
                  </from>
                  <to>
                    <xdr:col>4</xdr:col>
                    <xdr:colOff>171450</xdr:colOff>
                    <xdr:row>15</xdr:row>
                    <xdr:rowOff>466725</xdr:rowOff>
                  </to>
                </anchor>
              </controlPr>
            </control>
          </mc:Choice>
        </mc:AlternateContent>
        <mc:AlternateContent xmlns:mc="http://schemas.openxmlformats.org/markup-compatibility/2006">
          <mc:Choice Requires="x14">
            <control shapeId="31763" r:id="rId10" name="Check Box 19">
              <controlPr defaultSize="0" autoFill="0" autoLine="0" autoPict="0">
                <anchor moveWithCells="1">
                  <from>
                    <xdr:col>4</xdr:col>
                    <xdr:colOff>333375</xdr:colOff>
                    <xdr:row>15</xdr:row>
                    <xdr:rowOff>47625</xdr:rowOff>
                  </from>
                  <to>
                    <xdr:col>5</xdr:col>
                    <xdr:colOff>590550</xdr:colOff>
                    <xdr:row>15</xdr:row>
                    <xdr:rowOff>276225</xdr:rowOff>
                  </to>
                </anchor>
              </controlPr>
            </control>
          </mc:Choice>
        </mc:AlternateContent>
        <mc:AlternateContent xmlns:mc="http://schemas.openxmlformats.org/markup-compatibility/2006">
          <mc:Choice Requires="x14">
            <control shapeId="31764" r:id="rId11" name="Check Box 20">
              <controlPr defaultSize="0" autoFill="0" autoLine="0" autoPict="0">
                <anchor moveWithCells="1">
                  <from>
                    <xdr:col>4</xdr:col>
                    <xdr:colOff>333375</xdr:colOff>
                    <xdr:row>15</xdr:row>
                    <xdr:rowOff>238125</xdr:rowOff>
                  </from>
                  <to>
                    <xdr:col>5</xdr:col>
                    <xdr:colOff>590550</xdr:colOff>
                    <xdr:row>15</xdr:row>
                    <xdr:rowOff>466725</xdr:rowOff>
                  </to>
                </anchor>
              </controlPr>
            </control>
          </mc:Choice>
        </mc:AlternateContent>
        <mc:AlternateContent xmlns:mc="http://schemas.openxmlformats.org/markup-compatibility/2006">
          <mc:Choice Requires="x14">
            <control shapeId="31765" r:id="rId12" name="Check Box 21">
              <controlPr defaultSize="0" autoFill="0" autoLine="0" autoPict="0">
                <anchor moveWithCells="1">
                  <from>
                    <xdr:col>6</xdr:col>
                    <xdr:colOff>66675</xdr:colOff>
                    <xdr:row>15</xdr:row>
                    <xdr:rowOff>47625</xdr:rowOff>
                  </from>
                  <to>
                    <xdr:col>7</xdr:col>
                    <xdr:colOff>323850</xdr:colOff>
                    <xdr:row>15</xdr:row>
                    <xdr:rowOff>276225</xdr:rowOff>
                  </to>
                </anchor>
              </controlPr>
            </control>
          </mc:Choice>
        </mc:AlternateContent>
        <mc:AlternateContent xmlns:mc="http://schemas.openxmlformats.org/markup-compatibility/2006">
          <mc:Choice Requires="x14">
            <control shapeId="31766" r:id="rId13" name="Check Box 22">
              <controlPr defaultSize="0" autoFill="0" autoLine="0" autoPict="0">
                <anchor moveWithCells="1">
                  <from>
                    <xdr:col>6</xdr:col>
                    <xdr:colOff>66675</xdr:colOff>
                    <xdr:row>15</xdr:row>
                    <xdr:rowOff>238125</xdr:rowOff>
                  </from>
                  <to>
                    <xdr:col>7</xdr:col>
                    <xdr:colOff>323850</xdr:colOff>
                    <xdr:row>15</xdr:row>
                    <xdr:rowOff>466725</xdr:rowOff>
                  </to>
                </anchor>
              </controlPr>
            </control>
          </mc:Choice>
        </mc:AlternateContent>
        <mc:AlternateContent xmlns:mc="http://schemas.openxmlformats.org/markup-compatibility/2006">
          <mc:Choice Requires="x14">
            <control shapeId="31767" r:id="rId14" name="Check Box 23">
              <controlPr defaultSize="0" autoFill="0" autoLine="0" autoPict="0">
                <anchor moveWithCells="1">
                  <from>
                    <xdr:col>7</xdr:col>
                    <xdr:colOff>466725</xdr:colOff>
                    <xdr:row>15</xdr:row>
                    <xdr:rowOff>47625</xdr:rowOff>
                  </from>
                  <to>
                    <xdr:col>9</xdr:col>
                    <xdr:colOff>114300</xdr:colOff>
                    <xdr:row>15</xdr:row>
                    <xdr:rowOff>276225</xdr:rowOff>
                  </to>
                </anchor>
              </controlPr>
            </control>
          </mc:Choice>
        </mc:AlternateContent>
        <mc:AlternateContent xmlns:mc="http://schemas.openxmlformats.org/markup-compatibility/2006">
          <mc:Choice Requires="x14">
            <control shapeId="31768" r:id="rId15" name="Check Box 24">
              <controlPr defaultSize="0" autoFill="0" autoLine="0" autoPict="0">
                <anchor moveWithCells="1">
                  <from>
                    <xdr:col>7</xdr:col>
                    <xdr:colOff>466725</xdr:colOff>
                    <xdr:row>15</xdr:row>
                    <xdr:rowOff>238125</xdr:rowOff>
                  </from>
                  <to>
                    <xdr:col>9</xdr:col>
                    <xdr:colOff>114300</xdr:colOff>
                    <xdr:row>15</xdr:row>
                    <xdr:rowOff>466725</xdr:rowOff>
                  </to>
                </anchor>
              </controlPr>
            </control>
          </mc:Choice>
        </mc:AlternateContent>
        <mc:AlternateContent xmlns:mc="http://schemas.openxmlformats.org/markup-compatibility/2006">
          <mc:Choice Requires="x14">
            <control shapeId="31769" r:id="rId16" name="Check Box 25">
              <controlPr defaultSize="0" autoFill="0" autoLine="0" autoPict="0">
                <anchor moveWithCells="1">
                  <from>
                    <xdr:col>9</xdr:col>
                    <xdr:colOff>333375</xdr:colOff>
                    <xdr:row>15</xdr:row>
                    <xdr:rowOff>47625</xdr:rowOff>
                  </from>
                  <to>
                    <xdr:col>10</xdr:col>
                    <xdr:colOff>590550</xdr:colOff>
                    <xdr:row>15</xdr:row>
                    <xdr:rowOff>276225</xdr:rowOff>
                  </to>
                </anchor>
              </controlPr>
            </control>
          </mc:Choice>
        </mc:AlternateContent>
        <mc:AlternateContent xmlns:mc="http://schemas.openxmlformats.org/markup-compatibility/2006">
          <mc:Choice Requires="x14">
            <control shapeId="31770" r:id="rId17" name="Check Box 26">
              <controlPr defaultSize="0" autoFill="0" autoLine="0" autoPict="0">
                <anchor moveWithCells="1">
                  <from>
                    <xdr:col>9</xdr:col>
                    <xdr:colOff>333375</xdr:colOff>
                    <xdr:row>15</xdr:row>
                    <xdr:rowOff>238125</xdr:rowOff>
                  </from>
                  <to>
                    <xdr:col>10</xdr:col>
                    <xdr:colOff>590550</xdr:colOff>
                    <xdr:row>15</xdr:row>
                    <xdr:rowOff>466725</xdr:rowOff>
                  </to>
                </anchor>
              </controlPr>
            </control>
          </mc:Choice>
        </mc:AlternateContent>
        <mc:AlternateContent xmlns:mc="http://schemas.openxmlformats.org/markup-compatibility/2006">
          <mc:Choice Requires="x14">
            <control shapeId="31771" r:id="rId18" name="Check Box 27">
              <controlPr defaultSize="0" autoFill="0" autoLine="0" autoPict="0">
                <anchor moveWithCells="1">
                  <from>
                    <xdr:col>3</xdr:col>
                    <xdr:colOff>152400</xdr:colOff>
                    <xdr:row>14</xdr:row>
                    <xdr:rowOff>47625</xdr:rowOff>
                  </from>
                  <to>
                    <xdr:col>4</xdr:col>
                    <xdr:colOff>304800</xdr:colOff>
                    <xdr:row>15</xdr:row>
                    <xdr:rowOff>0</xdr:rowOff>
                  </to>
                </anchor>
              </controlPr>
            </control>
          </mc:Choice>
        </mc:AlternateContent>
        <mc:AlternateContent xmlns:mc="http://schemas.openxmlformats.org/markup-compatibility/2006">
          <mc:Choice Requires="x14">
            <control shapeId="31772" r:id="rId19" name="Check Box 28">
              <controlPr defaultSize="0" autoFill="0" autoLine="0" autoPict="0">
                <anchor moveWithCells="1">
                  <from>
                    <xdr:col>4</xdr:col>
                    <xdr:colOff>361950</xdr:colOff>
                    <xdr:row>14</xdr:row>
                    <xdr:rowOff>47625</xdr:rowOff>
                  </from>
                  <to>
                    <xdr:col>6</xdr:col>
                    <xdr:colOff>0</xdr:colOff>
                    <xdr:row>15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tabColor rgb="FF002060"/>
  </sheetPr>
  <dimension ref="A1:AP188"/>
  <sheetViews>
    <sheetView showGridLines="0" zoomScaleNormal="100" workbookViewId="0">
      <selection sqref="A1:O1"/>
    </sheetView>
  </sheetViews>
  <sheetFormatPr defaultRowHeight="14.25" x14ac:dyDescent="0.25"/>
  <cols>
    <col min="1" max="1" width="10" style="130" customWidth="1"/>
    <col min="2" max="2" width="15.42578125" style="48" customWidth="1"/>
    <col min="3" max="3" width="12.140625" style="48" customWidth="1"/>
    <col min="4" max="4" width="11.28515625" style="48" customWidth="1"/>
    <col min="5" max="5" width="14" style="48" customWidth="1"/>
    <col min="6" max="6" width="13.7109375" style="48" customWidth="1"/>
    <col min="7" max="15" width="11.140625" style="48" customWidth="1"/>
    <col min="16" max="16" width="5.85546875" style="48" customWidth="1"/>
    <col min="17" max="16384" width="9.140625" style="48"/>
  </cols>
  <sheetData>
    <row r="1" spans="1:31" s="69" customFormat="1" ht="26.25" customHeight="1" thickBot="1" x14ac:dyDescent="0.3">
      <c r="A1" s="1122" t="s">
        <v>2102</v>
      </c>
      <c r="B1" s="1122"/>
      <c r="C1" s="1122"/>
      <c r="D1" s="1122"/>
      <c r="E1" s="1122"/>
      <c r="F1" s="1122"/>
      <c r="G1" s="1122"/>
      <c r="H1" s="1122"/>
      <c r="I1" s="1122"/>
      <c r="J1" s="1122"/>
      <c r="K1" s="1122"/>
      <c r="L1" s="1122"/>
      <c r="M1" s="1122"/>
      <c r="N1" s="1122"/>
      <c r="O1" s="1122"/>
    </row>
    <row r="2" spans="1:31" s="164" customFormat="1" ht="35.1" customHeight="1" x14ac:dyDescent="0.25">
      <c r="A2" s="1172" t="s">
        <v>2103</v>
      </c>
      <c r="B2" s="1172"/>
      <c r="C2" s="1172"/>
      <c r="D2" s="1172"/>
      <c r="E2" s="1172"/>
      <c r="F2" s="1172"/>
      <c r="G2" s="1172"/>
      <c r="H2" s="1172"/>
      <c r="I2" s="1172"/>
      <c r="J2" s="1172"/>
      <c r="K2" s="1172"/>
      <c r="L2" s="1172"/>
      <c r="M2" s="1172"/>
      <c r="N2" s="1172"/>
      <c r="O2" s="1172"/>
    </row>
    <row r="3" spans="1:31" s="164" customFormat="1" ht="60" customHeight="1" x14ac:dyDescent="0.25">
      <c r="A3" s="165">
        <v>1</v>
      </c>
      <c r="B3" s="1173" t="s">
        <v>2309</v>
      </c>
      <c r="C3" s="1173"/>
      <c r="D3" s="1173"/>
      <c r="E3" s="1173"/>
      <c r="F3" s="1173"/>
      <c r="G3" s="1173"/>
      <c r="H3" s="1173"/>
      <c r="I3" s="1173"/>
      <c r="J3" s="1173"/>
      <c r="K3" s="1173"/>
      <c r="L3" s="1173"/>
      <c r="M3" s="1173"/>
      <c r="N3" s="1173"/>
      <c r="O3" s="1173"/>
    </row>
    <row r="4" spans="1:31" s="166" customFormat="1" ht="15" customHeight="1" thickBot="1" x14ac:dyDescent="0.3">
      <c r="A4" s="1209">
        <v>2</v>
      </c>
      <c r="B4" s="1208" t="s">
        <v>2310</v>
      </c>
      <c r="C4" s="1208"/>
      <c r="D4" s="1208"/>
      <c r="E4" s="1208"/>
      <c r="F4" s="1208"/>
      <c r="G4" s="1208"/>
      <c r="H4" s="1208"/>
      <c r="I4" s="1208"/>
      <c r="J4" s="664">
        <f t="shared" ref="J4:K4" ca="1" si="0">K4-365</f>
        <v>43839.415602430556</v>
      </c>
      <c r="K4" s="664">
        <f t="shared" ca="1" si="0"/>
        <v>44204.415602430556</v>
      </c>
      <c r="L4" s="664">
        <f ca="1">M4-365</f>
        <v>44569.415602430556</v>
      </c>
      <c r="M4" s="664">
        <f ca="1">N4-365</f>
        <v>44934.415602430556</v>
      </c>
      <c r="N4" s="664">
        <f ca="1">NOW()-365</f>
        <v>45299.415602430556</v>
      </c>
      <c r="O4" s="650"/>
    </row>
    <row r="5" spans="1:31" s="68" customFormat="1" ht="20.100000000000001" customHeight="1" thickBot="1" x14ac:dyDescent="0.3">
      <c r="A5" s="1210"/>
      <c r="B5" s="1180"/>
      <c r="C5" s="1180"/>
      <c r="D5" s="1180"/>
      <c r="E5" s="1180"/>
      <c r="F5" s="1180"/>
      <c r="G5" s="1180"/>
      <c r="H5" s="1180"/>
      <c r="I5" s="1180"/>
      <c r="J5" s="611"/>
      <c r="K5" s="611"/>
      <c r="L5" s="611"/>
      <c r="M5" s="611"/>
      <c r="N5" s="611"/>
      <c r="O5" s="651"/>
    </row>
    <row r="6" spans="1:31" s="68" customFormat="1" ht="20.100000000000001" customHeight="1" thickBot="1" x14ac:dyDescent="0.3">
      <c r="A6" s="120"/>
      <c r="B6" s="1180" t="s">
        <v>2311</v>
      </c>
      <c r="C6" s="1180"/>
      <c r="D6" s="1180"/>
      <c r="E6" s="1180"/>
      <c r="F6" s="1180"/>
      <c r="G6" s="1180"/>
      <c r="H6" s="1180"/>
      <c r="I6" s="1180"/>
      <c r="J6" s="665" t="str">
        <f t="array" ref="J6">IF(AND(NOT(ISBLANK(J5:N5)),NOT(ISTEXT(J5:N5))),IFERROR(LARGE(J5:N5,1)*1.2,""),"")</f>
        <v/>
      </c>
      <c r="K6" s="651" t="s">
        <v>2093</v>
      </c>
      <c r="L6" s="651"/>
      <c r="M6" s="651"/>
      <c r="N6" s="651"/>
      <c r="O6" s="651"/>
    </row>
    <row r="7" spans="1:31" s="164" customFormat="1" ht="8.1" customHeight="1" x14ac:dyDescent="0.25">
      <c r="A7" s="165"/>
      <c r="B7" s="610"/>
      <c r="C7" s="168"/>
      <c r="D7" s="168"/>
      <c r="E7" s="168"/>
      <c r="F7" s="168"/>
      <c r="G7" s="168"/>
      <c r="H7" s="168"/>
      <c r="I7" s="168"/>
      <c r="J7" s="168"/>
      <c r="K7" s="168"/>
      <c r="L7" s="168"/>
      <c r="M7" s="168"/>
      <c r="N7" s="168"/>
      <c r="O7" s="168"/>
    </row>
    <row r="8" spans="1:31" s="166" customFormat="1" ht="8.1" customHeight="1" x14ac:dyDescent="0.25">
      <c r="A8" s="648"/>
      <c r="B8" s="648"/>
      <c r="C8" s="648"/>
      <c r="D8" s="648"/>
      <c r="E8" s="648"/>
      <c r="F8" s="648"/>
      <c r="G8" s="648"/>
      <c r="H8" s="648"/>
      <c r="I8" s="648"/>
      <c r="J8" s="648"/>
      <c r="K8" s="648"/>
      <c r="L8" s="648"/>
      <c r="M8" s="648"/>
    </row>
    <row r="9" spans="1:31" s="68" customFormat="1" ht="15" customHeight="1" thickBot="1" x14ac:dyDescent="0.3">
      <c r="A9" s="1210">
        <v>3</v>
      </c>
      <c r="B9" s="1211" t="s">
        <v>2333</v>
      </c>
      <c r="C9" s="1212" t="str">
        <f>IF('Table 3-A| Emission Units'!$E$13='Table 3-A| Emission Units'!$O$7,"natural gas combustion",IF('Table 3-A| Emission Units'!$E$13='Table 3-A| Emission Units'!$O$8,"propane/LPG combustion",""))</f>
        <v/>
      </c>
      <c r="D9" s="1213"/>
      <c r="E9" s="1211" t="s">
        <v>2334</v>
      </c>
      <c r="F9" s="1211"/>
      <c r="G9" s="1211"/>
      <c r="H9" s="1211"/>
      <c r="I9" s="1211"/>
      <c r="J9" s="673">
        <f t="shared" ref="J9" ca="1" si="1">K9-365</f>
        <v>43839.415602430556</v>
      </c>
      <c r="K9" s="673">
        <f t="shared" ref="K9" ca="1" si="2">L9-365</f>
        <v>44204.415602430556</v>
      </c>
      <c r="L9" s="673">
        <f ca="1">M9-365</f>
        <v>44569.415602430556</v>
      </c>
      <c r="M9" s="673">
        <f ca="1">N9-365</f>
        <v>44934.415602430556</v>
      </c>
      <c r="N9" s="673">
        <f ca="1">NOW()-365</f>
        <v>45299.415602430556</v>
      </c>
      <c r="O9" s="651"/>
    </row>
    <row r="10" spans="1:31" s="68" customFormat="1" ht="20.100000000000001" customHeight="1" thickBot="1" x14ac:dyDescent="0.3">
      <c r="A10" s="1210"/>
      <c r="B10" s="1211"/>
      <c r="C10" s="1213"/>
      <c r="D10" s="1213"/>
      <c r="E10" s="1211"/>
      <c r="F10" s="1211"/>
      <c r="G10" s="1211"/>
      <c r="H10" s="1211"/>
      <c r="I10" s="1211"/>
      <c r="J10" s="611"/>
      <c r="K10" s="611"/>
      <c r="L10" s="611"/>
      <c r="M10" s="611"/>
      <c r="N10" s="611"/>
      <c r="O10" s="651"/>
    </row>
    <row r="11" spans="1:31" s="68" customFormat="1" ht="20.100000000000001" customHeight="1" thickBot="1" x14ac:dyDescent="0.3">
      <c r="A11" s="120"/>
      <c r="B11" s="1180" t="s">
        <v>2332</v>
      </c>
      <c r="C11" s="1180"/>
      <c r="D11" s="1180"/>
      <c r="E11" s="1180"/>
      <c r="F11" s="1180"/>
      <c r="G11" s="1180"/>
      <c r="H11" s="1180"/>
      <c r="I11" s="1180"/>
      <c r="J11" s="665" t="str">
        <f t="array" ref="J11">IF(AND(NOT(ISBLANK(J10:N10)),NOT(ISTEXT(J10:N10))),IFERROR(LARGE(J10:N10,1)*1.2,""),"")</f>
        <v/>
      </c>
      <c r="K11" s="651" t="str">
        <f>IF(C9="natural gas combustion","cubic feet",IF(C9="propane/LPG combustion","gallons",""))</f>
        <v/>
      </c>
      <c r="L11" s="674">
        <f>IF($K$11="cubic feet",($J$11/1000000)*1027,IF($K$11="gallons",($J$11/1000)*91.33,0))</f>
        <v>0</v>
      </c>
      <c r="M11" s="651" t="s">
        <v>2337</v>
      </c>
      <c r="N11" s="651"/>
      <c r="O11" s="651"/>
    </row>
    <row r="12" spans="1:31" s="164" customFormat="1" ht="8.1" customHeight="1" x14ac:dyDescent="0.25">
      <c r="A12" s="165"/>
      <c r="B12" s="610"/>
      <c r="C12" s="168"/>
      <c r="D12" s="168"/>
      <c r="E12" s="168"/>
      <c r="F12" s="168"/>
      <c r="G12" s="168"/>
      <c r="H12" s="168"/>
      <c r="I12" s="168"/>
      <c r="J12" s="168"/>
      <c r="K12" s="168"/>
      <c r="L12" s="168"/>
      <c r="M12" s="168"/>
      <c r="N12" s="168"/>
      <c r="O12" s="168"/>
    </row>
    <row r="13" spans="1:31" s="166" customFormat="1" ht="20.100000000000001" customHeight="1" x14ac:dyDescent="0.25">
      <c r="A13" s="648"/>
      <c r="B13" s="648"/>
      <c r="C13" s="648"/>
      <c r="D13" s="648"/>
      <c r="E13" s="648"/>
      <c r="F13" s="648"/>
      <c r="G13" s="648"/>
      <c r="H13" s="648"/>
      <c r="I13" s="648"/>
      <c r="J13" s="1182" t="s">
        <v>1936</v>
      </c>
      <c r="K13" s="1182"/>
      <c r="L13" s="1182"/>
      <c r="M13" s="1182"/>
      <c r="N13" s="1182"/>
      <c r="O13" s="1182"/>
    </row>
    <row r="14" spans="1:31" s="68" customFormat="1" ht="35.1" customHeight="1" thickBot="1" x14ac:dyDescent="0.3">
      <c r="A14" s="120">
        <v>4</v>
      </c>
      <c r="B14" s="1180" t="s">
        <v>2316</v>
      </c>
      <c r="C14" s="1180"/>
      <c r="D14" s="1180"/>
      <c r="E14" s="1180"/>
      <c r="F14" s="1180"/>
      <c r="G14" s="1180"/>
      <c r="H14" s="1180"/>
      <c r="J14" s="667">
        <f>A101</f>
        <v>0</v>
      </c>
      <c r="K14" s="667">
        <f>A102</f>
        <v>0</v>
      </c>
      <c r="L14" s="667">
        <f>A103</f>
        <v>0</v>
      </c>
      <c r="M14" s="667">
        <f>A104</f>
        <v>0</v>
      </c>
      <c r="N14" s="667">
        <f>A105</f>
        <v>0</v>
      </c>
      <c r="O14" s="667">
        <f>A106</f>
        <v>0</v>
      </c>
      <c r="P14" s="651"/>
      <c r="Q14" s="651"/>
      <c r="R14" s="651"/>
      <c r="S14" s="651"/>
      <c r="T14" s="651"/>
      <c r="AA14" s="68" t="s">
        <v>2331</v>
      </c>
    </row>
    <row r="15" spans="1:31" s="68" customFormat="1" ht="20.100000000000001" customHeight="1" thickBot="1" x14ac:dyDescent="0.3">
      <c r="A15" s="120"/>
      <c r="B15" s="668" t="s">
        <v>2328</v>
      </c>
      <c r="C15" s="1180" t="s">
        <v>2312</v>
      </c>
      <c r="D15" s="1180"/>
      <c r="E15" s="1180"/>
      <c r="F15" s="1180"/>
      <c r="G15" s="1180"/>
      <c r="H15" s="1180"/>
      <c r="I15" s="1181"/>
      <c r="J15" s="672"/>
      <c r="K15" s="672"/>
      <c r="L15" s="672"/>
      <c r="M15" s="672"/>
      <c r="N15" s="672"/>
      <c r="O15" s="672"/>
      <c r="P15" s="666" t="str">
        <f t="array" ref="P15">IF(J14=0,"",IF(AND(NOT(J14:O14=0)),SUM(J15:O15),IF(AND(NOT(J14:N14=0)),SUM(J15:N15),IF(AND(NOT(J14:M14=0)),SUM(J15:M15),IF(AND(NOT(J14:L14=0)),SUM(J15:L15),IF(AND(NOT(J14:K14=0)),SUM(J15:K15),IF(NOT(J14=0),J15,0)))))))</f>
        <v/>
      </c>
      <c r="Q15" s="671" t="str">
        <f t="array" ref="Q15">IF(P15&lt;1,$AA$15,IF(P15&gt;1,$AE$15,IF(P15=1,IF(AND(NOT(J14:O14=0),OR(ISBLANK(J15:O15))),$AA$14,IF(AND(NOT(J14:N14=0),OR(ISBLANK(J15:N15))),$AA$14,IF(AND(NOT(J14:M14=0),OR(ISBLANK(J15:M15))),$AA$14,IF(AND(NOT(J14:L14=0),OR(ISBLANK(J15:L15))),$AA$14,IF(AND(NOT(J14:K14=0),OR(ISBLANK(J15:K15))),$AA$14,IF(AND(NOT(J14=0),ISBLANK(J15)),$AA$14,"")))))))))</f>
        <v>Total percentage is greater than 100%</v>
      </c>
      <c r="R15" s="651"/>
      <c r="S15" s="651"/>
      <c r="T15" s="651"/>
      <c r="U15" s="651"/>
      <c r="V15" s="651"/>
      <c r="W15" s="651"/>
      <c r="X15" s="651"/>
      <c r="AA15" s="68" t="s">
        <v>2329</v>
      </c>
      <c r="AE15" s="68" t="s">
        <v>2330</v>
      </c>
    </row>
    <row r="16" spans="1:31" s="68" customFormat="1" ht="30" customHeight="1" thickBot="1" x14ac:dyDescent="0.3">
      <c r="A16" s="120"/>
      <c r="B16" s="668" t="str">
        <f>IF($A$106=0,"","===&gt;")</f>
        <v/>
      </c>
      <c r="C16" s="1180" t="s">
        <v>2305</v>
      </c>
      <c r="D16" s="1180"/>
      <c r="E16" s="1180"/>
      <c r="F16" s="1180"/>
      <c r="G16" s="1180"/>
      <c r="H16" s="1180"/>
      <c r="I16" s="1181"/>
      <c r="J16" s="663"/>
      <c r="K16" s="663"/>
      <c r="L16" s="663"/>
      <c r="M16" s="663"/>
      <c r="N16" s="663"/>
      <c r="O16" s="663"/>
    </row>
    <row r="17" spans="1:42" s="68" customFormat="1" ht="30" customHeight="1" thickBot="1" x14ac:dyDescent="0.3">
      <c r="A17" s="120"/>
      <c r="B17" s="668" t="s">
        <v>2328</v>
      </c>
      <c r="C17" s="1180" t="s">
        <v>2306</v>
      </c>
      <c r="D17" s="1180"/>
      <c r="E17" s="1180"/>
      <c r="F17" s="1180"/>
      <c r="G17" s="1180"/>
      <c r="H17" s="1180"/>
      <c r="I17" s="1181"/>
      <c r="J17" s="611"/>
      <c r="K17" s="611"/>
      <c r="L17" s="611"/>
      <c r="M17" s="611"/>
      <c r="N17" s="611"/>
      <c r="O17" s="611"/>
    </row>
    <row r="18" spans="1:42" s="68" customFormat="1" ht="20.100000000000001" customHeight="1" thickBot="1" x14ac:dyDescent="0.3">
      <c r="A18" s="120"/>
      <c r="B18" s="668" t="s">
        <v>2328</v>
      </c>
      <c r="C18" s="1180" t="s">
        <v>2104</v>
      </c>
      <c r="D18" s="1180"/>
      <c r="E18" s="1180"/>
      <c r="F18" s="1180"/>
      <c r="G18" s="1180"/>
      <c r="H18" s="1180"/>
      <c r="I18" s="1181"/>
      <c r="J18" s="615"/>
      <c r="K18" s="1183" t="s">
        <v>2111</v>
      </c>
      <c r="L18" s="1184"/>
      <c r="M18" s="1184"/>
      <c r="N18" s="1184"/>
      <c r="O18" s="1184"/>
    </row>
    <row r="19" spans="1:42" s="68" customFormat="1" ht="20.100000000000001" customHeight="1" thickBot="1" x14ac:dyDescent="0.3">
      <c r="A19" s="120"/>
      <c r="B19" s="668" t="s">
        <v>2328</v>
      </c>
      <c r="C19" s="1180" t="s">
        <v>2105</v>
      </c>
      <c r="D19" s="1180"/>
      <c r="E19" s="1180"/>
      <c r="F19" s="1180"/>
      <c r="G19" s="1180"/>
      <c r="H19" s="1180"/>
      <c r="I19" s="1181"/>
      <c r="J19" s="615"/>
      <c r="K19" s="1185"/>
      <c r="L19" s="1186"/>
      <c r="M19" s="1186"/>
      <c r="N19" s="1186"/>
      <c r="O19" s="1186"/>
    </row>
    <row r="20" spans="1:42" s="68" customFormat="1" ht="8.1" customHeight="1" x14ac:dyDescent="0.25">
      <c r="A20" s="78"/>
      <c r="B20" s="78"/>
      <c r="C20" s="78"/>
      <c r="D20" s="78"/>
      <c r="E20" s="78"/>
      <c r="F20" s="78"/>
      <c r="G20" s="78"/>
      <c r="H20" s="78"/>
      <c r="I20" s="78"/>
      <c r="J20" s="78"/>
      <c r="K20" s="78"/>
      <c r="L20" s="78"/>
      <c r="M20" s="78"/>
    </row>
    <row r="21" spans="1:42" s="166" customFormat="1" ht="20.100000000000001" customHeight="1" x14ac:dyDescent="0.25">
      <c r="A21" s="648"/>
      <c r="B21" s="648"/>
      <c r="C21" s="648"/>
      <c r="D21" s="648"/>
      <c r="E21" s="648"/>
      <c r="F21" s="648"/>
      <c r="G21" s="648"/>
      <c r="H21" s="648"/>
      <c r="I21" s="648"/>
      <c r="J21" s="1182" t="s">
        <v>1937</v>
      </c>
      <c r="K21" s="1182"/>
      <c r="L21" s="1182"/>
      <c r="M21" s="1182"/>
      <c r="N21" s="1182"/>
      <c r="O21" s="1182"/>
    </row>
    <row r="22" spans="1:42" s="68" customFormat="1" ht="35.1" customHeight="1" thickBot="1" x14ac:dyDescent="0.3">
      <c r="A22" s="120">
        <v>5</v>
      </c>
      <c r="B22" s="1180" t="s">
        <v>2319</v>
      </c>
      <c r="C22" s="1180"/>
      <c r="D22" s="1180"/>
      <c r="E22" s="1180"/>
      <c r="F22" s="1180"/>
      <c r="G22" s="1180"/>
      <c r="H22" s="1180"/>
      <c r="J22" s="667">
        <f>A108</f>
        <v>0</v>
      </c>
      <c r="K22" s="667">
        <f>A109</f>
        <v>0</v>
      </c>
      <c r="L22" s="667">
        <f>A110</f>
        <v>0</v>
      </c>
      <c r="M22" s="667">
        <f>A111</f>
        <v>0</v>
      </c>
      <c r="N22" s="667">
        <f>A112</f>
        <v>0</v>
      </c>
      <c r="O22" s="667">
        <f>A113</f>
        <v>0</v>
      </c>
      <c r="P22" s="651"/>
      <c r="Q22" s="651"/>
      <c r="R22" s="651"/>
      <c r="S22" s="651"/>
      <c r="T22" s="651"/>
    </row>
    <row r="23" spans="1:42" s="68" customFormat="1" ht="20.100000000000001" customHeight="1" thickBot="1" x14ac:dyDescent="0.3">
      <c r="A23" s="120"/>
      <c r="B23" s="668" t="s">
        <v>2328</v>
      </c>
      <c r="C23" s="1180" t="s">
        <v>2318</v>
      </c>
      <c r="D23" s="1180"/>
      <c r="E23" s="1180"/>
      <c r="F23" s="1180"/>
      <c r="G23" s="1180"/>
      <c r="H23" s="1180"/>
      <c r="I23" s="1181"/>
      <c r="J23" s="672"/>
      <c r="K23" s="672"/>
      <c r="L23" s="672"/>
      <c r="M23" s="672"/>
      <c r="N23" s="672"/>
      <c r="O23" s="672"/>
      <c r="P23" s="666" t="str">
        <f t="array" ref="P23">IF(J22=0,"",IF(AND(NOT(J22:O22=0)),SUM(J23:O23),IF(AND(NOT(J22:N22=0)),SUM(J23:N23),IF(AND(NOT(J22:M22=0)),SUM(J23:M23),IF(AND(NOT(J22:L22=0)),SUM(J23:L23),IF(AND(NOT(J22:K22=0)),SUM(J23:K23),IF(NOT(J22=0),J23,0)))))))</f>
        <v/>
      </c>
      <c r="Q23" s="671" t="str">
        <f t="array" ref="Q23">IF(P23&lt;1,$AA$15,IF(P23&gt;1,$AE$15,IF(P23=1,IF(AND(NOT(J22:O22=0),OR(ISBLANK(J23:O23))),$AA$14,IF(AND(NOT(J22:N22=0),OR(ISBLANK(J23:N23))),$AA$14,IF(AND(NOT(J22:M22=0),OR(ISBLANK(J23:M23))),$AA$14,IF(AND(NOT(J22:L22=0),OR(ISBLANK(J23:L23))),$AA$14,IF(AND(NOT(J22:K22=0),OR(ISBLANK(J23:K23))),$AA$14,IF(AND(NOT(J22=0),ISBLANK(J23)),$AA$14,"")))))))))</f>
        <v>Total percentage is greater than 100%</v>
      </c>
      <c r="R23" s="651"/>
      <c r="S23" s="651"/>
      <c r="T23" s="651"/>
    </row>
    <row r="24" spans="1:42" s="68" customFormat="1" ht="8.1" customHeight="1" x14ac:dyDescent="0.25">
      <c r="A24" s="78"/>
      <c r="B24" s="78"/>
      <c r="C24" s="78"/>
      <c r="D24" s="78"/>
      <c r="E24" s="78"/>
      <c r="F24" s="78"/>
      <c r="G24" s="78"/>
      <c r="H24" s="78"/>
      <c r="I24" s="78"/>
      <c r="J24" s="78"/>
      <c r="K24" s="78"/>
      <c r="L24" s="78"/>
      <c r="M24" s="78"/>
    </row>
    <row r="25" spans="1:42" s="166" customFormat="1" ht="20.100000000000001" customHeight="1" x14ac:dyDescent="0.25">
      <c r="A25" s="648"/>
      <c r="B25" s="648"/>
      <c r="C25" s="648"/>
      <c r="D25" s="648"/>
      <c r="E25" s="648"/>
      <c r="F25" s="648"/>
      <c r="G25" s="648"/>
      <c r="H25" s="648"/>
      <c r="I25" s="648"/>
      <c r="J25" s="1182" t="s">
        <v>1938</v>
      </c>
      <c r="K25" s="1182"/>
      <c r="L25" s="1182"/>
      <c r="M25" s="1182"/>
      <c r="N25" s="1182"/>
      <c r="O25" s="1182"/>
    </row>
    <row r="26" spans="1:42" s="164" customFormat="1" ht="35.1" customHeight="1" thickBot="1" x14ac:dyDescent="0.3">
      <c r="A26" s="120">
        <v>6</v>
      </c>
      <c r="B26" s="1180" t="s">
        <v>2317</v>
      </c>
      <c r="C26" s="1180"/>
      <c r="D26" s="1180"/>
      <c r="E26" s="1180"/>
      <c r="F26" s="1180"/>
      <c r="G26" s="1180"/>
      <c r="H26" s="1180"/>
      <c r="I26" s="68"/>
      <c r="J26" s="667">
        <f>A115</f>
        <v>0</v>
      </c>
      <c r="K26" s="667">
        <f>A116</f>
        <v>0</v>
      </c>
      <c r="L26" s="667">
        <f>A117</f>
        <v>0</v>
      </c>
      <c r="M26" s="667">
        <f>A118</f>
        <v>0</v>
      </c>
      <c r="N26" s="667">
        <f>A119</f>
        <v>0</v>
      </c>
      <c r="O26" s="667">
        <f>A120</f>
        <v>0</v>
      </c>
      <c r="P26" s="651"/>
      <c r="Q26" s="651"/>
      <c r="R26" s="651"/>
      <c r="S26" s="651"/>
      <c r="T26" s="651"/>
      <c r="U26" s="68"/>
      <c r="V26" s="68"/>
      <c r="W26" s="68"/>
      <c r="X26" s="68"/>
      <c r="Y26" s="68"/>
      <c r="Z26" s="68"/>
      <c r="AA26" s="68"/>
      <c r="AB26" s="68"/>
      <c r="AC26" s="68"/>
      <c r="AD26" s="68"/>
      <c r="AE26" s="68"/>
      <c r="AF26" s="68"/>
      <c r="AG26" s="68"/>
      <c r="AH26" s="68"/>
      <c r="AI26" s="68"/>
      <c r="AJ26" s="68"/>
      <c r="AK26" s="68"/>
      <c r="AL26" s="68"/>
      <c r="AM26" s="68"/>
      <c r="AN26" s="68"/>
      <c r="AO26" s="68"/>
      <c r="AP26" s="68"/>
    </row>
    <row r="27" spans="1:42" s="68" customFormat="1" ht="20.100000000000001" customHeight="1" thickBot="1" x14ac:dyDescent="0.3">
      <c r="A27" s="120"/>
      <c r="B27" s="668" t="s">
        <v>2328</v>
      </c>
      <c r="C27" s="1180" t="s">
        <v>2312</v>
      </c>
      <c r="D27" s="1180"/>
      <c r="E27" s="1180"/>
      <c r="F27" s="1180"/>
      <c r="G27" s="1180"/>
      <c r="H27" s="1180"/>
      <c r="I27" s="1181"/>
      <c r="J27" s="672"/>
      <c r="K27" s="672"/>
      <c r="L27" s="672"/>
      <c r="M27" s="672"/>
      <c r="N27" s="672"/>
      <c r="O27" s="672"/>
      <c r="P27" s="666" t="str">
        <f t="array" ref="P27">IF(J26=0,"",IF(AND(NOT(J26:O26=0)),SUM(J27:O27),IF(AND(NOT(J26:N26=0)),SUM(J27:N27),IF(AND(NOT(J26:M26=0)),SUM(J27:M27),IF(AND(NOT(J26:L26=0)),SUM(J27:L27),IF(AND(NOT(J26:K26=0)),SUM(J27:K27),IF(NOT(J26=0),J27,0)))))))</f>
        <v/>
      </c>
      <c r="Q27" s="671" t="str">
        <f t="array" ref="Q27">IF(P27&lt;1,$AA$15,IF(P27&gt;1,$AE$15,IF(P27=1,IF(AND(NOT(J26:O26=0),OR(ISBLANK(J27:O27))),$AA$14,IF(AND(NOT(J26:N26=0),OR(ISBLANK(J27:N27))),$AA$14,IF(AND(NOT(J26:M26=0),OR(ISBLANK(J27:M27))),$AA$14,IF(AND(NOT(J26:L26=0),OR(ISBLANK(J27:L27))),$AA$14,IF(AND(NOT(J26:K26=0),OR(ISBLANK(J27:K27))),$AA$14,IF(AND(NOT(J26=0),ISBLANK(J27)),$AA$14,"")))))))))</f>
        <v>Total percentage is greater than 100%</v>
      </c>
      <c r="R27" s="651"/>
      <c r="S27" s="651"/>
      <c r="T27" s="651"/>
    </row>
    <row r="28" spans="1:42" s="68" customFormat="1" ht="30" customHeight="1" thickBot="1" x14ac:dyDescent="0.3">
      <c r="A28" s="120"/>
      <c r="B28" s="668" t="str">
        <f>IF($A$107=0,"","===&gt;")</f>
        <v>===&gt;</v>
      </c>
      <c r="C28" s="1180" t="s">
        <v>2307</v>
      </c>
      <c r="D28" s="1180"/>
      <c r="E28" s="1180"/>
      <c r="F28" s="1180"/>
      <c r="G28" s="1180"/>
      <c r="H28" s="1180"/>
      <c r="I28" s="1181"/>
      <c r="J28" s="611"/>
      <c r="K28" s="611"/>
      <c r="L28" s="611"/>
      <c r="M28" s="611"/>
      <c r="N28" s="611"/>
      <c r="O28" s="611"/>
    </row>
    <row r="29" spans="1:42" s="68" customFormat="1" ht="30" customHeight="1" thickBot="1" x14ac:dyDescent="0.3">
      <c r="A29" s="120"/>
      <c r="B29" s="668" t="s">
        <v>2328</v>
      </c>
      <c r="C29" s="1180" t="s">
        <v>2308</v>
      </c>
      <c r="D29" s="1180"/>
      <c r="E29" s="1180"/>
      <c r="F29" s="1180"/>
      <c r="G29" s="1180"/>
      <c r="H29" s="1180"/>
      <c r="I29" s="1181"/>
      <c r="J29" s="611"/>
      <c r="K29" s="611"/>
      <c r="L29" s="611"/>
      <c r="M29" s="611"/>
      <c r="N29" s="611"/>
      <c r="O29" s="611"/>
    </row>
    <row r="30" spans="1:42" s="68" customFormat="1" ht="20.100000000000001" customHeight="1" thickBot="1" x14ac:dyDescent="0.3">
      <c r="A30" s="120"/>
      <c r="B30" s="668" t="s">
        <v>2328</v>
      </c>
      <c r="C30" s="1180" t="s">
        <v>2106</v>
      </c>
      <c r="D30" s="1180"/>
      <c r="E30" s="1180"/>
      <c r="F30" s="1180"/>
      <c r="G30" s="1180"/>
      <c r="H30" s="1180"/>
      <c r="I30" s="1181"/>
      <c r="J30" s="615"/>
      <c r="K30" s="1183" t="s">
        <v>2111</v>
      </c>
      <c r="L30" s="1184"/>
      <c r="M30" s="1184"/>
      <c r="N30" s="1184"/>
      <c r="O30" s="1184"/>
    </row>
    <row r="31" spans="1:42" s="68" customFormat="1" ht="20.100000000000001" customHeight="1" thickBot="1" x14ac:dyDescent="0.3">
      <c r="A31" s="120"/>
      <c r="B31" s="668" t="s">
        <v>2328</v>
      </c>
      <c r="C31" s="1180" t="s">
        <v>2107</v>
      </c>
      <c r="D31" s="1180"/>
      <c r="E31" s="1180"/>
      <c r="F31" s="1180"/>
      <c r="G31" s="1180"/>
      <c r="H31" s="1180"/>
      <c r="I31" s="1181"/>
      <c r="J31" s="615"/>
      <c r="K31" s="1185"/>
      <c r="L31" s="1186"/>
      <c r="M31" s="1186"/>
      <c r="N31" s="1186"/>
      <c r="O31" s="1186"/>
    </row>
    <row r="32" spans="1:42" s="68" customFormat="1" ht="8.1" customHeight="1" x14ac:dyDescent="0.25">
      <c r="A32" s="78"/>
      <c r="B32" s="78"/>
      <c r="C32" s="78"/>
      <c r="D32" s="78"/>
      <c r="E32" s="78"/>
      <c r="F32" s="78"/>
      <c r="G32" s="78"/>
      <c r="H32" s="78"/>
      <c r="I32" s="78"/>
      <c r="J32" s="78"/>
      <c r="K32" s="78"/>
      <c r="L32" s="78"/>
      <c r="M32" s="78"/>
    </row>
    <row r="33" spans="1:20" s="166" customFormat="1" ht="8.1" customHeight="1" x14ac:dyDescent="0.25">
      <c r="A33" s="648"/>
      <c r="B33" s="648"/>
      <c r="C33" s="648"/>
      <c r="D33" s="648"/>
      <c r="E33" s="648"/>
      <c r="F33" s="648"/>
      <c r="G33" s="648"/>
      <c r="H33" s="648"/>
      <c r="I33" s="648"/>
      <c r="J33" s="648"/>
      <c r="K33" s="648"/>
      <c r="L33" s="648"/>
      <c r="M33" s="648"/>
    </row>
    <row r="34" spans="1:20" s="68" customFormat="1" ht="35.1" customHeight="1" thickBot="1" x14ac:dyDescent="0.3">
      <c r="A34" s="120">
        <v>7</v>
      </c>
      <c r="B34" s="1180" t="s">
        <v>2320</v>
      </c>
      <c r="C34" s="1180"/>
      <c r="D34" s="1180"/>
      <c r="E34" s="1180"/>
      <c r="F34" s="1180"/>
      <c r="G34" s="1180"/>
      <c r="H34" s="1180"/>
      <c r="J34" s="667">
        <f>IF(L34=0,0,"")</f>
        <v>0</v>
      </c>
      <c r="K34" s="667">
        <f>IF(L34=0,0,"")</f>
        <v>0</v>
      </c>
      <c r="L34" s="667">
        <f>A127</f>
        <v>0</v>
      </c>
      <c r="M34" s="667">
        <f>A128</f>
        <v>0</v>
      </c>
      <c r="N34" s="667">
        <f>A129</f>
        <v>0</v>
      </c>
      <c r="O34" s="667">
        <f>A130</f>
        <v>0</v>
      </c>
      <c r="P34" s="1180"/>
      <c r="Q34" s="1180"/>
      <c r="R34" s="1180"/>
      <c r="S34" s="1180"/>
      <c r="T34" s="1180"/>
    </row>
    <row r="35" spans="1:20" s="68" customFormat="1" ht="15.95" customHeight="1" thickBot="1" x14ac:dyDescent="0.3">
      <c r="A35" s="120"/>
      <c r="B35" s="668" t="s">
        <v>2328</v>
      </c>
      <c r="C35" s="1180" t="s">
        <v>2327</v>
      </c>
      <c r="D35" s="1180"/>
      <c r="E35" s="1180"/>
      <c r="F35" s="1180"/>
      <c r="G35" s="1180"/>
      <c r="H35" s="1180"/>
      <c r="I35" s="1181"/>
      <c r="J35" s="672"/>
      <c r="K35" s="670">
        <v>1</v>
      </c>
      <c r="L35" s="672"/>
      <c r="M35" s="672"/>
      <c r="N35" s="672"/>
      <c r="O35" s="672"/>
      <c r="P35" s="666" t="str">
        <f t="array" ref="P35">IF(L34=0,"",IF(AND(M34:O34=0),K35,IF(AND(NOT(L34:O34=0)),SUM(L35:O35),IF(AND(NOT(L34:N34=0)),SUM(L35:N35),IF(AND(NOT(L34:M34=0)),SUM(L35:M35),0)))))</f>
        <v/>
      </c>
      <c r="Q35" s="671" t="str">
        <f t="array" ref="Q35">IF(P35&lt;1,$AA$15,IF(P35&gt;1,$AE$15,IF(P35=1,IF(AND(NOT(L34:O34=0),OR(ISBLANK(L35:O35))),$AA$14,IF(AND(NOT(L34:N34=0),OR(ISBLANK(L35:N35))),$AA$14,IF(AND(NOT(L34:M34=0),OR(ISBLANK(L35:M35))),$AA$14,IF(AND(NOT(L34=0),ISBLANK(L35)),$AA$14,"")))))))</f>
        <v>Total percentage is greater than 100%</v>
      </c>
      <c r="R35" s="651"/>
      <c r="S35" s="651"/>
      <c r="T35" s="651"/>
    </row>
    <row r="36" spans="1:20" s="164" customFormat="1" ht="6" customHeight="1" x14ac:dyDescent="0.25">
      <c r="A36" s="165"/>
      <c r="B36" s="610"/>
      <c r="C36" s="168"/>
      <c r="D36" s="168"/>
      <c r="E36" s="168"/>
      <c r="F36" s="168"/>
      <c r="G36" s="168"/>
      <c r="H36" s="168"/>
      <c r="I36" s="168"/>
      <c r="J36" s="168"/>
      <c r="K36" s="168"/>
      <c r="L36" s="168"/>
      <c r="M36" s="168"/>
      <c r="N36" s="168"/>
      <c r="O36" s="168"/>
    </row>
    <row r="37" spans="1:20" s="166" customFormat="1" ht="8.1" customHeight="1" x14ac:dyDescent="0.25">
      <c r="A37" s="648"/>
      <c r="B37" s="648"/>
      <c r="C37" s="648"/>
      <c r="D37" s="648"/>
      <c r="E37" s="648"/>
      <c r="F37" s="648"/>
      <c r="G37" s="648"/>
      <c r="H37" s="648"/>
      <c r="I37" s="648"/>
      <c r="J37" s="648"/>
      <c r="K37" s="648"/>
      <c r="L37" s="648"/>
      <c r="M37" s="648"/>
    </row>
    <row r="38" spans="1:20" s="64" customFormat="1" ht="20.100000000000001" customHeight="1" thickBot="1" x14ac:dyDescent="0.3">
      <c r="A38" s="254"/>
      <c r="B38" s="254"/>
      <c r="C38" s="254"/>
      <c r="D38" s="254"/>
      <c r="E38" s="254"/>
      <c r="F38" s="254"/>
      <c r="G38" s="254"/>
      <c r="H38" s="254"/>
      <c r="I38" s="254"/>
      <c r="J38" s="254">
        <f>IF(L38=0,0,"")</f>
        <v>0</v>
      </c>
      <c r="K38" s="254"/>
      <c r="L38" s="667">
        <f>A132</f>
        <v>0</v>
      </c>
      <c r="M38" s="667">
        <f>A134</f>
        <v>0</v>
      </c>
      <c r="N38" s="667">
        <f>A136</f>
        <v>0</v>
      </c>
      <c r="O38" s="667">
        <f>A138</f>
        <v>0</v>
      </c>
    </row>
    <row r="39" spans="1:20" s="68" customFormat="1" ht="15.95" customHeight="1" thickBot="1" x14ac:dyDescent="0.3">
      <c r="A39" s="120"/>
      <c r="B39" s="668" t="s">
        <v>2328</v>
      </c>
      <c r="C39" s="1180" t="s">
        <v>2326</v>
      </c>
      <c r="D39" s="1180"/>
      <c r="E39" s="1180"/>
      <c r="F39" s="1180"/>
      <c r="G39" s="1180"/>
      <c r="H39" s="1180"/>
      <c r="I39" s="1181"/>
      <c r="J39" s="672"/>
      <c r="K39" s="670">
        <v>1</v>
      </c>
      <c r="L39" s="672"/>
      <c r="M39" s="672"/>
      <c r="N39" s="672"/>
      <c r="O39" s="672"/>
      <c r="P39" s="666" t="str">
        <f t="array" ref="P39">IF(L38=0,"",IF(AND(M38:O38=0),K39,IF(AND(NOT(L38:O38=0)),SUM(L39:O39),IF(AND(NOT(L38:N38=0)),SUM(L39:N39),IF(AND(NOT(L38:M38=0)),SUM(L39:M39),0)))))</f>
        <v/>
      </c>
      <c r="Q39" s="671" t="str">
        <f t="array" ref="Q39">IF(P39&lt;1,$AA$15,IF(P39&gt;1,$AE$15,IF(P39=1,IF(AND(NOT(L38:O38=0),OR(ISBLANK(L39:O39))),$AA$14,IF(AND(NOT(L38:N38=0),OR(ISBLANK(L39:N39))),$AA$14,IF(AND(NOT(L38:M38=0),OR(ISBLANK(L39:M39))),$AA$14,IF(AND(NOT(L38=0),ISBLANK(L39)),$AA$14,"")))))))</f>
        <v>Total percentage is greater than 100%</v>
      </c>
      <c r="R39" s="651"/>
      <c r="S39" s="651"/>
      <c r="T39" s="651"/>
    </row>
    <row r="40" spans="1:20" s="164" customFormat="1" ht="6" customHeight="1" x14ac:dyDescent="0.25">
      <c r="A40" s="165"/>
      <c r="B40" s="610"/>
      <c r="C40" s="168"/>
      <c r="D40" s="168"/>
      <c r="E40" s="168"/>
      <c r="F40" s="168"/>
      <c r="G40" s="168"/>
      <c r="H40" s="168"/>
      <c r="I40" s="168"/>
      <c r="J40" s="168"/>
      <c r="K40" s="168"/>
      <c r="L40" s="168"/>
      <c r="M40" s="168"/>
      <c r="N40" s="168"/>
      <c r="O40" s="168"/>
    </row>
    <row r="41" spans="1:20" s="166" customFormat="1" ht="8.1" customHeight="1" x14ac:dyDescent="0.25">
      <c r="A41" s="648"/>
      <c r="B41" s="648"/>
      <c r="C41" s="648"/>
      <c r="D41" s="648"/>
      <c r="E41" s="648"/>
      <c r="F41" s="648"/>
      <c r="G41" s="648"/>
      <c r="H41" s="648"/>
      <c r="I41" s="648"/>
      <c r="J41" s="648"/>
      <c r="K41" s="648"/>
      <c r="L41" s="648"/>
      <c r="M41" s="648"/>
    </row>
    <row r="42" spans="1:20" s="64" customFormat="1" ht="20.100000000000001" customHeight="1" thickBot="1" x14ac:dyDescent="0.3">
      <c r="A42" s="254"/>
      <c r="B42" s="254"/>
      <c r="C42" s="254"/>
      <c r="D42" s="254"/>
      <c r="E42" s="254"/>
      <c r="F42" s="254"/>
      <c r="G42" s="254"/>
      <c r="H42" s="254"/>
      <c r="I42" s="254"/>
      <c r="J42" s="254">
        <f>IF(L42=0,0,"")</f>
        <v>0</v>
      </c>
      <c r="K42" s="254"/>
      <c r="L42" s="667">
        <f>A141</f>
        <v>0</v>
      </c>
      <c r="M42" s="667">
        <f>A142</f>
        <v>0</v>
      </c>
      <c r="N42" s="667">
        <f>A143</f>
        <v>0</v>
      </c>
      <c r="O42" s="667">
        <f>A144</f>
        <v>0</v>
      </c>
    </row>
    <row r="43" spans="1:20" s="68" customFormat="1" ht="15.95" customHeight="1" thickBot="1" x14ac:dyDescent="0.3">
      <c r="A43" s="120"/>
      <c r="B43" s="668" t="s">
        <v>2328</v>
      </c>
      <c r="C43" s="1180" t="s">
        <v>2325</v>
      </c>
      <c r="D43" s="1180"/>
      <c r="E43" s="1180"/>
      <c r="F43" s="1180"/>
      <c r="G43" s="1180"/>
      <c r="H43" s="1180"/>
      <c r="I43" s="1181"/>
      <c r="J43" s="672"/>
      <c r="K43" s="670">
        <v>1</v>
      </c>
      <c r="L43" s="672"/>
      <c r="M43" s="672"/>
      <c r="N43" s="672"/>
      <c r="O43" s="672"/>
      <c r="P43" s="666" t="str">
        <f t="array" ref="P43">IF(L42=0,"",IF(AND(M42:O42=0),K43,IF(AND(NOT(L42:O42=0)),SUM(L43:O43),IF(AND(NOT(L42:N42=0)),SUM(L43:N43),IF(AND(NOT(L42:M42=0)),SUM(L43:M43),0)))))</f>
        <v/>
      </c>
      <c r="Q43" s="671" t="str">
        <f t="array" ref="Q43">IF(P43&lt;1,$AA$15,IF(P43&gt;1,$AE$15,IF(P43=1,IF(AND(NOT(L42:O42=0),OR(ISBLANK(L43:O43))),$AA$14,IF(AND(NOT(L42:N42=0),OR(ISBLANK(L43:N43))),$AA$14,IF(AND(NOT(L42:M42=0),OR(ISBLANK(L43:M43))),$AA$14,IF(AND(NOT(L42=0),ISBLANK(L43)),$AA$14,"")))))))</f>
        <v>Total percentage is greater than 100%</v>
      </c>
      <c r="R43" s="651"/>
      <c r="S43" s="651"/>
      <c r="T43" s="651"/>
    </row>
    <row r="44" spans="1:20" s="164" customFormat="1" ht="6" customHeight="1" x14ac:dyDescent="0.25">
      <c r="A44" s="165"/>
      <c r="B44" s="610"/>
      <c r="C44" s="168"/>
      <c r="D44" s="168"/>
      <c r="E44" s="168"/>
      <c r="F44" s="168"/>
      <c r="G44" s="168"/>
      <c r="H44" s="168"/>
      <c r="I44" s="168"/>
      <c r="J44" s="168"/>
      <c r="K44" s="168"/>
      <c r="L44" s="168"/>
      <c r="M44" s="168"/>
      <c r="N44" s="168"/>
      <c r="O44" s="168"/>
    </row>
    <row r="45" spans="1:20" s="166" customFormat="1" ht="8.1" customHeight="1" x14ac:dyDescent="0.25">
      <c r="A45" s="648"/>
      <c r="B45" s="648"/>
      <c r="C45" s="648"/>
      <c r="D45" s="648"/>
      <c r="E45" s="648"/>
      <c r="F45" s="648"/>
      <c r="G45" s="648"/>
      <c r="H45" s="648"/>
      <c r="I45" s="648"/>
      <c r="J45" s="648"/>
      <c r="K45" s="648"/>
      <c r="L45" s="648"/>
      <c r="M45" s="648"/>
    </row>
    <row r="46" spans="1:20" s="64" customFormat="1" ht="20.100000000000001" customHeight="1" thickBot="1" x14ac:dyDescent="0.3">
      <c r="A46" s="254"/>
      <c r="B46" s="254"/>
      <c r="C46" s="254"/>
      <c r="D46" s="254"/>
      <c r="E46" s="254"/>
      <c r="F46" s="254"/>
      <c r="G46" s="254"/>
      <c r="H46" s="254"/>
      <c r="I46" s="254"/>
      <c r="J46" s="254">
        <f>IF(L46=0,0,"")</f>
        <v>0</v>
      </c>
      <c r="K46" s="254"/>
      <c r="L46" s="667">
        <f>A146</f>
        <v>0</v>
      </c>
      <c r="M46" s="667">
        <f>A147</f>
        <v>0</v>
      </c>
      <c r="N46" s="667">
        <f>A148</f>
        <v>0</v>
      </c>
      <c r="O46" s="667">
        <f>A149</f>
        <v>0</v>
      </c>
    </row>
    <row r="47" spans="1:20" s="68" customFormat="1" ht="15.95" customHeight="1" thickBot="1" x14ac:dyDescent="0.3">
      <c r="A47" s="120"/>
      <c r="B47" s="668" t="s">
        <v>2328</v>
      </c>
      <c r="C47" s="1180" t="s">
        <v>2324</v>
      </c>
      <c r="D47" s="1180"/>
      <c r="E47" s="1180"/>
      <c r="F47" s="1180"/>
      <c r="G47" s="1180"/>
      <c r="H47" s="1180"/>
      <c r="I47" s="1181"/>
      <c r="J47" s="672"/>
      <c r="K47" s="670">
        <v>1</v>
      </c>
      <c r="L47" s="672"/>
      <c r="M47" s="672"/>
      <c r="N47" s="672"/>
      <c r="O47" s="672"/>
      <c r="P47" s="666" t="str">
        <f t="array" ref="P47">IF(L46=0,"",IF(AND(M46:O46=0),K47,IF(AND(NOT(L46:O46=0)),SUM(L47:O47),IF(AND(NOT(L46:N46=0)),SUM(L47:N47),IF(AND(NOT(L46:M46=0)),SUM(L47:M47),0)))))</f>
        <v/>
      </c>
      <c r="Q47" s="671" t="str">
        <f t="array" ref="Q47">IF(P47&lt;1,$AA$15,IF(P47&gt;1,$AE$15,IF(P47=1,IF(AND(NOT(L46:O46=0),OR(ISBLANK(L47:O47))),$AA$14,IF(AND(NOT(L46:N46=0),OR(ISBLANK(L47:N47))),$AA$14,IF(AND(NOT(L46:M46=0),OR(ISBLANK(L47:M47))),$AA$14,IF(AND(NOT(L46=0),ISBLANK(L47)),$AA$14,"")))))))</f>
        <v>Total percentage is greater than 100%</v>
      </c>
      <c r="R47" s="651"/>
      <c r="S47" s="651"/>
      <c r="T47" s="651"/>
    </row>
    <row r="48" spans="1:20" s="164" customFormat="1" ht="6" customHeight="1" x14ac:dyDescent="0.25">
      <c r="A48" s="165"/>
      <c r="B48" s="610"/>
      <c r="C48" s="168"/>
      <c r="D48" s="168"/>
      <c r="E48" s="168"/>
      <c r="F48" s="168"/>
      <c r="G48" s="168"/>
      <c r="H48" s="168"/>
      <c r="I48" s="168"/>
      <c r="J48" s="168"/>
      <c r="K48" s="168"/>
      <c r="L48" s="168"/>
      <c r="M48" s="168"/>
      <c r="N48" s="168"/>
      <c r="O48" s="168"/>
    </row>
    <row r="49" spans="1:20" s="166" customFormat="1" ht="8.1" customHeight="1" x14ac:dyDescent="0.25">
      <c r="A49" s="648"/>
      <c r="B49" s="648"/>
      <c r="C49" s="648"/>
      <c r="D49" s="648"/>
      <c r="E49" s="648"/>
      <c r="F49" s="648"/>
      <c r="G49" s="648"/>
      <c r="H49" s="648"/>
      <c r="I49" s="648"/>
      <c r="J49" s="648"/>
      <c r="K49" s="648"/>
      <c r="L49" s="648"/>
      <c r="M49" s="648"/>
    </row>
    <row r="50" spans="1:20" s="64" customFormat="1" ht="20.100000000000001" customHeight="1" thickBot="1" x14ac:dyDescent="0.3">
      <c r="A50" s="254"/>
      <c r="B50" s="254"/>
      <c r="C50" s="254"/>
      <c r="D50" s="254"/>
      <c r="E50" s="254"/>
      <c r="F50" s="254"/>
      <c r="G50" s="254"/>
      <c r="H50" s="254"/>
      <c r="I50" s="254"/>
      <c r="J50" s="254">
        <f>IF(L50=0,0,"")</f>
        <v>0</v>
      </c>
      <c r="K50" s="254"/>
      <c r="L50" s="667">
        <f>A151</f>
        <v>0</v>
      </c>
      <c r="M50" s="667">
        <f>A152</f>
        <v>0</v>
      </c>
      <c r="N50" s="667">
        <f>A153</f>
        <v>0</v>
      </c>
      <c r="O50" s="667">
        <f>A154</f>
        <v>0</v>
      </c>
    </row>
    <row r="51" spans="1:20" s="68" customFormat="1" ht="15.95" customHeight="1" thickBot="1" x14ac:dyDescent="0.3">
      <c r="A51" s="120"/>
      <c r="B51" s="668" t="s">
        <v>2328</v>
      </c>
      <c r="C51" s="1180" t="s">
        <v>2323</v>
      </c>
      <c r="D51" s="1180"/>
      <c r="E51" s="1180"/>
      <c r="F51" s="1180"/>
      <c r="G51" s="1180"/>
      <c r="H51" s="1180"/>
      <c r="I51" s="1181"/>
      <c r="J51" s="672"/>
      <c r="K51" s="670">
        <v>1</v>
      </c>
      <c r="L51" s="672"/>
      <c r="M51" s="672"/>
      <c r="N51" s="672"/>
      <c r="O51" s="672"/>
      <c r="P51" s="666" t="str">
        <f t="array" ref="P51">IF(L50=0,"",IF(AND(M50:O50=0),K51,IF(AND(NOT(L50:O50=0)),SUM(L51:O51),IF(AND(NOT(L50:N50=0)),SUM(L51:N51),IF(AND(NOT(L50:M50=0)),SUM(L51:M51),0)))))</f>
        <v/>
      </c>
      <c r="Q51" s="671" t="str">
        <f t="array" ref="Q51">IF(P51&lt;1,$AA$15,IF(P51&gt;1,$AE$15,IF(P51=1,IF(AND(NOT(L50:O50=0),OR(ISBLANK(L51:O51))),$AA$14,IF(AND(NOT(L50:N50=0),OR(ISBLANK(L51:N51))),$AA$14,IF(AND(NOT(L50:M50=0),OR(ISBLANK(L51:M51))),$AA$14,IF(AND(NOT(L50=0),ISBLANK(L51)),$AA$14,"")))))))</f>
        <v>Total percentage is greater than 100%</v>
      </c>
      <c r="R51" s="651"/>
      <c r="S51" s="651"/>
      <c r="T51" s="651"/>
    </row>
    <row r="52" spans="1:20" s="164" customFormat="1" ht="6" customHeight="1" x14ac:dyDescent="0.25">
      <c r="A52" s="165"/>
      <c r="B52" s="610"/>
      <c r="C52" s="168"/>
      <c r="D52" s="168"/>
      <c r="E52" s="168"/>
      <c r="F52" s="168"/>
      <c r="G52" s="168"/>
      <c r="H52" s="168"/>
      <c r="I52" s="168"/>
      <c r="J52" s="168"/>
      <c r="K52" s="168"/>
      <c r="L52" s="168"/>
      <c r="M52" s="168"/>
      <c r="N52" s="168"/>
      <c r="O52" s="168"/>
    </row>
    <row r="53" spans="1:20" s="166" customFormat="1" ht="8.1" customHeight="1" x14ac:dyDescent="0.25">
      <c r="A53" s="648"/>
      <c r="B53" s="648"/>
      <c r="C53" s="648"/>
      <c r="D53" s="648"/>
      <c r="E53" s="648"/>
      <c r="F53" s="648"/>
      <c r="G53" s="648"/>
      <c r="H53" s="648"/>
      <c r="I53" s="648"/>
      <c r="J53" s="648"/>
      <c r="K53" s="648"/>
      <c r="L53" s="648"/>
      <c r="M53" s="648"/>
    </row>
    <row r="54" spans="1:20" s="64" customFormat="1" ht="20.100000000000001" customHeight="1" thickBot="1" x14ac:dyDescent="0.3">
      <c r="A54" s="254"/>
      <c r="B54" s="254"/>
      <c r="C54" s="254"/>
      <c r="D54" s="254"/>
      <c r="E54" s="254"/>
      <c r="F54" s="254"/>
      <c r="G54" s="254"/>
      <c r="H54" s="254"/>
      <c r="I54" s="254"/>
      <c r="J54" s="254">
        <f>IF(L54=0,0,"")</f>
        <v>0</v>
      </c>
      <c r="K54" s="254"/>
      <c r="L54" s="667">
        <f>A156</f>
        <v>0</v>
      </c>
      <c r="M54" s="667">
        <f>A157</f>
        <v>0</v>
      </c>
      <c r="N54" s="667">
        <f>A158</f>
        <v>0</v>
      </c>
      <c r="O54" s="667">
        <f>A159</f>
        <v>0</v>
      </c>
    </row>
    <row r="55" spans="1:20" s="68" customFormat="1" ht="15.95" customHeight="1" thickBot="1" x14ac:dyDescent="0.3">
      <c r="A55" s="120"/>
      <c r="B55" s="668" t="s">
        <v>2328</v>
      </c>
      <c r="C55" s="1180" t="s">
        <v>2322</v>
      </c>
      <c r="D55" s="1180"/>
      <c r="E55" s="1180"/>
      <c r="F55" s="1180"/>
      <c r="G55" s="1180"/>
      <c r="H55" s="1180"/>
      <c r="I55" s="1181"/>
      <c r="J55" s="672"/>
      <c r="K55" s="670">
        <v>1</v>
      </c>
      <c r="L55" s="672"/>
      <c r="M55" s="672"/>
      <c r="N55" s="672"/>
      <c r="O55" s="672"/>
      <c r="P55" s="666" t="str">
        <f t="array" ref="P55">IF(L54=0,"",IF(AND(M54:O54=0),K55,IF(AND(NOT(L54:O54=0)),SUM(L55:O55),IF(AND(NOT(L54:N54=0)),SUM(L55:N55),IF(AND(NOT(L54:M54=0)),SUM(L55:M55),0)))))</f>
        <v/>
      </c>
      <c r="Q55" s="671" t="str">
        <f t="array" ref="Q55">IF(P55&lt;1,$AA$15,IF(P55&gt;1,$AE$15,IF(P55=1,IF(AND(NOT(L54:O54=0),OR(ISBLANK(L55:O55))),$AA$14,IF(AND(NOT(L54:N54=0),OR(ISBLANK(L55:N55))),$AA$14,IF(AND(NOT(L54:M54=0),OR(ISBLANK(L55:M55))),$AA$14,IF(AND(NOT(L54=0),ISBLANK(L55)),$AA$14,"")))))))</f>
        <v>Total percentage is greater than 100%</v>
      </c>
      <c r="R55" s="651"/>
      <c r="S55" s="651"/>
      <c r="T55" s="651"/>
    </row>
    <row r="56" spans="1:20" s="164" customFormat="1" ht="6" customHeight="1" x14ac:dyDescent="0.25">
      <c r="A56" s="165"/>
      <c r="B56" s="610"/>
      <c r="C56" s="168"/>
      <c r="D56" s="168"/>
      <c r="E56" s="168"/>
      <c r="F56" s="168"/>
      <c r="G56" s="168"/>
      <c r="H56" s="168"/>
      <c r="I56" s="168"/>
      <c r="J56" s="168"/>
      <c r="K56" s="168"/>
      <c r="L56" s="168"/>
      <c r="M56" s="168"/>
      <c r="N56" s="168"/>
      <c r="O56" s="168"/>
    </row>
    <row r="57" spans="1:20" s="166" customFormat="1" ht="8.1" customHeight="1" x14ac:dyDescent="0.25">
      <c r="A57" s="648"/>
      <c r="B57" s="648"/>
      <c r="C57" s="648"/>
      <c r="D57" s="648"/>
      <c r="E57" s="648"/>
      <c r="F57" s="648"/>
      <c r="G57" s="648"/>
      <c r="H57" s="648"/>
      <c r="I57" s="648"/>
      <c r="J57" s="648"/>
      <c r="K57" s="648"/>
      <c r="L57" s="648"/>
      <c r="M57" s="648"/>
    </row>
    <row r="58" spans="1:20" s="64" customFormat="1" ht="20.100000000000001" customHeight="1" thickBot="1" x14ac:dyDescent="0.3">
      <c r="A58" s="254"/>
      <c r="B58" s="254"/>
      <c r="C58" s="254"/>
      <c r="D58" s="254"/>
      <c r="E58" s="254"/>
      <c r="F58" s="254"/>
      <c r="G58" s="254"/>
      <c r="H58" s="254"/>
      <c r="I58" s="254"/>
      <c r="J58" s="254">
        <f>IF(L58=0,0,"")</f>
        <v>0</v>
      </c>
      <c r="K58" s="254"/>
      <c r="L58" s="667">
        <f>A161</f>
        <v>0</v>
      </c>
      <c r="M58" s="667">
        <f>A162</f>
        <v>0</v>
      </c>
      <c r="N58" s="667">
        <f>A163</f>
        <v>0</v>
      </c>
      <c r="O58" s="667">
        <f>A164</f>
        <v>0</v>
      </c>
    </row>
    <row r="59" spans="1:20" s="68" customFormat="1" ht="15.95" customHeight="1" thickBot="1" x14ac:dyDescent="0.3">
      <c r="A59" s="120"/>
      <c r="B59" s="668" t="s">
        <v>2328</v>
      </c>
      <c r="C59" s="1180" t="s">
        <v>2321</v>
      </c>
      <c r="D59" s="1180"/>
      <c r="E59" s="1180"/>
      <c r="F59" s="1180"/>
      <c r="G59" s="1180"/>
      <c r="H59" s="1180"/>
      <c r="I59" s="1181"/>
      <c r="J59" s="672"/>
      <c r="K59" s="670">
        <v>1</v>
      </c>
      <c r="L59" s="672"/>
      <c r="M59" s="672"/>
      <c r="N59" s="672"/>
      <c r="O59" s="672"/>
      <c r="P59" s="666" t="str">
        <f t="array" ref="P59">IF(L58=0,"",IF(AND(M58:O58=0),K59,IF(AND(NOT(L58:O58=0)),SUM(L59:O59),IF(AND(NOT(L58:N58=0)),SUM(L59:N59),IF(AND(NOT(L58:M58=0)),SUM(L59:M59),0)))))</f>
        <v/>
      </c>
      <c r="Q59" s="671" t="str">
        <f t="array" ref="Q59">IF(P59&lt;1,$AA$15,IF(P59&gt;1,$AE$15,IF(P59=1,IF(AND(NOT(L58:O58=0),OR(ISBLANK(L59:O59))),$AA$14,IF(AND(NOT(L58:N58=0),OR(ISBLANK(L59:N59))),$AA$14,IF(AND(NOT(L58:M58=0),OR(ISBLANK(L59:M59))),$AA$14,IF(AND(NOT(L58=0),ISBLANK(L59)),$AA$14,"")))))))</f>
        <v>Total percentage is greater than 100%</v>
      </c>
      <c r="R59" s="651"/>
      <c r="S59" s="651"/>
      <c r="T59" s="651"/>
    </row>
    <row r="60" spans="1:20" s="164" customFormat="1" ht="8.1" customHeight="1" x14ac:dyDescent="0.25">
      <c r="A60" s="669"/>
      <c r="B60" s="669"/>
      <c r="C60" s="669"/>
      <c r="D60" s="669"/>
      <c r="E60" s="669"/>
      <c r="F60" s="669"/>
      <c r="G60" s="669"/>
      <c r="H60" s="669"/>
      <c r="I60" s="669"/>
      <c r="J60" s="669"/>
      <c r="K60" s="669"/>
      <c r="L60" s="669"/>
      <c r="M60" s="669"/>
    </row>
    <row r="61" spans="1:20" s="68" customFormat="1" ht="33" customHeight="1" x14ac:dyDescent="0.25">
      <c r="A61" s="1085" t="s">
        <v>2082</v>
      </c>
      <c r="B61" s="1085"/>
      <c r="C61" s="1085"/>
      <c r="D61" s="1085"/>
      <c r="E61" s="1085"/>
      <c r="F61" s="1085"/>
      <c r="G61" s="1085"/>
      <c r="H61" s="1085"/>
      <c r="I61" s="1085"/>
      <c r="J61" s="1085"/>
      <c r="K61" s="1085"/>
      <c r="L61" s="1085"/>
      <c r="M61" s="1085"/>
      <c r="N61" s="1085"/>
      <c r="O61" s="1085"/>
      <c r="R61" s="66"/>
    </row>
    <row r="62" spans="1:20" s="68" customFormat="1" ht="115.5" customHeight="1" thickBot="1" x14ac:dyDescent="0.3">
      <c r="A62" s="1204" t="s">
        <v>2172</v>
      </c>
      <c r="B62" s="1204"/>
      <c r="C62" s="1204"/>
      <c r="D62" s="1204"/>
      <c r="E62" s="1204"/>
      <c r="F62" s="1204"/>
      <c r="G62" s="1204"/>
      <c r="H62" s="1204"/>
      <c r="I62" s="1204"/>
      <c r="J62" s="1204"/>
      <c r="K62" s="1204"/>
      <c r="L62" s="1204"/>
      <c r="M62" s="1204"/>
      <c r="N62" s="1204"/>
      <c r="O62" s="1204"/>
    </row>
    <row r="63" spans="1:20" s="68" customFormat="1" ht="35.1" customHeight="1" x14ac:dyDescent="0.25">
      <c r="A63" s="1207" t="s">
        <v>1535</v>
      </c>
      <c r="B63" s="1207"/>
      <c r="C63" s="1207"/>
      <c r="D63" s="1207"/>
      <c r="E63" s="1207"/>
      <c r="F63" s="1207"/>
      <c r="G63" s="1207"/>
      <c r="H63" s="1207"/>
      <c r="I63" s="1207"/>
      <c r="J63" s="1207"/>
      <c r="K63" s="1207"/>
      <c r="L63" s="1207"/>
      <c r="M63" s="1207"/>
      <c r="N63" s="1207"/>
      <c r="O63" s="1207"/>
    </row>
    <row r="64" spans="1:20" s="78" customFormat="1" ht="20.100000000000001" customHeight="1" x14ac:dyDescent="0.25">
      <c r="B64" s="1194" t="s">
        <v>1536</v>
      </c>
      <c r="C64" s="1194"/>
      <c r="D64" s="1194" t="s">
        <v>1537</v>
      </c>
      <c r="E64" s="1194"/>
      <c r="F64" s="1194"/>
      <c r="G64" s="1194" t="s">
        <v>1538</v>
      </c>
      <c r="H64" s="1194"/>
      <c r="I64" s="1194"/>
      <c r="J64" s="1194" t="s">
        <v>1568</v>
      </c>
      <c r="K64" s="1194"/>
      <c r="L64" s="1194"/>
      <c r="M64" s="1194" t="s">
        <v>1703</v>
      </c>
      <c r="N64" s="1194"/>
      <c r="O64" s="1194"/>
    </row>
    <row r="65" spans="1:25" s="68" customFormat="1" ht="14.25" customHeight="1" thickBot="1" x14ac:dyDescent="0.3">
      <c r="A65" s="1204"/>
      <c r="B65" s="1204"/>
      <c r="C65" s="1204"/>
      <c r="D65" s="1204"/>
      <c r="E65" s="1204"/>
      <c r="F65" s="1204"/>
      <c r="G65" s="1204"/>
      <c r="H65" s="1204"/>
      <c r="I65" s="1204"/>
      <c r="J65" s="1204"/>
      <c r="K65" s="1204"/>
      <c r="L65" s="1204"/>
      <c r="M65" s="1204"/>
      <c r="N65" s="1204"/>
      <c r="O65" s="1204"/>
    </row>
    <row r="66" spans="1:25" ht="45.75" thickBot="1" x14ac:dyDescent="0.3">
      <c r="A66" s="106" t="s">
        <v>1840</v>
      </c>
      <c r="B66" s="107" t="s">
        <v>271</v>
      </c>
      <c r="C66" s="107" t="s">
        <v>1566</v>
      </c>
      <c r="D66" s="107" t="s">
        <v>23</v>
      </c>
      <c r="E66" s="107" t="s">
        <v>1567</v>
      </c>
      <c r="F66" s="107" t="s">
        <v>1902</v>
      </c>
      <c r="G66" s="108" t="s">
        <v>26</v>
      </c>
      <c r="H66" s="109" t="s">
        <v>30</v>
      </c>
      <c r="I66" s="109" t="s">
        <v>3</v>
      </c>
      <c r="J66" s="109" t="s">
        <v>4</v>
      </c>
      <c r="K66" s="109" t="s">
        <v>0</v>
      </c>
      <c r="L66" s="109" t="s">
        <v>5</v>
      </c>
      <c r="M66" s="109" t="s">
        <v>2342</v>
      </c>
      <c r="N66" s="109" t="s">
        <v>24</v>
      </c>
      <c r="O66" s="110" t="s">
        <v>25</v>
      </c>
    </row>
    <row r="67" spans="1:25" ht="18" customHeight="1" x14ac:dyDescent="0.25">
      <c r="A67" s="1176" t="s">
        <v>1948</v>
      </c>
      <c r="B67" s="1177"/>
      <c r="C67" s="1177"/>
      <c r="D67" s="1177"/>
      <c r="E67" s="1177"/>
      <c r="F67" s="1177"/>
      <c r="G67" s="1177"/>
      <c r="H67" s="1177"/>
      <c r="I67" s="1177"/>
      <c r="J67" s="1177"/>
      <c r="K67" s="1177"/>
      <c r="L67" s="1177"/>
      <c r="M67" s="1177"/>
      <c r="N67" s="1177"/>
      <c r="O67" s="1178"/>
    </row>
    <row r="68" spans="1:25" ht="18" customHeight="1" x14ac:dyDescent="0.25">
      <c r="A68" s="324" t="str">
        <f>IF(ISBLANK('Table 3-A| Emission Units'!$A$29),"",'Table 3-A| Emission Units'!$A$29&amp;"-"&amp;'Table 3-A| Emission Units'!$B$29)</f>
        <v>8-1</v>
      </c>
      <c r="B68" s="253">
        <f>IF(OR(ISBLANK('Table 3-A| Emission Units'!$C$29),ISTEXT('Table 3-A| Emission Units'!$C$29)),"",'Table 3-A| Emission Units'!$C$29)</f>
        <v>20100102</v>
      </c>
      <c r="C68" s="325">
        <v>9.7999999999999997E-3</v>
      </c>
      <c r="D68" s="252" t="s">
        <v>1533</v>
      </c>
      <c r="E68" s="326">
        <f t="shared" ref="E68:E72" si="3">C68*8760</f>
        <v>85.847999999999999</v>
      </c>
      <c r="F68" s="326" t="s">
        <v>1903</v>
      </c>
      <c r="G68" s="327">
        <f>$E68*42.5</f>
        <v>3648.54</v>
      </c>
      <c r="H68" s="328">
        <f t="shared" ref="H68" si="4">$E68*42.5</f>
        <v>3648.54</v>
      </c>
      <c r="I68" s="328">
        <f>$E68*604</f>
        <v>51852.192000000003</v>
      </c>
      <c r="J68" s="328">
        <f>$E68*39.7</f>
        <v>3408.1656000000003</v>
      </c>
      <c r="K68" s="328">
        <f>$E68*49.3</f>
        <v>4232.3063999999995</v>
      </c>
      <c r="L68" s="328">
        <f>$E68*130</f>
        <v>11160.24</v>
      </c>
      <c r="M68" s="328">
        <f>$E68*22600</f>
        <v>1940164.8</v>
      </c>
      <c r="N68" s="328">
        <v>0</v>
      </c>
      <c r="O68" s="329">
        <f>$E68*0.55044</f>
        <v>47.254173120000004</v>
      </c>
    </row>
    <row r="69" spans="1:25" ht="18" customHeight="1" x14ac:dyDescent="0.25">
      <c r="A69" s="324" t="str">
        <f>IF(ISBLANK('Table 3-A| Emission Units'!$A$30),"",'Table 3-A| Emission Units'!$A$30&amp;"-"&amp;'Table 3-A| Emission Units'!$B$30)</f>
        <v>9-1</v>
      </c>
      <c r="B69" s="253">
        <f>IF(OR(ISBLANK('Table 3-A| Emission Units'!$C$30),ISTEXT('Table 3-A| Emission Units'!$C$30)),"",'Table 3-A| Emission Units'!$C$30)</f>
        <v>10200602</v>
      </c>
      <c r="C69" s="325">
        <v>0.02</v>
      </c>
      <c r="D69" s="252" t="s">
        <v>1532</v>
      </c>
      <c r="E69" s="326">
        <f t="shared" si="3"/>
        <v>175.20000000000002</v>
      </c>
      <c r="F69" s="326" t="s">
        <v>1903</v>
      </c>
      <c r="G69" s="607">
        <f>$E69*7.6</f>
        <v>1331.52</v>
      </c>
      <c r="H69" s="328">
        <f t="shared" ref="H69" si="5">$E69*7.6</f>
        <v>1331.52</v>
      </c>
      <c r="I69" s="608">
        <f>$E69*100</f>
        <v>17520</v>
      </c>
      <c r="J69" s="608">
        <f>$E69*0.6</f>
        <v>105.12</v>
      </c>
      <c r="K69" s="328">
        <f>$E69*5.5</f>
        <v>963.60000000000014</v>
      </c>
      <c r="L69" s="328">
        <f>$E69*84</f>
        <v>14716.800000000001</v>
      </c>
      <c r="M69" s="608">
        <f>$E69*(120000+(2.2*298)+(2.3*25))</f>
        <v>21148935.120000005</v>
      </c>
      <c r="N69" s="608">
        <f>$E69*0.0005</f>
        <v>8.7600000000000011E-2</v>
      </c>
      <c r="O69" s="329">
        <f>$E69*1.88</f>
        <v>329.37600000000003</v>
      </c>
    </row>
    <row r="70" spans="1:25" ht="18" customHeight="1" x14ac:dyDescent="0.25">
      <c r="A70" s="324" t="str">
        <f>IF(ISBLANK('Table 3-A| Emission Units'!$A$31),"",'Table 3-A| Emission Units'!$A$31&amp;"-"&amp;'Table 3-A| Emission Units'!$B$31)</f>
        <v>9-2</v>
      </c>
      <c r="B70" s="253">
        <f>IF(OR(ISBLANK('Table 3-A| Emission Units'!$C$31),ISTEXT('Table 3-A| Emission Units'!$C$31)),"",'Table 3-A| Emission Units'!$C$31)</f>
        <v>10200501</v>
      </c>
      <c r="C70" s="325">
        <v>0.14779999999999999</v>
      </c>
      <c r="D70" s="252" t="s">
        <v>1533</v>
      </c>
      <c r="E70" s="326">
        <f t="shared" si="3"/>
        <v>1294.7279999999998</v>
      </c>
      <c r="F70" s="326" t="s">
        <v>1903</v>
      </c>
      <c r="G70" s="327">
        <f>$E70*1.08</f>
        <v>1398.3062399999999</v>
      </c>
      <c r="H70" s="608">
        <f>$E70*0.83</f>
        <v>1074.6242399999999</v>
      </c>
      <c r="I70" s="328">
        <f>$E70*24</f>
        <v>31073.471999999994</v>
      </c>
      <c r="J70" s="328">
        <f>$E70*(142*0.05)</f>
        <v>9192.5687999999991</v>
      </c>
      <c r="K70" s="608">
        <f>$E70*0.34</f>
        <v>440.20751999999999</v>
      </c>
      <c r="L70" s="608">
        <f>$E70*5</f>
        <v>6473.6399999999994</v>
      </c>
      <c r="M70" s="328">
        <f>$E70*(25000+(0.53*298)+(0.28*25))</f>
        <v>32581752.436319996</v>
      </c>
      <c r="N70" s="328">
        <f>$E70*0.001246</f>
        <v>1.6132310879999998</v>
      </c>
      <c r="O70" s="609">
        <f>$E70*0.24</f>
        <v>310.73471999999992</v>
      </c>
    </row>
    <row r="71" spans="1:25" ht="18" customHeight="1" x14ac:dyDescent="0.25">
      <c r="A71" s="324" t="str">
        <f>IF(ISBLANK('Table 3-A| Emission Units'!$A$32),"",'Table 3-A| Emission Units'!$A$32&amp;"-"&amp;'Table 3-A| Emission Units'!$B$32)</f>
        <v>10-1</v>
      </c>
      <c r="B71" s="253">
        <f>IF(OR(ISBLANK('Table 3-A| Emission Units'!$C$32),ISTEXT('Table 3-A| Emission Units'!$C$32)),"",'Table 3-A| Emission Units'!$C$32)</f>
        <v>40400204</v>
      </c>
      <c r="C71" s="325">
        <v>0.17119999999999999</v>
      </c>
      <c r="D71" s="252" t="s">
        <v>1534</v>
      </c>
      <c r="E71" s="326">
        <f t="shared" si="3"/>
        <v>1499.712</v>
      </c>
      <c r="F71" s="326" t="s">
        <v>1898</v>
      </c>
      <c r="G71" s="327">
        <v>0</v>
      </c>
      <c r="H71" s="328">
        <v>0</v>
      </c>
      <c r="I71" s="328">
        <v>0</v>
      </c>
      <c r="J71" s="328">
        <v>0</v>
      </c>
      <c r="K71" s="330"/>
      <c r="L71" s="330"/>
      <c r="M71" s="330"/>
      <c r="N71" s="330"/>
      <c r="O71" s="479"/>
      <c r="Q71" s="127"/>
      <c r="R71" s="127"/>
      <c r="S71" s="127"/>
      <c r="T71" s="127"/>
      <c r="U71" s="127"/>
      <c r="V71" s="127"/>
      <c r="W71" s="127"/>
      <c r="X71" s="127"/>
      <c r="Y71" s="127"/>
    </row>
    <row r="72" spans="1:25" ht="18" customHeight="1" x14ac:dyDescent="0.25">
      <c r="A72" s="324" t="str">
        <f>IF(ISBLANK('Table 3-A| Emission Units'!$A$33),"",'Table 3-A| Emission Units'!$A$33&amp;"-"&amp;'Table 3-A| Emission Units'!$B$33)</f>
        <v>10-2</v>
      </c>
      <c r="B72" s="253">
        <f>IF(OR(ISBLANK('Table 3-A| Emission Units'!$C$33),ISTEXT('Table 3-A| Emission Units'!$C$33)),"",'Table 3-A| Emission Units'!$C$33)</f>
        <v>40400107</v>
      </c>
      <c r="C72" s="325">
        <v>0.17119999999999999</v>
      </c>
      <c r="D72" s="252" t="s">
        <v>1534</v>
      </c>
      <c r="E72" s="326">
        <f t="shared" si="3"/>
        <v>1499.712</v>
      </c>
      <c r="F72" s="326" t="s">
        <v>1898</v>
      </c>
      <c r="G72" s="327">
        <v>0</v>
      </c>
      <c r="H72" s="328">
        <v>0</v>
      </c>
      <c r="I72" s="328">
        <v>0</v>
      </c>
      <c r="J72" s="328">
        <v>0</v>
      </c>
      <c r="K72" s="330"/>
      <c r="L72" s="330"/>
      <c r="M72" s="330"/>
      <c r="N72" s="330"/>
      <c r="O72" s="479"/>
      <c r="Q72" s="127"/>
      <c r="R72" s="127"/>
      <c r="S72" s="127"/>
      <c r="T72" s="127"/>
      <c r="U72" s="127"/>
      <c r="V72" s="127"/>
      <c r="W72" s="127"/>
      <c r="X72" s="127"/>
      <c r="Y72" s="127"/>
    </row>
    <row r="73" spans="1:25" ht="18" customHeight="1" x14ac:dyDescent="0.25">
      <c r="A73" s="324" t="str">
        <f>IF(ISBLANK('Table 3-A| Emission Units'!$A$34),"",'Table 3-A| Emission Units'!$A$34&amp;"-"&amp;'Table 3-A| Emission Units'!$B$34)</f>
        <v/>
      </c>
      <c r="B73" s="253" t="str">
        <f>IF(OR(ISBLANK('Table 3-A| Emission Units'!$C$34),ISTEXT('Table 3-A| Emission Units'!$C$34)),"",'Table 3-A| Emission Units'!$C$34)</f>
        <v/>
      </c>
      <c r="C73" s="325"/>
      <c r="D73" s="252"/>
      <c r="E73" s="326"/>
      <c r="F73" s="326"/>
      <c r="G73" s="327"/>
      <c r="H73" s="328"/>
      <c r="I73" s="328"/>
      <c r="J73" s="328"/>
      <c r="K73" s="328"/>
      <c r="L73" s="328"/>
      <c r="M73" s="328"/>
      <c r="N73" s="328"/>
      <c r="O73" s="329"/>
      <c r="Q73" s="127"/>
      <c r="R73" s="127"/>
      <c r="S73" s="127"/>
      <c r="T73" s="127"/>
      <c r="U73" s="127"/>
      <c r="V73" s="127"/>
      <c r="W73" s="127"/>
      <c r="X73" s="127"/>
      <c r="Y73" s="127"/>
    </row>
    <row r="74" spans="1:25" s="68" customFormat="1" ht="14.25" customHeight="1" thickBot="1" x14ac:dyDescent="0.3">
      <c r="A74" s="1195"/>
      <c r="B74" s="1195"/>
      <c r="C74" s="1195"/>
      <c r="D74" s="1195"/>
      <c r="E74" s="1195"/>
      <c r="F74" s="1195"/>
      <c r="G74" s="1195"/>
      <c r="H74" s="1195"/>
      <c r="I74" s="1195"/>
      <c r="J74" s="1195"/>
      <c r="K74" s="1195"/>
      <c r="L74" s="1195"/>
      <c r="M74" s="1195"/>
      <c r="N74" s="1195"/>
      <c r="O74" s="1195"/>
    </row>
    <row r="75" spans="1:25" ht="45.75" thickBot="1" x14ac:dyDescent="0.3">
      <c r="A75" s="106" t="s">
        <v>1840</v>
      </c>
      <c r="B75" s="107" t="s">
        <v>271</v>
      </c>
      <c r="C75" s="107" t="s">
        <v>1566</v>
      </c>
      <c r="D75" s="107" t="s">
        <v>23</v>
      </c>
      <c r="E75" s="107" t="s">
        <v>1567</v>
      </c>
      <c r="F75" s="107" t="s">
        <v>1902</v>
      </c>
      <c r="G75" s="108" t="s">
        <v>26</v>
      </c>
      <c r="H75" s="109" t="s">
        <v>30</v>
      </c>
      <c r="I75" s="109" t="s">
        <v>3</v>
      </c>
      <c r="J75" s="109" t="s">
        <v>4</v>
      </c>
      <c r="K75" s="109" t="s">
        <v>0</v>
      </c>
      <c r="L75" s="109" t="s">
        <v>5</v>
      </c>
      <c r="M75" s="109" t="s">
        <v>2342</v>
      </c>
      <c r="N75" s="109" t="s">
        <v>24</v>
      </c>
      <c r="O75" s="110" t="s">
        <v>25</v>
      </c>
    </row>
    <row r="76" spans="1:25" ht="18" customHeight="1" x14ac:dyDescent="0.25">
      <c r="A76" s="1176" t="s">
        <v>1948</v>
      </c>
      <c r="B76" s="1177"/>
      <c r="C76" s="1177"/>
      <c r="D76" s="1177"/>
      <c r="E76" s="1177"/>
      <c r="F76" s="1177"/>
      <c r="G76" s="1177"/>
      <c r="H76" s="1177"/>
      <c r="I76" s="1177"/>
      <c r="J76" s="1177"/>
      <c r="K76" s="1177"/>
      <c r="L76" s="1177"/>
      <c r="M76" s="1177"/>
      <c r="N76" s="1177"/>
      <c r="O76" s="1178"/>
    </row>
    <row r="77" spans="1:25" ht="18" customHeight="1" x14ac:dyDescent="0.25">
      <c r="A77" s="324" t="str">
        <f>IF(ISBLANK('Table 3-A| Emission Units'!$A$29),"",'Table 3-A| Emission Units'!$A$29&amp;"-"&amp;'Table 3-A| Emission Units'!$B$29)</f>
        <v>8-1</v>
      </c>
      <c r="B77" s="253">
        <f>IF(OR(ISBLANK('Table 3-A| Emission Units'!$C$29),ISTEXT('Table 3-A| Emission Units'!$C$29)),"",'Table 3-A| Emission Units'!$C$29)</f>
        <v>20100102</v>
      </c>
      <c r="C77" s="325">
        <v>9.7999999999999997E-3</v>
      </c>
      <c r="D77" s="252" t="s">
        <v>1533</v>
      </c>
      <c r="E77" s="326">
        <f t="shared" ref="E77:E81" si="6">C77*8760</f>
        <v>85.847999999999999</v>
      </c>
      <c r="F77" s="326" t="s">
        <v>1903</v>
      </c>
      <c r="G77" s="327">
        <f>$E77*42.5</f>
        <v>3648.54</v>
      </c>
      <c r="H77" s="328">
        <f t="shared" ref="H77" si="7">$E77*42.5</f>
        <v>3648.54</v>
      </c>
      <c r="I77" s="328">
        <f>$E77*604</f>
        <v>51852.192000000003</v>
      </c>
      <c r="J77" s="328">
        <f>$E77*39.7</f>
        <v>3408.1656000000003</v>
      </c>
      <c r="K77" s="328">
        <f>$E77*49.3</f>
        <v>4232.3063999999995</v>
      </c>
      <c r="L77" s="328">
        <f>$E77*130</f>
        <v>11160.24</v>
      </c>
      <c r="M77" s="328">
        <f>$E77*22600</f>
        <v>1940164.8</v>
      </c>
      <c r="N77" s="328">
        <v>0</v>
      </c>
      <c r="O77" s="329">
        <f>$E77*0.55044</f>
        <v>47.254173120000004</v>
      </c>
    </row>
    <row r="78" spans="1:25" ht="18" customHeight="1" x14ac:dyDescent="0.25">
      <c r="A78" s="324" t="str">
        <f>IF(ISBLANK('Table 3-A| Emission Units'!$A$30),"",'Table 3-A| Emission Units'!$A$30&amp;"-"&amp;'Table 3-A| Emission Units'!$B$30)</f>
        <v>9-1</v>
      </c>
      <c r="B78" s="253">
        <f>IF(OR(ISBLANK('Table 3-A| Emission Units'!$C$30),ISTEXT('Table 3-A| Emission Units'!$C$30)),"",'Table 3-A| Emission Units'!$C$30)</f>
        <v>10200602</v>
      </c>
      <c r="C78" s="325">
        <v>0.02</v>
      </c>
      <c r="D78" s="252" t="s">
        <v>1532</v>
      </c>
      <c r="E78" s="326">
        <f t="shared" si="6"/>
        <v>175.20000000000002</v>
      </c>
      <c r="F78" s="326" t="s">
        <v>1903</v>
      </c>
      <c r="G78" s="607">
        <v>0</v>
      </c>
      <c r="H78" s="328">
        <f t="shared" ref="H78" si="8">$E78*7.6</f>
        <v>1331.52</v>
      </c>
      <c r="I78" s="608">
        <v>0</v>
      </c>
      <c r="J78" s="608">
        <v>0</v>
      </c>
      <c r="K78" s="328">
        <f>$E78*5.5</f>
        <v>963.60000000000014</v>
      </c>
      <c r="L78" s="328">
        <f>$E78*84</f>
        <v>14716.800000000001</v>
      </c>
      <c r="M78" s="608">
        <v>0</v>
      </c>
      <c r="N78" s="608">
        <v>0</v>
      </c>
      <c r="O78" s="329">
        <f>$E78*1.88</f>
        <v>329.37600000000003</v>
      </c>
    </row>
    <row r="79" spans="1:25" ht="18" customHeight="1" x14ac:dyDescent="0.25">
      <c r="A79" s="324" t="str">
        <f>IF(ISBLANK('Table 3-A| Emission Units'!$A$31),"",'Table 3-A| Emission Units'!$A$31&amp;"-"&amp;'Table 3-A| Emission Units'!$B$31)</f>
        <v>9-2</v>
      </c>
      <c r="B79" s="253">
        <f>IF(OR(ISBLANK('Table 3-A| Emission Units'!$C$31),ISTEXT('Table 3-A| Emission Units'!$C$31)),"",'Table 3-A| Emission Units'!$C$31)</f>
        <v>10200501</v>
      </c>
      <c r="C79" s="325">
        <v>0.14779999999999999</v>
      </c>
      <c r="D79" s="252" t="s">
        <v>1533</v>
      </c>
      <c r="E79" s="326">
        <f t="shared" si="6"/>
        <v>1294.7279999999998</v>
      </c>
      <c r="F79" s="326" t="s">
        <v>1903</v>
      </c>
      <c r="G79" s="327">
        <f>$E79*1.08</f>
        <v>1398.3062399999999</v>
      </c>
      <c r="H79" s="608">
        <v>0</v>
      </c>
      <c r="I79" s="328">
        <f>$E79*24</f>
        <v>31073.471999999994</v>
      </c>
      <c r="J79" s="328">
        <f>$E79*(142*0.05)</f>
        <v>9192.5687999999991</v>
      </c>
      <c r="K79" s="608">
        <v>0</v>
      </c>
      <c r="L79" s="608">
        <v>0</v>
      </c>
      <c r="M79" s="328">
        <f>$E79*(25000+(0.53*298)+(0.28*25))</f>
        <v>32581752.436319996</v>
      </c>
      <c r="N79" s="328">
        <f>$E79*0.001246</f>
        <v>1.6132310879999998</v>
      </c>
      <c r="O79" s="609">
        <v>0</v>
      </c>
    </row>
    <row r="80" spans="1:25" ht="18" customHeight="1" x14ac:dyDescent="0.25">
      <c r="A80" s="324" t="str">
        <f>IF(ISBLANK('Table 3-A| Emission Units'!$A$32),"",'Table 3-A| Emission Units'!$A$32&amp;"-"&amp;'Table 3-A| Emission Units'!$B$32)</f>
        <v>10-1</v>
      </c>
      <c r="B80" s="253">
        <f>IF(OR(ISBLANK('Table 3-A| Emission Units'!$C$32),ISTEXT('Table 3-A| Emission Units'!$C$32)),"",'Table 3-A| Emission Units'!$C$32)</f>
        <v>40400204</v>
      </c>
      <c r="C80" s="326">
        <v>100</v>
      </c>
      <c r="D80" s="252" t="s">
        <v>1534</v>
      </c>
      <c r="E80" s="326">
        <f t="shared" si="6"/>
        <v>876000</v>
      </c>
      <c r="F80" s="326" t="s">
        <v>1898</v>
      </c>
      <c r="G80" s="327">
        <v>0</v>
      </c>
      <c r="H80" s="328">
        <v>0</v>
      </c>
      <c r="I80" s="328">
        <v>0</v>
      </c>
      <c r="J80" s="328">
        <v>0</v>
      </c>
      <c r="K80" s="328">
        <f>E80/1000*10</f>
        <v>8760</v>
      </c>
      <c r="L80" s="328">
        <v>0</v>
      </c>
      <c r="M80" s="328">
        <v>0</v>
      </c>
      <c r="N80" s="328">
        <v>0</v>
      </c>
      <c r="O80" s="329">
        <v>0</v>
      </c>
      <c r="Q80" s="127"/>
      <c r="R80" s="127"/>
      <c r="S80" s="127"/>
      <c r="T80" s="127"/>
      <c r="U80" s="127"/>
      <c r="V80" s="127"/>
      <c r="W80" s="127"/>
      <c r="X80" s="127"/>
      <c r="Y80" s="127"/>
    </row>
    <row r="81" spans="1:25" ht="18" customHeight="1" x14ac:dyDescent="0.25">
      <c r="A81" s="324" t="str">
        <f>IF(ISBLANK('Table 3-A| Emission Units'!$A$33),"",'Table 3-A| Emission Units'!$A$33&amp;"-"&amp;'Table 3-A| Emission Units'!$B$33)</f>
        <v>10-2</v>
      </c>
      <c r="B81" s="253">
        <f>IF(OR(ISBLANK('Table 3-A| Emission Units'!$C$33),ISTEXT('Table 3-A| Emission Units'!$C$33)),"",'Table 3-A| Emission Units'!$C$33)</f>
        <v>40400107</v>
      </c>
      <c r="C81" s="326">
        <v>100</v>
      </c>
      <c r="D81" s="252" t="s">
        <v>1534</v>
      </c>
      <c r="E81" s="326">
        <f t="shared" si="6"/>
        <v>876000</v>
      </c>
      <c r="F81" s="326" t="s">
        <v>1898</v>
      </c>
      <c r="G81" s="327">
        <v>0</v>
      </c>
      <c r="H81" s="328">
        <v>0</v>
      </c>
      <c r="I81" s="328">
        <v>0</v>
      </c>
      <c r="J81" s="328">
        <v>0</v>
      </c>
      <c r="K81" s="328">
        <f>E81/1000*10</f>
        <v>8760</v>
      </c>
      <c r="L81" s="328">
        <v>0</v>
      </c>
      <c r="M81" s="328">
        <v>0</v>
      </c>
      <c r="N81" s="328">
        <v>0</v>
      </c>
      <c r="O81" s="329">
        <v>0</v>
      </c>
      <c r="Q81" s="127"/>
      <c r="R81" s="127"/>
      <c r="S81" s="127"/>
      <c r="T81" s="127"/>
      <c r="U81" s="127"/>
      <c r="V81" s="127"/>
      <c r="W81" s="127"/>
      <c r="X81" s="127"/>
      <c r="Y81" s="127"/>
    </row>
    <row r="82" spans="1:25" ht="18" customHeight="1" x14ac:dyDescent="0.25">
      <c r="A82" s="324" t="str">
        <f>IF(ISBLANK('Table 3-A| Emission Units'!$A$34),"",'Table 3-A| Emission Units'!$A$34&amp;"-"&amp;'Table 3-A| Emission Units'!$B$34)</f>
        <v/>
      </c>
      <c r="B82" s="253" t="str">
        <f>IF(OR(ISBLANK('Table 3-A| Emission Units'!$C$34),ISTEXT('Table 3-A| Emission Units'!$C$34)),"",'Table 3-A| Emission Units'!$C$34)</f>
        <v/>
      </c>
      <c r="C82" s="325"/>
      <c r="D82" s="252"/>
      <c r="E82" s="326"/>
      <c r="F82" s="326"/>
      <c r="G82" s="327"/>
      <c r="H82" s="328"/>
      <c r="I82" s="328"/>
      <c r="J82" s="328"/>
      <c r="K82" s="328"/>
      <c r="L82" s="328"/>
      <c r="M82" s="328"/>
      <c r="N82" s="328"/>
      <c r="O82" s="329"/>
      <c r="Q82" s="127"/>
      <c r="R82" s="127"/>
      <c r="S82" s="127"/>
      <c r="T82" s="127"/>
      <c r="U82" s="127"/>
      <c r="V82" s="127"/>
      <c r="W82" s="127"/>
      <c r="X82" s="127"/>
      <c r="Y82" s="127"/>
    </row>
    <row r="83" spans="1:25" s="68" customFormat="1" ht="39.950000000000003" customHeight="1" thickBot="1" x14ac:dyDescent="0.3">
      <c r="A83" s="1195" t="s">
        <v>1839</v>
      </c>
      <c r="B83" s="1195"/>
      <c r="C83" s="1195"/>
      <c r="D83" s="1195"/>
      <c r="E83" s="1195"/>
      <c r="F83" s="1195"/>
      <c r="G83" s="1195"/>
      <c r="H83" s="1195"/>
      <c r="I83" s="1195"/>
      <c r="J83" s="1195"/>
      <c r="K83" s="1195"/>
      <c r="L83" s="1195"/>
      <c r="M83" s="1195"/>
      <c r="N83" s="1195"/>
      <c r="O83" s="1195"/>
    </row>
    <row r="84" spans="1:25" s="68" customFormat="1" ht="27.75" customHeight="1" thickBot="1" x14ac:dyDescent="0.3">
      <c r="A84" s="1140" t="s">
        <v>1470</v>
      </c>
      <c r="B84" s="1087"/>
      <c r="C84" s="1087"/>
      <c r="D84" s="1087"/>
      <c r="E84" s="1087"/>
      <c r="F84" s="1087"/>
      <c r="G84" s="1087"/>
      <c r="H84" s="1087"/>
      <c r="I84" s="1087"/>
      <c r="J84" s="1087"/>
      <c r="K84" s="1087"/>
      <c r="L84" s="1087"/>
      <c r="M84" s="1087"/>
      <c r="N84" s="1087"/>
      <c r="O84" s="1141"/>
    </row>
    <row r="85" spans="1:25" s="68" customFormat="1" ht="9" customHeight="1" thickBot="1" x14ac:dyDescent="0.3">
      <c r="A85" s="78"/>
      <c r="B85" s="78"/>
      <c r="C85" s="78"/>
      <c r="D85" s="78"/>
      <c r="E85" s="78"/>
      <c r="F85" s="78"/>
      <c r="G85" s="78"/>
      <c r="H85" s="78"/>
      <c r="I85" s="78"/>
      <c r="J85" s="78"/>
      <c r="K85" s="78"/>
      <c r="L85" s="78"/>
      <c r="M85" s="78"/>
    </row>
    <row r="86" spans="1:25" s="68" customFormat="1" ht="18" customHeight="1" thickBot="1" x14ac:dyDescent="0.3">
      <c r="A86" s="497" t="s">
        <v>1569</v>
      </c>
      <c r="B86" s="499"/>
      <c r="C86" s="498"/>
      <c r="D86" s="675"/>
      <c r="E86" s="1174"/>
      <c r="F86" s="1175"/>
      <c r="I86" s="497" t="s">
        <v>1570</v>
      </c>
      <c r="J86" s="499"/>
      <c r="K86" s="499"/>
      <c r="L86" s="499"/>
      <c r="M86" s="498"/>
      <c r="N86" s="1170">
        <f>$E$86/1025</f>
        <v>0</v>
      </c>
      <c r="O86" s="1171"/>
      <c r="T86" s="48" t="s">
        <v>1898</v>
      </c>
      <c r="V86" s="68" t="s">
        <v>2093</v>
      </c>
    </row>
    <row r="87" spans="1:25" s="68" customFormat="1" ht="18" customHeight="1" thickBot="1" x14ac:dyDescent="0.3">
      <c r="A87" s="78"/>
      <c r="B87" s="78"/>
      <c r="C87" s="78"/>
      <c r="D87" s="500"/>
      <c r="E87" s="500"/>
      <c r="F87" s="500"/>
      <c r="I87" s="497" t="s">
        <v>1571</v>
      </c>
      <c r="J87" s="499"/>
      <c r="K87" s="499"/>
      <c r="L87" s="499"/>
      <c r="M87" s="498"/>
      <c r="N87" s="1170">
        <f>($E$86*1000000)/(138690*1000)</f>
        <v>0</v>
      </c>
      <c r="O87" s="1171"/>
      <c r="T87" s="48" t="s">
        <v>1899</v>
      </c>
      <c r="V87" s="68" t="s">
        <v>2094</v>
      </c>
    </row>
    <row r="88" spans="1:25" s="68" customFormat="1" ht="18" customHeight="1" thickBot="1" x14ac:dyDescent="0.3">
      <c r="A88" s="78"/>
      <c r="B88" s="78"/>
      <c r="C88" s="78"/>
      <c r="D88" s="78"/>
      <c r="E88" s="78"/>
      <c r="F88" s="78"/>
      <c r="I88" s="497" t="s">
        <v>1572</v>
      </c>
      <c r="J88" s="499"/>
      <c r="K88" s="499"/>
      <c r="L88" s="499"/>
      <c r="M88" s="498"/>
      <c r="N88" s="1170">
        <f>($E$86*1000000)/(135000*1000)</f>
        <v>0</v>
      </c>
      <c r="O88" s="1171"/>
      <c r="T88" s="48" t="s">
        <v>1900</v>
      </c>
    </row>
    <row r="89" spans="1:25" s="68" customFormat="1" ht="18" customHeight="1" thickBot="1" x14ac:dyDescent="0.3">
      <c r="A89" s="78"/>
      <c r="B89" s="78"/>
      <c r="C89" s="78"/>
      <c r="D89" s="78"/>
      <c r="E89" s="78"/>
      <c r="F89" s="78"/>
      <c r="I89" s="497" t="s">
        <v>1573</v>
      </c>
      <c r="J89" s="499"/>
      <c r="K89" s="499"/>
      <c r="L89" s="499"/>
      <c r="M89" s="498"/>
      <c r="N89" s="1170">
        <f>($E$86*1000000)/(125071*1000)</f>
        <v>0</v>
      </c>
      <c r="O89" s="1171"/>
      <c r="T89" s="48" t="s">
        <v>1901</v>
      </c>
    </row>
    <row r="90" spans="1:25" s="68" customFormat="1" ht="18" customHeight="1" thickBot="1" x14ac:dyDescent="0.3">
      <c r="A90" s="78"/>
      <c r="B90" s="78"/>
      <c r="C90" s="78"/>
      <c r="D90" s="78"/>
      <c r="E90" s="78"/>
      <c r="F90" s="78"/>
      <c r="I90" s="497" t="s">
        <v>1574</v>
      </c>
      <c r="J90" s="499"/>
      <c r="K90" s="499"/>
      <c r="L90" s="499"/>
      <c r="M90" s="498"/>
      <c r="N90" s="1170">
        <f>($E$86*1000000)/(91333*1000)</f>
        <v>0</v>
      </c>
      <c r="O90" s="1171"/>
      <c r="T90" s="48" t="s">
        <v>1595</v>
      </c>
    </row>
    <row r="91" spans="1:25" s="68" customFormat="1" ht="18" customHeight="1" thickBot="1" x14ac:dyDescent="0.3">
      <c r="A91" s="78"/>
      <c r="B91" s="78"/>
      <c r="C91" s="78"/>
      <c r="D91" s="78"/>
      <c r="E91" s="78"/>
      <c r="F91" s="78"/>
      <c r="I91" s="497" t="s">
        <v>1575</v>
      </c>
      <c r="J91" s="499"/>
      <c r="K91" s="499"/>
      <c r="L91" s="499"/>
      <c r="M91" s="498"/>
      <c r="N91" s="1170">
        <f>($E$86*1000000)/(149690*1000)</f>
        <v>0</v>
      </c>
      <c r="O91" s="1171"/>
    </row>
    <row r="92" spans="1:25" s="68" customFormat="1" ht="18" customHeight="1" thickBot="1" x14ac:dyDescent="0.3">
      <c r="A92" s="497" t="s">
        <v>1577</v>
      </c>
      <c r="B92" s="499"/>
      <c r="C92" s="499"/>
      <c r="D92" s="499"/>
      <c r="E92" s="498"/>
      <c r="F92" s="499"/>
      <c r="G92" s="1205"/>
      <c r="H92" s="1206"/>
      <c r="I92" s="497" t="s">
        <v>1576</v>
      </c>
      <c r="J92" s="499"/>
      <c r="K92" s="499"/>
      <c r="L92" s="499"/>
      <c r="M92" s="498"/>
      <c r="N92" s="1170">
        <f>IFERROR((($E$86*1000000)/$G$92)/2000,0)</f>
        <v>0</v>
      </c>
      <c r="O92" s="1171"/>
    </row>
    <row r="93" spans="1:25" s="68" customFormat="1" ht="35.1" customHeight="1" thickBot="1" x14ac:dyDescent="0.3">
      <c r="A93" s="1187"/>
      <c r="B93" s="1187"/>
      <c r="C93" s="1187"/>
      <c r="D93" s="1187"/>
      <c r="E93" s="1187"/>
      <c r="F93" s="1187"/>
      <c r="G93" s="1187"/>
      <c r="H93" s="1187"/>
      <c r="I93" s="1187"/>
      <c r="J93" s="1187"/>
      <c r="K93" s="1187"/>
      <c r="L93" s="1187"/>
      <c r="M93" s="1187"/>
      <c r="N93" s="1187"/>
      <c r="O93" s="1187"/>
    </row>
    <row r="94" spans="1:25" s="70" customFormat="1" ht="19.5" thickBot="1" x14ac:dyDescent="0.3">
      <c r="A94" s="1087" t="s">
        <v>1449</v>
      </c>
      <c r="B94" s="1087"/>
      <c r="C94" s="1087"/>
      <c r="D94" s="1087"/>
      <c r="E94" s="1087"/>
      <c r="F94" s="1087"/>
      <c r="G94" s="1087"/>
      <c r="H94" s="1087"/>
      <c r="I94" s="1087"/>
      <c r="J94" s="1087"/>
      <c r="K94" s="1087"/>
      <c r="L94" s="1087"/>
      <c r="M94" s="1087"/>
      <c r="N94" s="1087"/>
      <c r="O94" s="1087"/>
    </row>
    <row r="95" spans="1:25" ht="60" customHeight="1" x14ac:dyDescent="0.25">
      <c r="A95" s="1179"/>
      <c r="B95" s="1179"/>
      <c r="C95" s="1179"/>
      <c r="D95" s="1179"/>
      <c r="E95" s="1179"/>
      <c r="F95" s="1179"/>
      <c r="G95" s="1179"/>
      <c r="H95" s="1179"/>
      <c r="I95" s="1179"/>
      <c r="J95" s="1179"/>
      <c r="K95" s="1179"/>
      <c r="L95" s="1179"/>
      <c r="M95" s="1179"/>
      <c r="N95" s="1179"/>
      <c r="O95" s="1179"/>
    </row>
    <row r="96" spans="1:25" ht="24.95" customHeight="1" x14ac:dyDescent="0.25">
      <c r="A96" s="1169" t="s">
        <v>1431</v>
      </c>
      <c r="B96" s="1169"/>
      <c r="C96" s="1169"/>
      <c r="D96" s="1169"/>
      <c r="E96" s="1169"/>
      <c r="F96" s="1169"/>
      <c r="G96" s="1169"/>
      <c r="H96" s="1169"/>
      <c r="I96" s="1169"/>
      <c r="J96" s="1169"/>
      <c r="K96" s="1169"/>
      <c r="L96" s="1169"/>
      <c r="M96" s="1169"/>
      <c r="N96" s="1169"/>
      <c r="O96" s="1169"/>
    </row>
    <row r="97" spans="1:41" ht="24.95" customHeight="1" thickBot="1" x14ac:dyDescent="0.3">
      <c r="A97" s="884" t="s">
        <v>2101</v>
      </c>
      <c r="B97" s="884"/>
      <c r="C97" s="884"/>
      <c r="D97" s="884"/>
      <c r="E97" s="884"/>
      <c r="F97" s="884"/>
      <c r="G97" s="884"/>
      <c r="H97" s="884"/>
      <c r="I97" s="884"/>
      <c r="J97" s="884"/>
      <c r="K97" s="884"/>
      <c r="L97" s="884"/>
      <c r="M97" s="884"/>
      <c r="N97" s="884"/>
      <c r="O97" s="884"/>
    </row>
    <row r="98" spans="1:41" s="129" customFormat="1" ht="30" customHeight="1" thickBot="1" x14ac:dyDescent="0.3">
      <c r="A98" s="1203" t="s">
        <v>1539</v>
      </c>
      <c r="B98" s="1203"/>
      <c r="C98" s="1203"/>
      <c r="D98" s="1203"/>
      <c r="E98" s="1203"/>
      <c r="F98" s="1203"/>
      <c r="G98" s="1203"/>
      <c r="H98" s="1203"/>
      <c r="I98" s="1203"/>
      <c r="J98" s="1203"/>
      <c r="K98" s="1203"/>
      <c r="L98" s="1203"/>
      <c r="M98" s="1203"/>
      <c r="N98" s="1203"/>
      <c r="O98" s="1203"/>
      <c r="S98" s="1067" t="s">
        <v>2099</v>
      </c>
      <c r="T98" s="1199"/>
      <c r="U98" s="1199"/>
      <c r="V98" s="1199"/>
      <c r="W98" s="1199"/>
      <c r="X98" s="1199"/>
      <c r="Y98" s="1199"/>
      <c r="Z98" s="1199"/>
      <c r="AA98" s="1068"/>
      <c r="AC98" s="1067" t="s">
        <v>2100</v>
      </c>
      <c r="AD98" s="1199"/>
      <c r="AE98" s="1199"/>
      <c r="AF98" s="1199"/>
      <c r="AG98" s="1199"/>
      <c r="AH98" s="1199"/>
      <c r="AI98" s="1199"/>
      <c r="AJ98" s="1199"/>
      <c r="AK98" s="1199"/>
      <c r="AL98" s="1199"/>
      <c r="AM98" s="1199"/>
      <c r="AN98" s="1199"/>
      <c r="AO98" s="1068"/>
    </row>
    <row r="99" spans="1:41" ht="45.75" thickBot="1" x14ac:dyDescent="0.3">
      <c r="A99" s="723" t="s">
        <v>1840</v>
      </c>
      <c r="B99" s="724" t="s">
        <v>271</v>
      </c>
      <c r="C99" s="724" t="s">
        <v>1566</v>
      </c>
      <c r="D99" s="724" t="s">
        <v>23</v>
      </c>
      <c r="E99" s="724" t="s">
        <v>1567</v>
      </c>
      <c r="F99" s="724" t="s">
        <v>1902</v>
      </c>
      <c r="G99" s="725" t="s">
        <v>26</v>
      </c>
      <c r="H99" s="722" t="s">
        <v>30</v>
      </c>
      <c r="I99" s="722" t="s">
        <v>3</v>
      </c>
      <c r="J99" s="722" t="s">
        <v>4</v>
      </c>
      <c r="K99" s="722" t="s">
        <v>0</v>
      </c>
      <c r="L99" s="722" t="s">
        <v>5</v>
      </c>
      <c r="M99" s="722" t="s">
        <v>2342</v>
      </c>
      <c r="N99" s="722" t="s">
        <v>24</v>
      </c>
      <c r="O99" s="726" t="s">
        <v>25</v>
      </c>
      <c r="S99" s="676" t="s">
        <v>26</v>
      </c>
      <c r="T99" s="109" t="s">
        <v>30</v>
      </c>
      <c r="U99" s="109" t="s">
        <v>3</v>
      </c>
      <c r="V99" s="109" t="s">
        <v>4</v>
      </c>
      <c r="W99" s="109" t="s">
        <v>0</v>
      </c>
      <c r="X99" s="109" t="s">
        <v>5</v>
      </c>
      <c r="Y99" s="109" t="s">
        <v>2342</v>
      </c>
      <c r="Z99" s="109" t="s">
        <v>24</v>
      </c>
      <c r="AA99" s="110" t="s">
        <v>25</v>
      </c>
      <c r="AC99" s="107" t="s">
        <v>271</v>
      </c>
      <c r="AD99" s="1067" t="s">
        <v>2095</v>
      </c>
      <c r="AE99" s="1199"/>
      <c r="AF99" s="1068"/>
      <c r="AG99" s="676" t="s">
        <v>26</v>
      </c>
      <c r="AH99" s="677" t="s">
        <v>30</v>
      </c>
      <c r="AI99" s="109" t="s">
        <v>3</v>
      </c>
      <c r="AJ99" s="109" t="s">
        <v>4</v>
      </c>
      <c r="AK99" s="109" t="s">
        <v>0</v>
      </c>
      <c r="AL99" s="109" t="s">
        <v>5</v>
      </c>
      <c r="AM99" s="109" t="s">
        <v>2342</v>
      </c>
      <c r="AN99" s="109" t="s">
        <v>24</v>
      </c>
      <c r="AO99" s="110" t="s">
        <v>25</v>
      </c>
    </row>
    <row r="100" spans="1:41" ht="18" customHeight="1" x14ac:dyDescent="0.25">
      <c r="A100" s="1188" t="str">
        <f>'Table 3-A| Emission Units'!A42:E42</f>
        <v>Grain Receiving Emission Units</v>
      </c>
      <c r="B100" s="1189"/>
      <c r="C100" s="1189"/>
      <c r="D100" s="1189"/>
      <c r="E100" s="1189"/>
      <c r="F100" s="1189"/>
      <c r="G100" s="1189"/>
      <c r="H100" s="1189"/>
      <c r="I100" s="1189"/>
      <c r="J100" s="1189"/>
      <c r="K100" s="1189"/>
      <c r="L100" s="1189"/>
      <c r="M100" s="1189"/>
      <c r="N100" s="1189"/>
      <c r="O100" s="1190"/>
      <c r="S100" s="1200" t="s">
        <v>2235</v>
      </c>
      <c r="T100" s="1201"/>
      <c r="U100" s="1201"/>
      <c r="V100" s="1201"/>
      <c r="W100" s="1201"/>
      <c r="X100" s="1201"/>
      <c r="Y100" s="1201"/>
      <c r="Z100" s="1201"/>
      <c r="AA100" s="1202"/>
      <c r="AC100" s="66">
        <v>30200551</v>
      </c>
      <c r="AD100" s="68" t="s">
        <v>1951</v>
      </c>
      <c r="AG100" s="678">
        <v>5.8999999999999997E-2</v>
      </c>
      <c r="AH100" s="678">
        <v>0.01</v>
      </c>
      <c r="AI100" s="678">
        <v>0</v>
      </c>
      <c r="AJ100" s="678">
        <v>0</v>
      </c>
      <c r="AK100" s="678">
        <v>0</v>
      </c>
      <c r="AL100" s="678">
        <v>0</v>
      </c>
      <c r="AM100" s="678">
        <v>0</v>
      </c>
      <c r="AN100" s="678">
        <v>0</v>
      </c>
      <c r="AO100" s="678">
        <v>0</v>
      </c>
    </row>
    <row r="101" spans="1:41" ht="18" customHeight="1" x14ac:dyDescent="0.25">
      <c r="A101" s="308">
        <f>IF('Table 3-A| Emission Units'!$A43=0,0,'Table 3-A| Emission Units'!A43&amp;"-"&amp;'Table 3-A| Emission Units'!B43)</f>
        <v>0</v>
      </c>
      <c r="B101" s="309">
        <f>IF('Table 3-A| Emission Units'!$A43=0,0,'Table 3-A| Emission Units'!C43)</f>
        <v>0</v>
      </c>
      <c r="C101" s="311">
        <f>IF($P$15=1,$J$6/8760*J15,0)</f>
        <v>0</v>
      </c>
      <c r="D101" s="398" t="s">
        <v>2093</v>
      </c>
      <c r="E101" s="311">
        <f>IF(OR(ISBLANK(C101),ISTEXT(C101)),0,C101*8760)</f>
        <v>0</v>
      </c>
      <c r="F101" s="311" t="str">
        <f>IF($A101="","","WebFIRE")</f>
        <v>WebFIRE</v>
      </c>
      <c r="G101" s="399">
        <f>IFERROR(IF($A101=0,0,IF($D101="tons",$E101*S101,IF($D101="bushels",$E101*0.03*S101,0))),0)</f>
        <v>0</v>
      </c>
      <c r="H101" s="400">
        <f>IFERROR(IF($A101=0,0,IF($D101="tons",$E101*T101,IF($D101="bushels",$E101*0.03*T101,0))),0)</f>
        <v>0</v>
      </c>
      <c r="I101" s="400">
        <f>IF($A101="","",0)</f>
        <v>0</v>
      </c>
      <c r="J101" s="400">
        <f t="shared" ref="J101:O106" si="9">IF($A101="","",0)</f>
        <v>0</v>
      </c>
      <c r="K101" s="400">
        <f t="shared" si="9"/>
        <v>0</v>
      </c>
      <c r="L101" s="400">
        <f t="shared" si="9"/>
        <v>0</v>
      </c>
      <c r="M101" s="400">
        <f t="shared" si="9"/>
        <v>0</v>
      </c>
      <c r="N101" s="400">
        <f t="shared" si="9"/>
        <v>0</v>
      </c>
      <c r="O101" s="401">
        <f>IF($A101="","",0)</f>
        <v>0</v>
      </c>
      <c r="S101" s="679">
        <f>IFERROR(VLOOKUP($B101,$AC$100:$AO$116,5,FALSE),0)</f>
        <v>0</v>
      </c>
      <c r="T101" s="680">
        <f>IFERROR(VLOOKUP($B101,$AC$100:$AO$116,6,FALSE),0)</f>
        <v>0</v>
      </c>
      <c r="U101" s="680">
        <f>IFERROR(VLOOKUP($B101,$AC$100:$AO$116,7,FALSE),0)</f>
        <v>0</v>
      </c>
      <c r="V101" s="680">
        <f>IFERROR(VLOOKUP($B101,$AC$100:$AO$116,8,FALSE),0)</f>
        <v>0</v>
      </c>
      <c r="W101" s="680">
        <f>IFERROR(VLOOKUP($B101,$AC$100:$AO$116,9,FALSE),0)</f>
        <v>0</v>
      </c>
      <c r="X101" s="680">
        <f>IFERROR(VLOOKUP($B101,$AC$100:$AO$116,10,FALSE),0)</f>
        <v>0</v>
      </c>
      <c r="Y101" s="680">
        <f>IFERROR(VLOOKUP($B101,$AC$100:$AO$116,11,FALSE),0)</f>
        <v>0</v>
      </c>
      <c r="Z101" s="680">
        <f>IFERROR(VLOOKUP($B101,$AC$100:$AO$116,12,FALSE),0)</f>
        <v>0</v>
      </c>
      <c r="AA101" s="681">
        <f>IFERROR(VLOOKUP($B101,$AC$100:$AO$116,13,FALSE),0)</f>
        <v>0</v>
      </c>
      <c r="AC101" s="66">
        <v>30200552</v>
      </c>
      <c r="AD101" s="68" t="s">
        <v>1952</v>
      </c>
      <c r="AG101" s="682">
        <v>7.7999999999999996E-3</v>
      </c>
      <c r="AH101" s="682">
        <v>1.2999999999999999E-3</v>
      </c>
      <c r="AI101" s="682">
        <v>0</v>
      </c>
      <c r="AJ101" s="682">
        <v>0</v>
      </c>
      <c r="AK101" s="682">
        <v>0</v>
      </c>
      <c r="AL101" s="682">
        <v>0</v>
      </c>
      <c r="AM101" s="682">
        <v>0</v>
      </c>
      <c r="AN101" s="682">
        <v>0</v>
      </c>
      <c r="AO101" s="682">
        <v>0</v>
      </c>
    </row>
    <row r="102" spans="1:41" ht="18" customHeight="1" x14ac:dyDescent="0.25">
      <c r="A102" s="308">
        <f>IF('Table 3-A| Emission Units'!$A44=0,0,'Table 3-A| Emission Units'!A44&amp;"-"&amp;'Table 3-A| Emission Units'!B44)</f>
        <v>0</v>
      </c>
      <c r="B102" s="309">
        <f>IF('Table 3-A| Emission Units'!$A44=0,0,'Table 3-A| Emission Units'!C44)</f>
        <v>0</v>
      </c>
      <c r="C102" s="311">
        <f>IF($P$15=1,$J$6/8760*K15,0)</f>
        <v>0</v>
      </c>
      <c r="D102" s="398" t="s">
        <v>2093</v>
      </c>
      <c r="E102" s="311">
        <f t="shared" ref="E102:E106" si="10">IF(OR(ISBLANK(C102),ISTEXT(C102)),0,C102*8760)</f>
        <v>0</v>
      </c>
      <c r="F102" s="311" t="str">
        <f t="shared" ref="F102:F106" si="11">IF($A102="","","WebFIRE")</f>
        <v>WebFIRE</v>
      </c>
      <c r="G102" s="399">
        <f t="shared" ref="G102:G106" si="12">IFERROR(IF($A102=0,0,IF($D102="tons",$E102*S102,IF($D102="bushels",$E102*0.03*S102,0))),0)</f>
        <v>0</v>
      </c>
      <c r="H102" s="400">
        <f t="shared" ref="H102:H106" si="13">IFERROR(IF($A102=0,0,IF($D102="tons",$E102*T102,IF($D102="bushels",$E102*0.03*T102,0))),0)</f>
        <v>0</v>
      </c>
      <c r="I102" s="400">
        <f t="shared" ref="I102:I106" si="14">IF($A102="","",0)</f>
        <v>0</v>
      </c>
      <c r="J102" s="400">
        <f t="shared" si="9"/>
        <v>0</v>
      </c>
      <c r="K102" s="400">
        <f t="shared" si="9"/>
        <v>0</v>
      </c>
      <c r="L102" s="400">
        <f t="shared" si="9"/>
        <v>0</v>
      </c>
      <c r="M102" s="400">
        <f t="shared" si="9"/>
        <v>0</v>
      </c>
      <c r="N102" s="400">
        <f t="shared" si="9"/>
        <v>0</v>
      </c>
      <c r="O102" s="401">
        <f t="shared" si="9"/>
        <v>0</v>
      </c>
      <c r="S102" s="679">
        <f t="shared" ref="S102:S106" si="15">IFERROR(VLOOKUP($B102,$AC$100:$AO$116,5,FALSE),0)</f>
        <v>0</v>
      </c>
      <c r="T102" s="680">
        <f t="shared" ref="T102:T106" si="16">IFERROR(VLOOKUP($B102,$AC$100:$AO$116,6,FALSE),0)</f>
        <v>0</v>
      </c>
      <c r="U102" s="680">
        <f t="shared" ref="U102:U106" si="17">IFERROR(VLOOKUP($B102,$AC$100:$AO$116,7,FALSE),0)</f>
        <v>0</v>
      </c>
      <c r="V102" s="680">
        <f t="shared" ref="V102:V106" si="18">IFERROR(VLOOKUP($B102,$AC$100:$AO$116,8,FALSE),0)</f>
        <v>0</v>
      </c>
      <c r="W102" s="680">
        <f t="shared" ref="W102:W106" si="19">IFERROR(VLOOKUP($B102,$AC$100:$AO$116,9,FALSE),0)</f>
        <v>0</v>
      </c>
      <c r="X102" s="680">
        <f t="shared" ref="X102:X106" si="20">IFERROR(VLOOKUP($B102,$AC$100:$AO$116,10,FALSE),0)</f>
        <v>0</v>
      </c>
      <c r="Y102" s="680">
        <f t="shared" ref="Y102:Y106" si="21">IFERROR(VLOOKUP($B102,$AC$100:$AO$116,11,FALSE),0)</f>
        <v>0</v>
      </c>
      <c r="Z102" s="680">
        <f t="shared" ref="Z102:Z106" si="22">IFERROR(VLOOKUP($B102,$AC$100:$AO$116,12,FALSE),0)</f>
        <v>0</v>
      </c>
      <c r="AA102" s="681">
        <f t="shared" ref="AA102:AA106" si="23">IFERROR(VLOOKUP($B102,$AC$100:$AO$116,13,FALSE),0)</f>
        <v>0</v>
      </c>
      <c r="AC102" s="66">
        <v>30200553</v>
      </c>
      <c r="AD102" s="68" t="s">
        <v>1953</v>
      </c>
      <c r="AG102" s="682">
        <v>7.7999999999999996E-3</v>
      </c>
      <c r="AH102" s="682">
        <v>1.2999999999999999E-3</v>
      </c>
      <c r="AI102" s="682">
        <v>0</v>
      </c>
      <c r="AJ102" s="682">
        <v>0</v>
      </c>
      <c r="AK102" s="682">
        <v>0</v>
      </c>
      <c r="AL102" s="682">
        <v>0</v>
      </c>
      <c r="AM102" s="682">
        <v>0</v>
      </c>
      <c r="AN102" s="682">
        <v>0</v>
      </c>
      <c r="AO102" s="682">
        <v>0</v>
      </c>
    </row>
    <row r="103" spans="1:41" ht="18" customHeight="1" x14ac:dyDescent="0.25">
      <c r="A103" s="308">
        <f>IF('Table 3-A| Emission Units'!$A45=0,0,'Table 3-A| Emission Units'!A45&amp;"-"&amp;'Table 3-A| Emission Units'!B45)</f>
        <v>0</v>
      </c>
      <c r="B103" s="309">
        <f>IF('Table 3-A| Emission Units'!$A45=0,0,'Table 3-A| Emission Units'!C45)</f>
        <v>0</v>
      </c>
      <c r="C103" s="311">
        <f>IF($P$15=1,$J$6/8760*L15,0)</f>
        <v>0</v>
      </c>
      <c r="D103" s="398" t="s">
        <v>2093</v>
      </c>
      <c r="E103" s="311">
        <f t="shared" si="10"/>
        <v>0</v>
      </c>
      <c r="F103" s="311" t="str">
        <f t="shared" si="11"/>
        <v>WebFIRE</v>
      </c>
      <c r="G103" s="399">
        <f t="shared" si="12"/>
        <v>0</v>
      </c>
      <c r="H103" s="400">
        <f t="shared" si="13"/>
        <v>0</v>
      </c>
      <c r="I103" s="400">
        <f t="shared" si="14"/>
        <v>0</v>
      </c>
      <c r="J103" s="400">
        <f t="shared" si="9"/>
        <v>0</v>
      </c>
      <c r="K103" s="400">
        <f t="shared" si="9"/>
        <v>0</v>
      </c>
      <c r="L103" s="400">
        <f t="shared" si="9"/>
        <v>0</v>
      </c>
      <c r="M103" s="400">
        <f t="shared" si="9"/>
        <v>0</v>
      </c>
      <c r="N103" s="400">
        <f t="shared" si="9"/>
        <v>0</v>
      </c>
      <c r="O103" s="401">
        <f t="shared" si="9"/>
        <v>0</v>
      </c>
      <c r="S103" s="679">
        <f t="shared" si="15"/>
        <v>0</v>
      </c>
      <c r="T103" s="680">
        <f t="shared" si="16"/>
        <v>0</v>
      </c>
      <c r="U103" s="680">
        <f t="shared" si="17"/>
        <v>0</v>
      </c>
      <c r="V103" s="680">
        <f t="shared" si="18"/>
        <v>0</v>
      </c>
      <c r="W103" s="680">
        <f t="shared" si="19"/>
        <v>0</v>
      </c>
      <c r="X103" s="680">
        <f t="shared" si="20"/>
        <v>0</v>
      </c>
      <c r="Y103" s="680">
        <f t="shared" si="21"/>
        <v>0</v>
      </c>
      <c r="Z103" s="680">
        <f t="shared" si="22"/>
        <v>0</v>
      </c>
      <c r="AA103" s="681">
        <f t="shared" si="23"/>
        <v>0</v>
      </c>
      <c r="AC103" s="66">
        <v>30200530</v>
      </c>
      <c r="AD103" s="68" t="s">
        <v>2096</v>
      </c>
      <c r="AG103" s="682">
        <f>0.034*2.13</f>
        <v>7.2419999999999998E-2</v>
      </c>
      <c r="AH103" s="682">
        <f>0.0058*2.13</f>
        <v>1.2353999999999999E-2</v>
      </c>
      <c r="AI103" s="682">
        <v>0</v>
      </c>
      <c r="AJ103" s="682">
        <v>0</v>
      </c>
      <c r="AK103" s="682">
        <v>0</v>
      </c>
      <c r="AL103" s="682">
        <v>0</v>
      </c>
      <c r="AM103" s="682">
        <v>0</v>
      </c>
      <c r="AN103" s="682">
        <v>0</v>
      </c>
      <c r="AO103" s="682">
        <v>0</v>
      </c>
    </row>
    <row r="104" spans="1:41" ht="18" customHeight="1" x14ac:dyDescent="0.25">
      <c r="A104" s="308">
        <f>IF('Table 3-A| Emission Units'!$A46=0,0,'Table 3-A| Emission Units'!A46&amp;"-"&amp;'Table 3-A| Emission Units'!B46)</f>
        <v>0</v>
      </c>
      <c r="B104" s="309">
        <f>IF('Table 3-A| Emission Units'!$A46=0,0,'Table 3-A| Emission Units'!C46)</f>
        <v>0</v>
      </c>
      <c r="C104" s="311">
        <f>IF($P$15=1,$J$6/8760*M15,0)</f>
        <v>0</v>
      </c>
      <c r="D104" s="398" t="s">
        <v>2093</v>
      </c>
      <c r="E104" s="311">
        <f t="shared" si="10"/>
        <v>0</v>
      </c>
      <c r="F104" s="311" t="str">
        <f t="shared" si="11"/>
        <v>WebFIRE</v>
      </c>
      <c r="G104" s="399">
        <f t="shared" si="12"/>
        <v>0</v>
      </c>
      <c r="H104" s="400">
        <f t="shared" si="13"/>
        <v>0</v>
      </c>
      <c r="I104" s="400">
        <f t="shared" si="14"/>
        <v>0</v>
      </c>
      <c r="J104" s="400">
        <f t="shared" si="9"/>
        <v>0</v>
      </c>
      <c r="K104" s="400">
        <f t="shared" si="9"/>
        <v>0</v>
      </c>
      <c r="L104" s="400">
        <f t="shared" si="9"/>
        <v>0</v>
      </c>
      <c r="M104" s="400">
        <f t="shared" si="9"/>
        <v>0</v>
      </c>
      <c r="N104" s="400">
        <f t="shared" si="9"/>
        <v>0</v>
      </c>
      <c r="O104" s="401">
        <f t="shared" si="9"/>
        <v>0</v>
      </c>
      <c r="S104" s="679">
        <f t="shared" si="15"/>
        <v>0</v>
      </c>
      <c r="T104" s="680">
        <f t="shared" si="16"/>
        <v>0</v>
      </c>
      <c r="U104" s="680">
        <f t="shared" si="17"/>
        <v>0</v>
      </c>
      <c r="V104" s="680">
        <f t="shared" si="18"/>
        <v>0</v>
      </c>
      <c r="W104" s="680">
        <f t="shared" si="19"/>
        <v>0</v>
      </c>
      <c r="X104" s="680">
        <f t="shared" si="20"/>
        <v>0</v>
      </c>
      <c r="Y104" s="680">
        <f t="shared" si="21"/>
        <v>0</v>
      </c>
      <c r="Z104" s="680">
        <f t="shared" si="22"/>
        <v>0</v>
      </c>
      <c r="AA104" s="681">
        <f t="shared" si="23"/>
        <v>0</v>
      </c>
      <c r="AC104" s="66">
        <v>30200560</v>
      </c>
      <c r="AD104" s="68" t="s">
        <v>1955</v>
      </c>
      <c r="AG104" s="682">
        <v>2.9000000000000001E-2</v>
      </c>
      <c r="AH104" s="682">
        <v>4.8999999999999998E-3</v>
      </c>
      <c r="AI104" s="682">
        <v>0</v>
      </c>
      <c r="AJ104" s="682">
        <v>0</v>
      </c>
      <c r="AK104" s="682">
        <v>0</v>
      </c>
      <c r="AL104" s="682">
        <v>0</v>
      </c>
      <c r="AM104" s="682">
        <v>0</v>
      </c>
      <c r="AN104" s="682">
        <v>0</v>
      </c>
      <c r="AO104" s="682">
        <v>0</v>
      </c>
    </row>
    <row r="105" spans="1:41" ht="18" customHeight="1" x14ac:dyDescent="0.25">
      <c r="A105" s="308">
        <f>IF('Table 3-A| Emission Units'!$A47=0,0,'Table 3-A| Emission Units'!A47&amp;"-"&amp;'Table 3-A| Emission Units'!B47)</f>
        <v>0</v>
      </c>
      <c r="B105" s="309">
        <f>IF('Table 3-A| Emission Units'!$A47=0,0,'Table 3-A| Emission Units'!C47)</f>
        <v>0</v>
      </c>
      <c r="C105" s="311">
        <f>IF($P$15=1,$J$6/8760*N15,0)</f>
        <v>0</v>
      </c>
      <c r="D105" s="398" t="s">
        <v>2093</v>
      </c>
      <c r="E105" s="311">
        <f t="shared" si="10"/>
        <v>0</v>
      </c>
      <c r="F105" s="311" t="str">
        <f t="shared" si="11"/>
        <v>WebFIRE</v>
      </c>
      <c r="G105" s="399">
        <f t="shared" si="12"/>
        <v>0</v>
      </c>
      <c r="H105" s="400">
        <f t="shared" si="13"/>
        <v>0</v>
      </c>
      <c r="I105" s="400">
        <f t="shared" si="14"/>
        <v>0</v>
      </c>
      <c r="J105" s="400">
        <f t="shared" si="9"/>
        <v>0</v>
      </c>
      <c r="K105" s="400">
        <f t="shared" si="9"/>
        <v>0</v>
      </c>
      <c r="L105" s="400">
        <f t="shared" si="9"/>
        <v>0</v>
      </c>
      <c r="M105" s="400">
        <f t="shared" si="9"/>
        <v>0</v>
      </c>
      <c r="N105" s="400">
        <f t="shared" si="9"/>
        <v>0</v>
      </c>
      <c r="O105" s="401">
        <f t="shared" si="9"/>
        <v>0</v>
      </c>
      <c r="S105" s="679">
        <f t="shared" si="15"/>
        <v>0</v>
      </c>
      <c r="T105" s="680">
        <f t="shared" si="16"/>
        <v>0</v>
      </c>
      <c r="U105" s="680">
        <f t="shared" si="17"/>
        <v>0</v>
      </c>
      <c r="V105" s="680">
        <f t="shared" si="18"/>
        <v>0</v>
      </c>
      <c r="W105" s="680">
        <f t="shared" si="19"/>
        <v>0</v>
      </c>
      <c r="X105" s="680">
        <f t="shared" si="20"/>
        <v>0</v>
      </c>
      <c r="Y105" s="680">
        <f t="shared" si="21"/>
        <v>0</v>
      </c>
      <c r="Z105" s="680">
        <f t="shared" si="22"/>
        <v>0</v>
      </c>
      <c r="AA105" s="681">
        <f t="shared" si="23"/>
        <v>0</v>
      </c>
      <c r="AC105" s="66">
        <v>30200563</v>
      </c>
      <c r="AD105" s="68" t="s">
        <v>1954</v>
      </c>
      <c r="AG105" s="682">
        <v>2.2000000000000001E-3</v>
      </c>
      <c r="AH105" s="682">
        <v>3.6999999999999999E-4</v>
      </c>
      <c r="AI105" s="682">
        <v>0</v>
      </c>
      <c r="AJ105" s="682">
        <v>0</v>
      </c>
      <c r="AK105" s="682">
        <v>0</v>
      </c>
      <c r="AL105" s="682">
        <v>0</v>
      </c>
      <c r="AM105" s="682">
        <v>0</v>
      </c>
      <c r="AN105" s="682">
        <v>0</v>
      </c>
      <c r="AO105" s="682">
        <v>0</v>
      </c>
    </row>
    <row r="106" spans="1:41" ht="18" customHeight="1" thickBot="1" x14ac:dyDescent="0.3">
      <c r="A106" s="308">
        <f>IF('Table 3-A| Emission Units'!$A48=0,0,'Table 3-A| Emission Units'!A48&amp;"-"&amp;'Table 3-A| Emission Units'!B48)</f>
        <v>0</v>
      </c>
      <c r="B106" s="309">
        <f>IF('Table 3-A| Emission Units'!$A48=0,0,'Table 3-A| Emission Units'!C48)</f>
        <v>0</v>
      </c>
      <c r="C106" s="311">
        <f>IF($P$15=1,$J$6/8760*O15,0)</f>
        <v>0</v>
      </c>
      <c r="D106" s="398" t="s">
        <v>2093</v>
      </c>
      <c r="E106" s="311">
        <f t="shared" si="10"/>
        <v>0</v>
      </c>
      <c r="F106" s="311" t="str">
        <f t="shared" si="11"/>
        <v>WebFIRE</v>
      </c>
      <c r="G106" s="399">
        <f t="shared" si="12"/>
        <v>0</v>
      </c>
      <c r="H106" s="400">
        <f t="shared" si="13"/>
        <v>0</v>
      </c>
      <c r="I106" s="400">
        <f t="shared" si="14"/>
        <v>0</v>
      </c>
      <c r="J106" s="400">
        <f t="shared" si="9"/>
        <v>0</v>
      </c>
      <c r="K106" s="400">
        <f t="shared" si="9"/>
        <v>0</v>
      </c>
      <c r="L106" s="400">
        <f t="shared" si="9"/>
        <v>0</v>
      </c>
      <c r="M106" s="400">
        <f t="shared" si="9"/>
        <v>0</v>
      </c>
      <c r="N106" s="400">
        <f t="shared" si="9"/>
        <v>0</v>
      </c>
      <c r="O106" s="401">
        <f t="shared" si="9"/>
        <v>0</v>
      </c>
      <c r="S106" s="679">
        <f t="shared" si="15"/>
        <v>0</v>
      </c>
      <c r="T106" s="680">
        <f t="shared" si="16"/>
        <v>0</v>
      </c>
      <c r="U106" s="680">
        <f t="shared" si="17"/>
        <v>0</v>
      </c>
      <c r="V106" s="680">
        <f t="shared" si="18"/>
        <v>0</v>
      </c>
      <c r="W106" s="680">
        <f t="shared" si="19"/>
        <v>0</v>
      </c>
      <c r="X106" s="680">
        <f t="shared" si="20"/>
        <v>0</v>
      </c>
      <c r="Y106" s="680">
        <f t="shared" si="21"/>
        <v>0</v>
      </c>
      <c r="Z106" s="680">
        <f t="shared" si="22"/>
        <v>0</v>
      </c>
      <c r="AA106" s="681">
        <f t="shared" si="23"/>
        <v>0</v>
      </c>
      <c r="AC106" s="66">
        <v>30200540</v>
      </c>
      <c r="AD106" s="68" t="s">
        <v>2097</v>
      </c>
      <c r="AG106" s="682">
        <v>6.3E-3</v>
      </c>
      <c r="AH106" s="682">
        <v>1.1000000000000001E-3</v>
      </c>
      <c r="AI106" s="682">
        <v>0</v>
      </c>
      <c r="AJ106" s="682">
        <v>0</v>
      </c>
      <c r="AK106" s="682">
        <v>0</v>
      </c>
      <c r="AL106" s="682">
        <v>0</v>
      </c>
      <c r="AM106" s="682">
        <v>0</v>
      </c>
      <c r="AN106" s="682">
        <v>0</v>
      </c>
      <c r="AO106" s="682">
        <v>0</v>
      </c>
    </row>
    <row r="107" spans="1:41" ht="18" customHeight="1" x14ac:dyDescent="0.25">
      <c r="A107" s="1188" t="str">
        <f>'Table 3-A| Emission Units'!A49:E49</f>
        <v>Elevator Leg Emission Units</v>
      </c>
      <c r="B107" s="1189"/>
      <c r="C107" s="1189"/>
      <c r="D107" s="1189"/>
      <c r="E107" s="1189"/>
      <c r="F107" s="1189"/>
      <c r="G107" s="1189"/>
      <c r="H107" s="1189"/>
      <c r="I107" s="1189"/>
      <c r="J107" s="1189"/>
      <c r="K107" s="1189"/>
      <c r="L107" s="1189"/>
      <c r="M107" s="1189"/>
      <c r="N107" s="1189"/>
      <c r="O107" s="1190"/>
      <c r="S107" s="1200" t="s">
        <v>2245</v>
      </c>
      <c r="T107" s="1201"/>
      <c r="U107" s="1201"/>
      <c r="V107" s="1201"/>
      <c r="W107" s="1201"/>
      <c r="X107" s="1201"/>
      <c r="Y107" s="1201"/>
      <c r="Z107" s="1201"/>
      <c r="AA107" s="1202"/>
      <c r="AC107" s="66">
        <v>30200537</v>
      </c>
      <c r="AD107" s="68" t="s">
        <v>1958</v>
      </c>
      <c r="AG107" s="682">
        <v>1.9E-2</v>
      </c>
      <c r="AH107" s="682">
        <v>3.2000000000000002E-3</v>
      </c>
      <c r="AI107" s="682">
        <v>0</v>
      </c>
      <c r="AJ107" s="682">
        <v>0</v>
      </c>
      <c r="AK107" s="682">
        <v>0</v>
      </c>
      <c r="AL107" s="682">
        <v>0</v>
      </c>
      <c r="AM107" s="682">
        <v>0</v>
      </c>
      <c r="AN107" s="682">
        <v>0</v>
      </c>
      <c r="AO107" s="682">
        <v>0</v>
      </c>
    </row>
    <row r="108" spans="1:41" ht="18" customHeight="1" x14ac:dyDescent="0.25">
      <c r="A108" s="308">
        <f>IF('Table 3-A| Emission Units'!$A50=0,0,'Table 3-A| Emission Units'!A50&amp;"-"&amp;'Table 3-A| Emission Units'!B50)</f>
        <v>0</v>
      </c>
      <c r="B108" s="309">
        <f>IF('Table 3-A| Emission Units'!$A50=0,0,'Table 3-A| Emission Units'!C50)</f>
        <v>0</v>
      </c>
      <c r="C108" s="311">
        <f>IF($P$23=1,$J$6/8760*J23,0)</f>
        <v>0</v>
      </c>
      <c r="D108" s="398" t="s">
        <v>2093</v>
      </c>
      <c r="E108" s="311">
        <f t="shared" ref="E108:E113" si="24">IF(OR(ISBLANK(C108),ISTEXT(C108)),0,C108*8760)</f>
        <v>0</v>
      </c>
      <c r="F108" s="311" t="str">
        <f t="shared" ref="F108:F113" si="25">IF($A108="","","WebFIRE")</f>
        <v>WebFIRE</v>
      </c>
      <c r="G108" s="399">
        <f t="shared" ref="G108:G113" si="26">IFERROR(IF($A108=0,0,IF($D108="tons",$E108*S108,IF($D108="bushels",$E108*0.03*S108,0))),0)</f>
        <v>0</v>
      </c>
      <c r="H108" s="400">
        <f t="shared" ref="H108:H113" si="27">IFERROR(IF($A108=0,0,IF($D108="tons",$E108*T108,IF($D108="bushels",$E108*0.03*T108,0))),0)</f>
        <v>0</v>
      </c>
      <c r="I108" s="400">
        <f t="shared" ref="I108:O113" si="28">IF($A108="","",0)</f>
        <v>0</v>
      </c>
      <c r="J108" s="400">
        <f t="shared" si="28"/>
        <v>0</v>
      </c>
      <c r="K108" s="400">
        <f t="shared" si="28"/>
        <v>0</v>
      </c>
      <c r="L108" s="400">
        <f t="shared" si="28"/>
        <v>0</v>
      </c>
      <c r="M108" s="400">
        <f t="shared" si="28"/>
        <v>0</v>
      </c>
      <c r="N108" s="400">
        <f t="shared" si="28"/>
        <v>0</v>
      </c>
      <c r="O108" s="401">
        <f t="shared" si="28"/>
        <v>0</v>
      </c>
      <c r="S108" s="679">
        <f t="shared" ref="S108:S113" si="29">IFERROR(VLOOKUP($B108,$AC$100:$AO$116,5,FALSE),0)</f>
        <v>0</v>
      </c>
      <c r="T108" s="680">
        <f t="shared" ref="T108:T113" si="30">IFERROR(VLOOKUP($B108,$AC$100:$AO$116,6,FALSE),0)</f>
        <v>0</v>
      </c>
      <c r="U108" s="680">
        <f t="shared" ref="U108:U113" si="31">IFERROR(VLOOKUP($B108,$AC$100:$AO$116,7,FALSE),0)</f>
        <v>0</v>
      </c>
      <c r="V108" s="680">
        <f t="shared" ref="V108:V113" si="32">IFERROR(VLOOKUP($B108,$AC$100:$AO$116,8,FALSE),0)</f>
        <v>0</v>
      </c>
      <c r="W108" s="680">
        <f t="shared" ref="W108:W113" si="33">IFERROR(VLOOKUP($B108,$AC$100:$AO$116,9,FALSE),0)</f>
        <v>0</v>
      </c>
      <c r="X108" s="680">
        <f t="shared" ref="X108:X113" si="34">IFERROR(VLOOKUP($B108,$AC$100:$AO$116,10,FALSE),0)</f>
        <v>0</v>
      </c>
      <c r="Y108" s="680">
        <f t="shared" ref="Y108:Y113" si="35">IFERROR(VLOOKUP($B108,$AC$100:$AO$116,11,FALSE),0)</f>
        <v>0</v>
      </c>
      <c r="Z108" s="680">
        <f t="shared" ref="Z108:Z113" si="36">IFERROR(VLOOKUP($B108,$AC$100:$AO$116,12,FALSE),0)</f>
        <v>0</v>
      </c>
      <c r="AA108" s="681">
        <f t="shared" ref="AA108:AA113" si="37">IFERROR(VLOOKUP($B108,$AC$100:$AO$116,13,FALSE),0)</f>
        <v>0</v>
      </c>
      <c r="AC108" s="66">
        <v>30200527</v>
      </c>
      <c r="AD108" s="68" t="s">
        <v>1960</v>
      </c>
      <c r="AG108" s="682">
        <v>5.5E-2</v>
      </c>
      <c r="AH108" s="682">
        <v>9.4000000000000004E-3</v>
      </c>
      <c r="AI108" s="682">
        <v>0</v>
      </c>
      <c r="AJ108" s="682">
        <v>0</v>
      </c>
      <c r="AK108" s="682">
        <v>0</v>
      </c>
      <c r="AL108" s="682">
        <v>0</v>
      </c>
      <c r="AM108" s="682">
        <v>0</v>
      </c>
      <c r="AN108" s="682">
        <v>0</v>
      </c>
      <c r="AO108" s="682">
        <v>0</v>
      </c>
    </row>
    <row r="109" spans="1:41" ht="18" customHeight="1" x14ac:dyDescent="0.25">
      <c r="A109" s="308">
        <f>IF('Table 3-A| Emission Units'!$A51=0,0,'Table 3-A| Emission Units'!A51&amp;"-"&amp;'Table 3-A| Emission Units'!B51)</f>
        <v>0</v>
      </c>
      <c r="B109" s="309">
        <f>IF('Table 3-A| Emission Units'!$A51=0,0,'Table 3-A| Emission Units'!C51)</f>
        <v>0</v>
      </c>
      <c r="C109" s="311">
        <f>IF($P$23=1,$J$6/8760*K23,0)</f>
        <v>0</v>
      </c>
      <c r="D109" s="398" t="s">
        <v>2093</v>
      </c>
      <c r="E109" s="311">
        <f t="shared" si="24"/>
        <v>0</v>
      </c>
      <c r="F109" s="311" t="str">
        <f t="shared" si="25"/>
        <v>WebFIRE</v>
      </c>
      <c r="G109" s="399">
        <f t="shared" si="26"/>
        <v>0</v>
      </c>
      <c r="H109" s="400">
        <f t="shared" si="27"/>
        <v>0</v>
      </c>
      <c r="I109" s="400">
        <f t="shared" si="28"/>
        <v>0</v>
      </c>
      <c r="J109" s="400">
        <f t="shared" si="28"/>
        <v>0</v>
      </c>
      <c r="K109" s="400">
        <f t="shared" si="28"/>
        <v>0</v>
      </c>
      <c r="L109" s="400">
        <f t="shared" si="28"/>
        <v>0</v>
      </c>
      <c r="M109" s="400">
        <f t="shared" si="28"/>
        <v>0</v>
      </c>
      <c r="N109" s="400">
        <f t="shared" si="28"/>
        <v>0</v>
      </c>
      <c r="O109" s="401">
        <f t="shared" si="28"/>
        <v>0</v>
      </c>
      <c r="S109" s="679">
        <f t="shared" si="29"/>
        <v>0</v>
      </c>
      <c r="T109" s="680">
        <f t="shared" si="30"/>
        <v>0</v>
      </c>
      <c r="U109" s="680">
        <f t="shared" si="31"/>
        <v>0</v>
      </c>
      <c r="V109" s="680">
        <f t="shared" si="32"/>
        <v>0</v>
      </c>
      <c r="W109" s="680">
        <f t="shared" si="33"/>
        <v>0</v>
      </c>
      <c r="X109" s="680">
        <f t="shared" si="34"/>
        <v>0</v>
      </c>
      <c r="Y109" s="680">
        <f t="shared" si="35"/>
        <v>0</v>
      </c>
      <c r="Z109" s="680">
        <f t="shared" si="36"/>
        <v>0</v>
      </c>
      <c r="AA109" s="681">
        <f t="shared" si="37"/>
        <v>0</v>
      </c>
      <c r="AC109" s="66">
        <v>30200528</v>
      </c>
      <c r="AD109" s="68" t="s">
        <v>1959</v>
      </c>
      <c r="AG109" s="682">
        <v>0.75</v>
      </c>
      <c r="AH109" s="682">
        <v>0.13</v>
      </c>
      <c r="AI109" s="682">
        <v>0</v>
      </c>
      <c r="AJ109" s="682">
        <v>0</v>
      </c>
      <c r="AK109" s="682">
        <v>0</v>
      </c>
      <c r="AL109" s="682">
        <v>0</v>
      </c>
      <c r="AM109" s="682">
        <v>0</v>
      </c>
      <c r="AN109" s="682">
        <v>0</v>
      </c>
      <c r="AO109" s="682">
        <v>0</v>
      </c>
    </row>
    <row r="110" spans="1:41" ht="18" customHeight="1" x14ac:dyDescent="0.25">
      <c r="A110" s="308">
        <f>IF('Table 3-A| Emission Units'!$A52=0,0,'Table 3-A| Emission Units'!A52&amp;"-"&amp;'Table 3-A| Emission Units'!B52)</f>
        <v>0</v>
      </c>
      <c r="B110" s="309">
        <f>IF('Table 3-A| Emission Units'!$A52=0,0,'Table 3-A| Emission Units'!C52)</f>
        <v>0</v>
      </c>
      <c r="C110" s="311">
        <f>IF($P$23=1,$J$6/8760*L23,0)</f>
        <v>0</v>
      </c>
      <c r="D110" s="398" t="s">
        <v>2093</v>
      </c>
      <c r="E110" s="311">
        <f t="shared" si="24"/>
        <v>0</v>
      </c>
      <c r="F110" s="311" t="str">
        <f t="shared" si="25"/>
        <v>WebFIRE</v>
      </c>
      <c r="G110" s="399">
        <f t="shared" si="26"/>
        <v>0</v>
      </c>
      <c r="H110" s="400">
        <f t="shared" si="27"/>
        <v>0</v>
      </c>
      <c r="I110" s="400">
        <f t="shared" si="28"/>
        <v>0</v>
      </c>
      <c r="J110" s="400">
        <f t="shared" si="28"/>
        <v>0</v>
      </c>
      <c r="K110" s="400">
        <f t="shared" si="28"/>
        <v>0</v>
      </c>
      <c r="L110" s="400">
        <f t="shared" si="28"/>
        <v>0</v>
      </c>
      <c r="M110" s="400">
        <f t="shared" si="28"/>
        <v>0</v>
      </c>
      <c r="N110" s="400">
        <f t="shared" si="28"/>
        <v>0</v>
      </c>
      <c r="O110" s="401">
        <f t="shared" si="28"/>
        <v>0</v>
      </c>
      <c r="S110" s="679">
        <f t="shared" si="29"/>
        <v>0</v>
      </c>
      <c r="T110" s="680">
        <f t="shared" si="30"/>
        <v>0</v>
      </c>
      <c r="U110" s="680">
        <f t="shared" si="31"/>
        <v>0</v>
      </c>
      <c r="V110" s="680">
        <f t="shared" si="32"/>
        <v>0</v>
      </c>
      <c r="W110" s="680">
        <f t="shared" si="33"/>
        <v>0</v>
      </c>
      <c r="X110" s="680">
        <f t="shared" si="34"/>
        <v>0</v>
      </c>
      <c r="Y110" s="680">
        <f t="shared" si="35"/>
        <v>0</v>
      </c>
      <c r="Z110" s="680">
        <f t="shared" si="36"/>
        <v>0</v>
      </c>
      <c r="AA110" s="681">
        <f t="shared" si="37"/>
        <v>0</v>
      </c>
      <c r="AC110" s="66">
        <v>10500106</v>
      </c>
      <c r="AD110" s="68" t="s">
        <v>1435</v>
      </c>
      <c r="AG110" s="682">
        <v>8.4712755598831541E-3</v>
      </c>
      <c r="AH110" s="682">
        <v>8.4712755598831541E-3</v>
      </c>
      <c r="AI110" s="682">
        <v>9.7370983446932818E-2</v>
      </c>
      <c r="AJ110" s="682">
        <v>5.8422590068159686E-4</v>
      </c>
      <c r="AK110" s="682">
        <v>5.1606621226874393E-2</v>
      </c>
      <c r="AL110" s="682">
        <v>1.9474196689386564E-2</v>
      </c>
      <c r="AM110" s="682">
        <v>117.53953261927944</v>
      </c>
      <c r="AN110" s="682">
        <v>0</v>
      </c>
      <c r="AO110" s="682">
        <v>1.8500486854917235E-3</v>
      </c>
    </row>
    <row r="111" spans="1:41" ht="18" customHeight="1" x14ac:dyDescent="0.25">
      <c r="A111" s="308">
        <f>IF('Table 3-A| Emission Units'!$A53=0,0,'Table 3-A| Emission Units'!A53&amp;"-"&amp;'Table 3-A| Emission Units'!B53)</f>
        <v>0</v>
      </c>
      <c r="B111" s="309">
        <f>IF('Table 3-A| Emission Units'!$A53=0,0,'Table 3-A| Emission Units'!C53)</f>
        <v>0</v>
      </c>
      <c r="C111" s="311">
        <f>IF($P$23=1,$J$6/8760*M23,0)</f>
        <v>0</v>
      </c>
      <c r="D111" s="398" t="s">
        <v>2093</v>
      </c>
      <c r="E111" s="311">
        <f t="shared" si="24"/>
        <v>0</v>
      </c>
      <c r="F111" s="311" t="str">
        <f t="shared" si="25"/>
        <v>WebFIRE</v>
      </c>
      <c r="G111" s="399">
        <f t="shared" si="26"/>
        <v>0</v>
      </c>
      <c r="H111" s="400">
        <f t="shared" si="27"/>
        <v>0</v>
      </c>
      <c r="I111" s="400">
        <f t="shared" si="28"/>
        <v>0</v>
      </c>
      <c r="J111" s="400">
        <f t="shared" si="28"/>
        <v>0</v>
      </c>
      <c r="K111" s="400">
        <f t="shared" si="28"/>
        <v>0</v>
      </c>
      <c r="L111" s="400">
        <f t="shared" si="28"/>
        <v>0</v>
      </c>
      <c r="M111" s="400">
        <f t="shared" si="28"/>
        <v>0</v>
      </c>
      <c r="N111" s="400">
        <f t="shared" si="28"/>
        <v>0</v>
      </c>
      <c r="O111" s="401">
        <f t="shared" si="28"/>
        <v>0</v>
      </c>
      <c r="P111" s="129"/>
      <c r="Q111" s="129"/>
      <c r="R111" s="129"/>
      <c r="S111" s="683">
        <f t="shared" si="29"/>
        <v>0</v>
      </c>
      <c r="T111" s="684">
        <f t="shared" si="30"/>
        <v>0</v>
      </c>
      <c r="U111" s="684">
        <f t="shared" si="31"/>
        <v>0</v>
      </c>
      <c r="V111" s="680">
        <f t="shared" si="32"/>
        <v>0</v>
      </c>
      <c r="W111" s="680">
        <f t="shared" si="33"/>
        <v>0</v>
      </c>
      <c r="X111" s="680">
        <f t="shared" si="34"/>
        <v>0</v>
      </c>
      <c r="Y111" s="680">
        <f t="shared" si="35"/>
        <v>0</v>
      </c>
      <c r="Z111" s="680">
        <f t="shared" si="36"/>
        <v>0</v>
      </c>
      <c r="AA111" s="681">
        <f t="shared" si="37"/>
        <v>0</v>
      </c>
      <c r="AC111" s="66">
        <v>10500110</v>
      </c>
      <c r="AD111" s="68" t="s">
        <v>1516</v>
      </c>
      <c r="AG111" s="682">
        <v>1.2306010928961747E-2</v>
      </c>
      <c r="AH111" s="682">
        <v>1.2306010928961747E-2</v>
      </c>
      <c r="AI111" s="682">
        <v>0.14207650273224043</v>
      </c>
      <c r="AJ111" s="682">
        <v>1.5573770491803279E-2</v>
      </c>
      <c r="AK111" s="682">
        <v>1.092896174863388E-2</v>
      </c>
      <c r="AL111" s="682">
        <v>8.1967213114754092E-2</v>
      </c>
      <c r="AM111" s="682">
        <v>139.59781420765029</v>
      </c>
      <c r="AN111" s="682">
        <v>0</v>
      </c>
      <c r="AO111" s="682">
        <v>2.185792349726776E-3</v>
      </c>
    </row>
    <row r="112" spans="1:41" ht="18" customHeight="1" x14ac:dyDescent="0.25">
      <c r="A112" s="308">
        <f>IF('Table 3-A| Emission Units'!$A54=0,0,'Table 3-A| Emission Units'!A54&amp;"-"&amp;'Table 3-A| Emission Units'!B54)</f>
        <v>0</v>
      </c>
      <c r="B112" s="309">
        <f>IF('Table 3-A| Emission Units'!$A54=0,0,'Table 3-A| Emission Units'!C54)</f>
        <v>0</v>
      </c>
      <c r="C112" s="311">
        <f>IF($P$23=1,$J$6/8760*N23,0)</f>
        <v>0</v>
      </c>
      <c r="D112" s="398" t="s">
        <v>2093</v>
      </c>
      <c r="E112" s="311">
        <f t="shared" si="24"/>
        <v>0</v>
      </c>
      <c r="F112" s="311" t="str">
        <f t="shared" si="25"/>
        <v>WebFIRE</v>
      </c>
      <c r="G112" s="399">
        <f t="shared" si="26"/>
        <v>0</v>
      </c>
      <c r="H112" s="400">
        <f t="shared" si="27"/>
        <v>0</v>
      </c>
      <c r="I112" s="400">
        <f t="shared" si="28"/>
        <v>0</v>
      </c>
      <c r="J112" s="400">
        <f t="shared" si="28"/>
        <v>0</v>
      </c>
      <c r="K112" s="400">
        <f t="shared" si="28"/>
        <v>0</v>
      </c>
      <c r="L112" s="400">
        <f t="shared" si="28"/>
        <v>0</v>
      </c>
      <c r="M112" s="400">
        <f t="shared" si="28"/>
        <v>0</v>
      </c>
      <c r="N112" s="400">
        <f t="shared" si="28"/>
        <v>0</v>
      </c>
      <c r="O112" s="401">
        <f t="shared" si="28"/>
        <v>0</v>
      </c>
      <c r="P112" s="129"/>
      <c r="Q112" s="129"/>
      <c r="R112" s="129"/>
      <c r="S112" s="683">
        <f t="shared" si="29"/>
        <v>0</v>
      </c>
      <c r="T112" s="684">
        <f t="shared" si="30"/>
        <v>0</v>
      </c>
      <c r="U112" s="684">
        <f t="shared" si="31"/>
        <v>0</v>
      </c>
      <c r="V112" s="680">
        <f t="shared" si="32"/>
        <v>0</v>
      </c>
      <c r="W112" s="680">
        <f t="shared" si="33"/>
        <v>0</v>
      </c>
      <c r="X112" s="680">
        <f t="shared" si="34"/>
        <v>0</v>
      </c>
      <c r="Y112" s="680">
        <f t="shared" si="35"/>
        <v>0</v>
      </c>
      <c r="Z112" s="680">
        <f t="shared" si="36"/>
        <v>0</v>
      </c>
      <c r="AA112" s="681">
        <f t="shared" si="37"/>
        <v>0</v>
      </c>
      <c r="AC112" s="66">
        <v>30200819</v>
      </c>
      <c r="AD112" s="68" t="s">
        <v>1962</v>
      </c>
      <c r="AG112" s="682">
        <f>0.012/(1-0.6)</f>
        <v>0.03</v>
      </c>
      <c r="AH112" s="682">
        <f>AG112*0.17</f>
        <v>5.1000000000000004E-3</v>
      </c>
      <c r="AI112" s="682">
        <v>0</v>
      </c>
      <c r="AJ112" s="682">
        <v>0</v>
      </c>
      <c r="AK112" s="682">
        <v>0</v>
      </c>
      <c r="AL112" s="682">
        <v>0</v>
      </c>
      <c r="AM112" s="682">
        <v>0</v>
      </c>
      <c r="AN112" s="682">
        <v>0</v>
      </c>
      <c r="AO112" s="682">
        <v>0</v>
      </c>
    </row>
    <row r="113" spans="1:41" ht="18" customHeight="1" thickBot="1" x14ac:dyDescent="0.3">
      <c r="A113" s="308">
        <f>IF('Table 3-A| Emission Units'!$A55=0,0,'Table 3-A| Emission Units'!A55&amp;"-"&amp;'Table 3-A| Emission Units'!B55)</f>
        <v>0</v>
      </c>
      <c r="B113" s="309">
        <f>IF('Table 3-A| Emission Units'!$A55=0,0,'Table 3-A| Emission Units'!C55)</f>
        <v>0</v>
      </c>
      <c r="C113" s="311">
        <f>IF($P$23=1,$J$6/8760*O23,0)</f>
        <v>0</v>
      </c>
      <c r="D113" s="398" t="s">
        <v>2093</v>
      </c>
      <c r="E113" s="311">
        <f t="shared" si="24"/>
        <v>0</v>
      </c>
      <c r="F113" s="311" t="str">
        <f t="shared" si="25"/>
        <v>WebFIRE</v>
      </c>
      <c r="G113" s="399">
        <f t="shared" si="26"/>
        <v>0</v>
      </c>
      <c r="H113" s="400">
        <f t="shared" si="27"/>
        <v>0</v>
      </c>
      <c r="I113" s="400">
        <f t="shared" si="28"/>
        <v>0</v>
      </c>
      <c r="J113" s="400">
        <f t="shared" si="28"/>
        <v>0</v>
      </c>
      <c r="K113" s="400">
        <f t="shared" si="28"/>
        <v>0</v>
      </c>
      <c r="L113" s="400">
        <f t="shared" si="28"/>
        <v>0</v>
      </c>
      <c r="M113" s="400">
        <f t="shared" si="28"/>
        <v>0</v>
      </c>
      <c r="N113" s="400">
        <f t="shared" si="28"/>
        <v>0</v>
      </c>
      <c r="O113" s="401">
        <f t="shared" si="28"/>
        <v>0</v>
      </c>
      <c r="P113" s="129"/>
      <c r="Q113" s="129"/>
      <c r="R113" s="129"/>
      <c r="S113" s="683">
        <f t="shared" si="29"/>
        <v>0</v>
      </c>
      <c r="T113" s="684">
        <f t="shared" si="30"/>
        <v>0</v>
      </c>
      <c r="U113" s="684">
        <f t="shared" si="31"/>
        <v>0</v>
      </c>
      <c r="V113" s="680">
        <f t="shared" si="32"/>
        <v>0</v>
      </c>
      <c r="W113" s="680">
        <f t="shared" si="33"/>
        <v>0</v>
      </c>
      <c r="X113" s="680">
        <f t="shared" si="34"/>
        <v>0</v>
      </c>
      <c r="Y113" s="680">
        <f t="shared" si="35"/>
        <v>0</v>
      </c>
      <c r="Z113" s="680">
        <f t="shared" si="36"/>
        <v>0</v>
      </c>
      <c r="AA113" s="681">
        <f t="shared" si="37"/>
        <v>0</v>
      </c>
      <c r="AC113" s="66">
        <v>30200805</v>
      </c>
      <c r="AD113" s="68" t="s">
        <v>1963</v>
      </c>
      <c r="AG113" s="682">
        <v>0.06</v>
      </c>
      <c r="AH113" s="682">
        <f>AG113*0.17</f>
        <v>1.0200000000000001E-2</v>
      </c>
      <c r="AI113" s="682">
        <v>0</v>
      </c>
      <c r="AJ113" s="682">
        <v>0</v>
      </c>
      <c r="AK113" s="682">
        <v>0</v>
      </c>
      <c r="AL113" s="682">
        <v>0</v>
      </c>
      <c r="AM113" s="682">
        <v>0</v>
      </c>
      <c r="AN113" s="682">
        <v>0</v>
      </c>
      <c r="AO113" s="682">
        <v>0</v>
      </c>
    </row>
    <row r="114" spans="1:41" ht="18" customHeight="1" x14ac:dyDescent="0.25">
      <c r="A114" s="1188" t="str">
        <f>'Table 3-A| Emission Units'!A56:E56</f>
        <v>Grain Shipping Emission Units</v>
      </c>
      <c r="B114" s="1189"/>
      <c r="C114" s="1189"/>
      <c r="D114" s="1189"/>
      <c r="E114" s="1189"/>
      <c r="F114" s="1189"/>
      <c r="G114" s="1189"/>
      <c r="H114" s="1189"/>
      <c r="I114" s="1189"/>
      <c r="J114" s="1189"/>
      <c r="K114" s="1189"/>
      <c r="L114" s="1189"/>
      <c r="M114" s="1189"/>
      <c r="N114" s="1189"/>
      <c r="O114" s="1190"/>
      <c r="S114" s="1200" t="s">
        <v>2244</v>
      </c>
      <c r="T114" s="1201"/>
      <c r="U114" s="1201"/>
      <c r="V114" s="1201"/>
      <c r="W114" s="1201"/>
      <c r="X114" s="1201"/>
      <c r="Y114" s="1201"/>
      <c r="Z114" s="1201"/>
      <c r="AA114" s="1202"/>
      <c r="AC114" s="66">
        <v>30200817</v>
      </c>
      <c r="AD114" s="68" t="s">
        <v>2098</v>
      </c>
      <c r="AG114" s="682">
        <v>0.24</v>
      </c>
      <c r="AH114" s="682">
        <f>AG114*0.17</f>
        <v>4.0800000000000003E-2</v>
      </c>
      <c r="AI114" s="682">
        <v>0</v>
      </c>
      <c r="AJ114" s="682">
        <v>0</v>
      </c>
      <c r="AK114" s="682">
        <v>0</v>
      </c>
      <c r="AL114" s="682">
        <v>0</v>
      </c>
      <c r="AM114" s="682">
        <v>0</v>
      </c>
      <c r="AN114" s="682">
        <v>0</v>
      </c>
      <c r="AO114" s="682">
        <v>0</v>
      </c>
    </row>
    <row r="115" spans="1:41" ht="18" customHeight="1" x14ac:dyDescent="0.25">
      <c r="A115" s="308">
        <f>IF('Table 3-A| Emission Units'!$A57=0,0,'Table 3-A| Emission Units'!A57&amp;"-"&amp;'Table 3-A| Emission Units'!B57)</f>
        <v>0</v>
      </c>
      <c r="B115" s="309">
        <f>IF('Table 3-A| Emission Units'!$A57=0,0,'Table 3-A| Emission Units'!C57)</f>
        <v>0</v>
      </c>
      <c r="C115" s="311">
        <f>IF($P$27=1,$J$6/8760*J27,0)</f>
        <v>0</v>
      </c>
      <c r="D115" s="398" t="s">
        <v>2093</v>
      </c>
      <c r="E115" s="311">
        <f t="shared" ref="E115:E120" si="38">IF(OR(ISBLANK(C115),ISTEXT(C115)),0,C115*8760)</f>
        <v>0</v>
      </c>
      <c r="F115" s="311" t="str">
        <f t="shared" ref="F115:F120" si="39">IF($A115="","","WebFIRE")</f>
        <v>WebFIRE</v>
      </c>
      <c r="G115" s="399">
        <f t="shared" ref="G115:G120" si="40">IFERROR(IF($A115=0,0,IF($D115="tons",$E115*S115,IF($D115="bushels",$E115*0.03*S115,0))),0)</f>
        <v>0</v>
      </c>
      <c r="H115" s="400">
        <f t="shared" ref="H115:H120" si="41">IFERROR(IF($A115=0,0,IF($D115="tons",$E115*T115,IF($D115="bushels",$E115*0.03*T115,0))),0)</f>
        <v>0</v>
      </c>
      <c r="I115" s="400">
        <f t="shared" ref="I115:O120" si="42">IF($A115="","",0)</f>
        <v>0</v>
      </c>
      <c r="J115" s="400">
        <f t="shared" si="42"/>
        <v>0</v>
      </c>
      <c r="K115" s="400">
        <f t="shared" si="42"/>
        <v>0</v>
      </c>
      <c r="L115" s="400">
        <f t="shared" si="42"/>
        <v>0</v>
      </c>
      <c r="M115" s="400">
        <f t="shared" si="42"/>
        <v>0</v>
      </c>
      <c r="N115" s="400">
        <f t="shared" si="42"/>
        <v>0</v>
      </c>
      <c r="O115" s="401">
        <f t="shared" si="42"/>
        <v>0</v>
      </c>
      <c r="S115" s="679">
        <f t="shared" ref="S115:S120" si="43">IFERROR(VLOOKUP($B115,$AC$100:$AO$116,5,FALSE),0)</f>
        <v>0</v>
      </c>
      <c r="T115" s="680">
        <f t="shared" ref="T115:T120" si="44">IFERROR(VLOOKUP($B115,$AC$100:$AO$116,6,FALSE),0)</f>
        <v>0</v>
      </c>
      <c r="U115" s="680">
        <f t="shared" ref="U115:U120" si="45">IFERROR(VLOOKUP($B115,$AC$100:$AO$116,7,FALSE),0)</f>
        <v>0</v>
      </c>
      <c r="V115" s="680">
        <f t="shared" ref="V115:V120" si="46">IFERROR(VLOOKUP($B115,$AC$100:$AO$116,8,FALSE),0)</f>
        <v>0</v>
      </c>
      <c r="W115" s="680">
        <f t="shared" ref="W115:W120" si="47">IFERROR(VLOOKUP($B115,$AC$100:$AO$116,9,FALSE),0)</f>
        <v>0</v>
      </c>
      <c r="X115" s="680">
        <f t="shared" ref="X115:X120" si="48">IFERROR(VLOOKUP($B115,$AC$100:$AO$116,10,FALSE),0)</f>
        <v>0</v>
      </c>
      <c r="Y115" s="680">
        <f t="shared" ref="Y115:Y120" si="49">IFERROR(VLOOKUP($B115,$AC$100:$AO$116,11,FALSE),0)</f>
        <v>0</v>
      </c>
      <c r="Z115" s="680">
        <f t="shared" ref="Z115:Z120" si="50">IFERROR(VLOOKUP($B115,$AC$100:$AO$116,12,FALSE),0)</f>
        <v>0</v>
      </c>
      <c r="AA115" s="681">
        <f t="shared" ref="AA115:AA120" si="51">IFERROR(VLOOKUP($B115,$AC$100:$AO$116,13,FALSE),0)</f>
        <v>0</v>
      </c>
      <c r="AC115" s="66">
        <v>30200818</v>
      </c>
      <c r="AD115" s="68" t="s">
        <v>1965</v>
      </c>
      <c r="AG115" s="682">
        <f>0.075/(1-0.6)</f>
        <v>0.18749999999999997</v>
      </c>
      <c r="AH115" s="682">
        <f>AG115*0.17</f>
        <v>3.1875000000000001E-2</v>
      </c>
      <c r="AI115" s="682">
        <v>0</v>
      </c>
      <c r="AJ115" s="682">
        <v>0</v>
      </c>
      <c r="AK115" s="682">
        <v>0</v>
      </c>
      <c r="AL115" s="682">
        <v>0</v>
      </c>
      <c r="AM115" s="682">
        <v>0</v>
      </c>
      <c r="AN115" s="682">
        <v>0</v>
      </c>
      <c r="AO115" s="682">
        <v>0</v>
      </c>
    </row>
    <row r="116" spans="1:41" ht="18" customHeight="1" x14ac:dyDescent="0.25">
      <c r="A116" s="308">
        <f>IF('Table 3-A| Emission Units'!$A58=0,0,'Table 3-A| Emission Units'!A58&amp;"-"&amp;'Table 3-A| Emission Units'!B58)</f>
        <v>0</v>
      </c>
      <c r="B116" s="309">
        <f>IF('Table 3-A| Emission Units'!$A58=0,0,'Table 3-A| Emission Units'!C58)</f>
        <v>0</v>
      </c>
      <c r="C116" s="311">
        <f>IF($P$27=1,$J$6/8760*K27,0)</f>
        <v>0</v>
      </c>
      <c r="D116" s="398" t="s">
        <v>2093</v>
      </c>
      <c r="E116" s="311">
        <f t="shared" si="38"/>
        <v>0</v>
      </c>
      <c r="F116" s="311" t="str">
        <f t="shared" si="39"/>
        <v>WebFIRE</v>
      </c>
      <c r="G116" s="399">
        <f t="shared" si="40"/>
        <v>0</v>
      </c>
      <c r="H116" s="400">
        <f t="shared" si="41"/>
        <v>0</v>
      </c>
      <c r="I116" s="400">
        <f t="shared" si="42"/>
        <v>0</v>
      </c>
      <c r="J116" s="400">
        <f t="shared" si="42"/>
        <v>0</v>
      </c>
      <c r="K116" s="400">
        <f t="shared" si="42"/>
        <v>0</v>
      </c>
      <c r="L116" s="400">
        <f t="shared" si="42"/>
        <v>0</v>
      </c>
      <c r="M116" s="400">
        <f t="shared" si="42"/>
        <v>0</v>
      </c>
      <c r="N116" s="400">
        <f t="shared" si="42"/>
        <v>0</v>
      </c>
      <c r="O116" s="401">
        <f t="shared" si="42"/>
        <v>0</v>
      </c>
      <c r="S116" s="679">
        <f t="shared" si="43"/>
        <v>0</v>
      </c>
      <c r="T116" s="680">
        <f t="shared" si="44"/>
        <v>0</v>
      </c>
      <c r="U116" s="680">
        <f t="shared" si="45"/>
        <v>0</v>
      </c>
      <c r="V116" s="680">
        <f t="shared" si="46"/>
        <v>0</v>
      </c>
      <c r="W116" s="680">
        <f t="shared" si="47"/>
        <v>0</v>
      </c>
      <c r="X116" s="680">
        <f t="shared" si="48"/>
        <v>0</v>
      </c>
      <c r="Y116" s="680">
        <f t="shared" si="49"/>
        <v>0</v>
      </c>
      <c r="Z116" s="680">
        <f t="shared" si="50"/>
        <v>0</v>
      </c>
      <c r="AA116" s="681">
        <f t="shared" si="51"/>
        <v>0</v>
      </c>
      <c r="AC116" s="66">
        <v>30200816</v>
      </c>
      <c r="AD116" s="68" t="s">
        <v>1966</v>
      </c>
      <c r="AG116" s="682">
        <f>0.18/(1-0.6)</f>
        <v>0.44999999999999996</v>
      </c>
      <c r="AH116" s="682">
        <f>AG116*0.17</f>
        <v>7.6499999999999999E-2</v>
      </c>
      <c r="AI116" s="682">
        <v>0</v>
      </c>
      <c r="AJ116" s="682">
        <v>0</v>
      </c>
      <c r="AK116" s="682">
        <v>0</v>
      </c>
      <c r="AL116" s="682">
        <v>0</v>
      </c>
      <c r="AM116" s="682">
        <v>0</v>
      </c>
      <c r="AN116" s="682">
        <v>0</v>
      </c>
      <c r="AO116" s="682">
        <v>0</v>
      </c>
    </row>
    <row r="117" spans="1:41" ht="18" customHeight="1" x14ac:dyDescent="0.25">
      <c r="A117" s="308">
        <f>IF('Table 3-A| Emission Units'!$A59=0,0,'Table 3-A| Emission Units'!A59&amp;"-"&amp;'Table 3-A| Emission Units'!B59)</f>
        <v>0</v>
      </c>
      <c r="B117" s="309">
        <f>IF('Table 3-A| Emission Units'!$A59=0,0,'Table 3-A| Emission Units'!C59)</f>
        <v>0</v>
      </c>
      <c r="C117" s="311">
        <f>IF($P$27=1,$J$6/8760*L27,0)</f>
        <v>0</v>
      </c>
      <c r="D117" s="398" t="s">
        <v>2093</v>
      </c>
      <c r="E117" s="311">
        <f t="shared" si="38"/>
        <v>0</v>
      </c>
      <c r="F117" s="311" t="str">
        <f t="shared" si="39"/>
        <v>WebFIRE</v>
      </c>
      <c r="G117" s="399">
        <f t="shared" si="40"/>
        <v>0</v>
      </c>
      <c r="H117" s="400">
        <f t="shared" si="41"/>
        <v>0</v>
      </c>
      <c r="I117" s="400">
        <f t="shared" si="42"/>
        <v>0</v>
      </c>
      <c r="J117" s="400">
        <f t="shared" si="42"/>
        <v>0</v>
      </c>
      <c r="K117" s="400">
        <f t="shared" si="42"/>
        <v>0</v>
      </c>
      <c r="L117" s="400">
        <f t="shared" si="42"/>
        <v>0</v>
      </c>
      <c r="M117" s="400">
        <f t="shared" si="42"/>
        <v>0</v>
      </c>
      <c r="N117" s="400">
        <f t="shared" si="42"/>
        <v>0</v>
      </c>
      <c r="O117" s="401">
        <f t="shared" si="42"/>
        <v>0</v>
      </c>
      <c r="S117" s="679">
        <f t="shared" si="43"/>
        <v>0</v>
      </c>
      <c r="T117" s="680">
        <f t="shared" si="44"/>
        <v>0</v>
      </c>
      <c r="U117" s="680">
        <f t="shared" si="45"/>
        <v>0</v>
      </c>
      <c r="V117" s="680">
        <f t="shared" si="46"/>
        <v>0</v>
      </c>
      <c r="W117" s="680">
        <f t="shared" si="47"/>
        <v>0</v>
      </c>
      <c r="X117" s="680">
        <f t="shared" si="48"/>
        <v>0</v>
      </c>
      <c r="Y117" s="680">
        <f t="shared" si="49"/>
        <v>0</v>
      </c>
      <c r="Z117" s="680">
        <f t="shared" si="50"/>
        <v>0</v>
      </c>
      <c r="AA117" s="681">
        <f t="shared" si="51"/>
        <v>0</v>
      </c>
      <c r="AC117" s="66"/>
    </row>
    <row r="118" spans="1:41" ht="18" customHeight="1" x14ac:dyDescent="0.25">
      <c r="A118" s="308">
        <f>IF('Table 3-A| Emission Units'!$A60=0,0,'Table 3-A| Emission Units'!A60&amp;"-"&amp;'Table 3-A| Emission Units'!B60)</f>
        <v>0</v>
      </c>
      <c r="B118" s="309">
        <f>IF('Table 3-A| Emission Units'!$A60=0,0,'Table 3-A| Emission Units'!C60)</f>
        <v>0</v>
      </c>
      <c r="C118" s="311">
        <f>IF($P$27=1,$J$6/8760*M27,0)</f>
        <v>0</v>
      </c>
      <c r="D118" s="398" t="s">
        <v>2093</v>
      </c>
      <c r="E118" s="311">
        <f t="shared" si="38"/>
        <v>0</v>
      </c>
      <c r="F118" s="311" t="str">
        <f t="shared" si="39"/>
        <v>WebFIRE</v>
      </c>
      <c r="G118" s="399">
        <f t="shared" si="40"/>
        <v>0</v>
      </c>
      <c r="H118" s="400">
        <f t="shared" si="41"/>
        <v>0</v>
      </c>
      <c r="I118" s="400">
        <f t="shared" si="42"/>
        <v>0</v>
      </c>
      <c r="J118" s="400">
        <f t="shared" si="42"/>
        <v>0</v>
      </c>
      <c r="K118" s="400">
        <f t="shared" si="42"/>
        <v>0</v>
      </c>
      <c r="L118" s="400">
        <f t="shared" si="42"/>
        <v>0</v>
      </c>
      <c r="M118" s="400">
        <f t="shared" si="42"/>
        <v>0</v>
      </c>
      <c r="N118" s="400">
        <f t="shared" si="42"/>
        <v>0</v>
      </c>
      <c r="O118" s="401">
        <f t="shared" si="42"/>
        <v>0</v>
      </c>
      <c r="S118" s="679">
        <f t="shared" si="43"/>
        <v>0</v>
      </c>
      <c r="T118" s="680">
        <f t="shared" si="44"/>
        <v>0</v>
      </c>
      <c r="U118" s="680">
        <f t="shared" si="45"/>
        <v>0</v>
      </c>
      <c r="V118" s="680">
        <f t="shared" si="46"/>
        <v>0</v>
      </c>
      <c r="W118" s="680">
        <f t="shared" si="47"/>
        <v>0</v>
      </c>
      <c r="X118" s="680">
        <f t="shared" si="48"/>
        <v>0</v>
      </c>
      <c r="Y118" s="680">
        <f t="shared" si="49"/>
        <v>0</v>
      </c>
      <c r="Z118" s="680">
        <f t="shared" si="50"/>
        <v>0</v>
      </c>
      <c r="AA118" s="681">
        <f t="shared" si="51"/>
        <v>0</v>
      </c>
    </row>
    <row r="119" spans="1:41" ht="18" customHeight="1" thickBot="1" x14ac:dyDescent="0.3">
      <c r="A119" s="308">
        <f>IF('Table 3-A| Emission Units'!$A61=0,0,'Table 3-A| Emission Units'!A61&amp;"-"&amp;'Table 3-A| Emission Units'!B61)</f>
        <v>0</v>
      </c>
      <c r="B119" s="309">
        <f>IF('Table 3-A| Emission Units'!$A61=0,0,'Table 3-A| Emission Units'!C61)</f>
        <v>0</v>
      </c>
      <c r="C119" s="311">
        <f>IF($P$27=1,$J$6/8760*N27,0)</f>
        <v>0</v>
      </c>
      <c r="D119" s="398" t="s">
        <v>2093</v>
      </c>
      <c r="E119" s="311">
        <f t="shared" si="38"/>
        <v>0</v>
      </c>
      <c r="F119" s="311" t="str">
        <f t="shared" si="39"/>
        <v>WebFIRE</v>
      </c>
      <c r="G119" s="399">
        <f t="shared" si="40"/>
        <v>0</v>
      </c>
      <c r="H119" s="400">
        <f t="shared" si="41"/>
        <v>0</v>
      </c>
      <c r="I119" s="400">
        <f t="shared" si="42"/>
        <v>0</v>
      </c>
      <c r="J119" s="400">
        <f t="shared" si="42"/>
        <v>0</v>
      </c>
      <c r="K119" s="400">
        <f t="shared" si="42"/>
        <v>0</v>
      </c>
      <c r="L119" s="400">
        <f t="shared" si="42"/>
        <v>0</v>
      </c>
      <c r="M119" s="400">
        <f t="shared" si="42"/>
        <v>0</v>
      </c>
      <c r="N119" s="400">
        <f t="shared" si="42"/>
        <v>0</v>
      </c>
      <c r="O119" s="401">
        <f t="shared" si="42"/>
        <v>0</v>
      </c>
      <c r="S119" s="679">
        <f t="shared" si="43"/>
        <v>0</v>
      </c>
      <c r="T119" s="680">
        <f t="shared" si="44"/>
        <v>0</v>
      </c>
      <c r="U119" s="680">
        <f t="shared" si="45"/>
        <v>0</v>
      </c>
      <c r="V119" s="680">
        <f t="shared" si="46"/>
        <v>0</v>
      </c>
      <c r="W119" s="680">
        <f t="shared" si="47"/>
        <v>0</v>
      </c>
      <c r="X119" s="680">
        <f t="shared" si="48"/>
        <v>0</v>
      </c>
      <c r="Y119" s="680">
        <f t="shared" si="49"/>
        <v>0</v>
      </c>
      <c r="Z119" s="680">
        <f t="shared" si="50"/>
        <v>0</v>
      </c>
      <c r="AA119" s="681">
        <f t="shared" si="51"/>
        <v>0</v>
      </c>
    </row>
    <row r="120" spans="1:41" ht="18" customHeight="1" thickBot="1" x14ac:dyDescent="0.3">
      <c r="A120" s="308">
        <f>IF('Table 3-A| Emission Units'!$A62=0,0,'Table 3-A| Emission Units'!A62&amp;"-"&amp;'Table 3-A| Emission Units'!B62)</f>
        <v>0</v>
      </c>
      <c r="B120" s="309">
        <f>IF('Table 3-A| Emission Units'!$A62=0,0,'Table 3-A| Emission Units'!C62)</f>
        <v>0</v>
      </c>
      <c r="C120" s="311">
        <f>IF($P$27=1,$J$6/8760*O27,0)</f>
        <v>0</v>
      </c>
      <c r="D120" s="398" t="s">
        <v>2093</v>
      </c>
      <c r="E120" s="311">
        <f t="shared" si="38"/>
        <v>0</v>
      </c>
      <c r="F120" s="311" t="str">
        <f t="shared" si="39"/>
        <v>WebFIRE</v>
      </c>
      <c r="G120" s="399">
        <f t="shared" si="40"/>
        <v>0</v>
      </c>
      <c r="H120" s="400">
        <f t="shared" si="41"/>
        <v>0</v>
      </c>
      <c r="I120" s="400">
        <f t="shared" si="42"/>
        <v>0</v>
      </c>
      <c r="J120" s="400">
        <f t="shared" si="42"/>
        <v>0</v>
      </c>
      <c r="K120" s="400">
        <f t="shared" si="42"/>
        <v>0</v>
      </c>
      <c r="L120" s="400">
        <f t="shared" si="42"/>
        <v>0</v>
      </c>
      <c r="M120" s="400">
        <f t="shared" si="42"/>
        <v>0</v>
      </c>
      <c r="N120" s="400">
        <f t="shared" si="42"/>
        <v>0</v>
      </c>
      <c r="O120" s="401">
        <f t="shared" si="42"/>
        <v>0</v>
      </c>
      <c r="S120" s="679">
        <f t="shared" si="43"/>
        <v>0</v>
      </c>
      <c r="T120" s="680">
        <f t="shared" si="44"/>
        <v>0</v>
      </c>
      <c r="U120" s="680">
        <f t="shared" si="45"/>
        <v>0</v>
      </c>
      <c r="V120" s="680">
        <f t="shared" si="46"/>
        <v>0</v>
      </c>
      <c r="W120" s="680">
        <f t="shared" si="47"/>
        <v>0</v>
      </c>
      <c r="X120" s="680">
        <f t="shared" si="48"/>
        <v>0</v>
      </c>
      <c r="Y120" s="680">
        <f t="shared" si="49"/>
        <v>0</v>
      </c>
      <c r="Z120" s="680">
        <f t="shared" si="50"/>
        <v>0</v>
      </c>
      <c r="AA120" s="681">
        <f t="shared" si="51"/>
        <v>0</v>
      </c>
      <c r="AC120" s="685"/>
      <c r="AD120" s="1191" t="s">
        <v>2108</v>
      </c>
      <c r="AE120" s="1192"/>
      <c r="AF120" s="1192"/>
      <c r="AG120" s="1192"/>
      <c r="AH120" s="1192"/>
      <c r="AI120" s="1192"/>
      <c r="AJ120" s="1192"/>
      <c r="AK120" s="1192"/>
      <c r="AL120" s="1192"/>
      <c r="AM120" s="1192"/>
      <c r="AN120" s="1192"/>
      <c r="AO120" s="1193"/>
    </row>
    <row r="121" spans="1:41" ht="18" customHeight="1" x14ac:dyDescent="0.25">
      <c r="A121" s="1188" t="str">
        <f>'Table 3-A| Emission Units'!A63:E63</f>
        <v>Haul Road Emission Units</v>
      </c>
      <c r="B121" s="1189"/>
      <c r="C121" s="1189"/>
      <c r="D121" s="1189"/>
      <c r="E121" s="1189"/>
      <c r="F121" s="1189"/>
      <c r="G121" s="1189"/>
      <c r="H121" s="1189"/>
      <c r="I121" s="1189"/>
      <c r="J121" s="1189"/>
      <c r="K121" s="1189"/>
      <c r="L121" s="1189"/>
      <c r="M121" s="1189"/>
      <c r="N121" s="1189"/>
      <c r="O121" s="1190"/>
      <c r="S121" s="1196" t="s">
        <v>2266</v>
      </c>
      <c r="T121" s="1197"/>
      <c r="U121" s="1197"/>
      <c r="V121" s="1197"/>
      <c r="W121" s="1197"/>
      <c r="X121" s="1197"/>
      <c r="Y121" s="1197"/>
      <c r="Z121" s="1197"/>
      <c r="AA121" s="1198"/>
      <c r="AC121" s="686"/>
      <c r="AD121" s="559" t="s">
        <v>2246</v>
      </c>
      <c r="AE121" s="559" t="s">
        <v>2247</v>
      </c>
      <c r="AF121" s="559" t="s">
        <v>2248</v>
      </c>
      <c r="AG121" s="559" t="s">
        <v>2249</v>
      </c>
      <c r="AH121" s="559" t="s">
        <v>2250</v>
      </c>
      <c r="AI121" s="559" t="s">
        <v>2251</v>
      </c>
      <c r="AJ121" s="559" t="s">
        <v>2254</v>
      </c>
      <c r="AK121" s="559" t="s">
        <v>2255</v>
      </c>
      <c r="AL121" s="559" t="s">
        <v>2256</v>
      </c>
      <c r="AM121" s="559" t="s">
        <v>2257</v>
      </c>
      <c r="AN121" s="559" t="s">
        <v>2258</v>
      </c>
      <c r="AO121" s="687" t="s">
        <v>2259</v>
      </c>
    </row>
    <row r="122" spans="1:41" ht="18" customHeight="1" x14ac:dyDescent="0.25">
      <c r="A122" s="308">
        <f>IF('Table 3-A| Emission Units'!$A64=0,0,'Table 3-A| Emission Units'!A64&amp;"-"&amp;'Table 3-A| Emission Units'!B64)</f>
        <v>0</v>
      </c>
      <c r="B122" s="309">
        <f>IF('Table 3-A| Emission Units'!$A64=0,0,'Table 3-A| Emission Units'!C64)</f>
        <v>0</v>
      </c>
      <c r="C122" s="642" t="str">
        <f>IF(A122="","","---")</f>
        <v>---</v>
      </c>
      <c r="D122" s="398" t="str">
        <f>IF(OR(ISBLANK('Table 3-A| Emission Units'!$E$6),'Table 3-A| Emission Units'!$E$6="Unpaved Roads"),"","VMT")</f>
        <v/>
      </c>
      <c r="E122" s="612">
        <f>IF($A122=0,0,Y122)</f>
        <v>0</v>
      </c>
      <c r="F122" s="311" t="str">
        <f>IF(A122="","","AP-42")</f>
        <v>AP-42</v>
      </c>
      <c r="G122" s="399">
        <f>IF($A122=0,0,T122)</f>
        <v>0</v>
      </c>
      <c r="H122" s="400">
        <f>IF($A122=0,0,V122)</f>
        <v>0</v>
      </c>
      <c r="I122" s="400">
        <f>IF($A122=0,0,0)</f>
        <v>0</v>
      </c>
      <c r="J122" s="400">
        <f t="shared" ref="J122:O123" si="52">IF($A122=0,0,0)</f>
        <v>0</v>
      </c>
      <c r="K122" s="400">
        <f t="shared" si="52"/>
        <v>0</v>
      </c>
      <c r="L122" s="400">
        <f t="shared" si="52"/>
        <v>0</v>
      </c>
      <c r="M122" s="400">
        <f t="shared" si="52"/>
        <v>0</v>
      </c>
      <c r="N122" s="400">
        <f t="shared" si="52"/>
        <v>0</v>
      </c>
      <c r="O122" s="401">
        <f t="shared" si="52"/>
        <v>0</v>
      </c>
      <c r="R122" s="687" t="s">
        <v>2252</v>
      </c>
      <c r="S122" s="683" t="s">
        <v>2264</v>
      </c>
      <c r="T122" s="688">
        <f>SUM(AD126:AO126,AD140:AO140)</f>
        <v>0</v>
      </c>
      <c r="U122" s="684" t="s">
        <v>2265</v>
      </c>
      <c r="V122" s="689">
        <f>SUM(AD130:AO130,AD144:AO144)</f>
        <v>0</v>
      </c>
      <c r="W122" s="690"/>
      <c r="X122" s="680" t="s">
        <v>2267</v>
      </c>
      <c r="Y122" s="691">
        <f>SUM(AD122:AO122,AD136:AO136)</f>
        <v>0</v>
      </c>
      <c r="Z122" s="680"/>
      <c r="AA122" s="681"/>
      <c r="AC122" s="692" t="s">
        <v>2252</v>
      </c>
      <c r="AD122" s="691">
        <f>IFERROR(IF($D101="bushels",(J16/2/5280)*(($E101*0.03)/($J$18-$J$19)),IF($D101="tons",(J16/5280)*($E101/($J$18-$J$19)),0)),0)</f>
        <v>0</v>
      </c>
      <c r="AE122" s="691">
        <f>IFERROR(IF($D102="bushels",(K16/2/5280)*(($E102*0.03)/($J$18-$J$19)),IF($D102="tons",(K16/2/5280)*($E102/($J$18-$J$19)),0)),0)</f>
        <v>0</v>
      </c>
      <c r="AF122" s="691">
        <f>IFERROR(IF($D103="bushels",(L16/2/5280)*(($E103*0.03)/($J$18-$J$19)),IF($D103="tons",(L16/2/5280)*($E103/($J$18-$J$19)),0)),0)</f>
        <v>0</v>
      </c>
      <c r="AG122" s="691">
        <f>IFERROR(IF($D104="bushels",(M16/2/5280)*(($E104*0.03)/($J$18-$J$19)),IF($D104="tons",(M16/2/5280)*($E104/($J$18-$J$19)),0)),0)</f>
        <v>0</v>
      </c>
      <c r="AH122" s="691">
        <f>IFERROR(IF($D105="bushels",(N16/2/5280)*(($E105*0.03)/($J$18-$J$19)),IF($D105="tons",(N16/2/5280)*($E105/($J$18-$J$19)),0)),0)</f>
        <v>0</v>
      </c>
      <c r="AI122" s="691">
        <f>IFERROR(IF($D106="bushels",(O16/2/5280)*(($E106*0.03)/($J$18-$J$19)),IF($D106="tons",(O16/2/5280)*($E106/($J$18-$J$19)),0)),0)</f>
        <v>0</v>
      </c>
      <c r="AJ122" s="691">
        <f>IFERROR(IF($D101="bushels",(J16/2/5280)*(($E101*0.03)/($J$18-$J$19)),IF($D101="tons",(J16/2/5280)*($E101/($J$18-$J$19)),0)),0)</f>
        <v>0</v>
      </c>
      <c r="AK122" s="691">
        <f>IFERROR(IF($D102="bushels",(K16/2/5280)*(($E102*0.03)/($J$18-$J$19)),IF($D102="tons",(K16/2/5280)*($E102/($J$18-$J$19)),0)),0)</f>
        <v>0</v>
      </c>
      <c r="AL122" s="691">
        <f>IFERROR(IF($D103="bushels",(L16/2/5280)*(($E103*0.03)/($J$18-$J$19)),IF($D103="tons",(L16/2/5280)*($E103/($J$18-$J$19)),0)),0)</f>
        <v>0</v>
      </c>
      <c r="AM122" s="691">
        <f>IFERROR(IF($D104="bushels",(M16/2/5280)*(($E104*0.03)/($J$18-$J$19)),IF($D104="tons",(M16/2/5280)*($E104/($J$18-$J$19)),0)),0)</f>
        <v>0</v>
      </c>
      <c r="AN122" s="691">
        <f>IFERROR(IF($D105="bushels",(N16/2/5280)*(($E105*0.03)/($J$18-$J$19)),IF($D105="tons",(N16/2/5280)*($E105/($J$18-$J$19)),0)),0)</f>
        <v>0</v>
      </c>
      <c r="AO122" s="693">
        <f>IFERROR(IF($D106="bushels",(O16/2/5280)*(($E106*0.03)/($J$18-$J$19)),IF($D106="tons",(O16/2/5280)*($E106/($J$18-$J$19)),0)),0)</f>
        <v>0</v>
      </c>
    </row>
    <row r="123" spans="1:41" ht="18" customHeight="1" thickBot="1" x14ac:dyDescent="0.3">
      <c r="A123" s="308">
        <f>IF('Table 3-A| Emission Units'!$A65=0,0,'Table 3-A| Emission Units'!A65&amp;"-"&amp;'Table 3-A| Emission Units'!B65)</f>
        <v>0</v>
      </c>
      <c r="B123" s="309">
        <f>IF('Table 3-A| Emission Units'!$A65=0,0,'Table 3-A| Emission Units'!C65)</f>
        <v>0</v>
      </c>
      <c r="C123" s="311" t="str">
        <f>IF(A123="","","---")</f>
        <v>---</v>
      </c>
      <c r="D123" s="398" t="str">
        <f>IF(OR(ISBLANK('Table 3-A| Emission Units'!$E$6),'Table 3-A| Emission Units'!$E$6="Paved Roads"),"","VMT")</f>
        <v/>
      </c>
      <c r="E123" s="612">
        <f>IF($A123=0,0,Y123)</f>
        <v>0</v>
      </c>
      <c r="F123" s="311" t="str">
        <f>IF(A123="","","AP-42")</f>
        <v>AP-42</v>
      </c>
      <c r="G123" s="399">
        <f>IF($A123=0,0,T123)</f>
        <v>0</v>
      </c>
      <c r="H123" s="400">
        <f>IF($A123=0,0,V123)</f>
        <v>0</v>
      </c>
      <c r="I123" s="400">
        <f t="shared" ref="I123" si="53">IF($A123=0,0,0)</f>
        <v>0</v>
      </c>
      <c r="J123" s="400">
        <f t="shared" si="52"/>
        <v>0</v>
      </c>
      <c r="K123" s="400">
        <f t="shared" si="52"/>
        <v>0</v>
      </c>
      <c r="L123" s="400">
        <f t="shared" si="52"/>
        <v>0</v>
      </c>
      <c r="M123" s="400">
        <f t="shared" si="52"/>
        <v>0</v>
      </c>
      <c r="N123" s="400">
        <f t="shared" si="52"/>
        <v>0</v>
      </c>
      <c r="O123" s="401">
        <f t="shared" si="52"/>
        <v>0</v>
      </c>
      <c r="R123" s="687" t="s">
        <v>2253</v>
      </c>
      <c r="S123" s="683" t="s">
        <v>2264</v>
      </c>
      <c r="T123" s="688">
        <f>SUM(AD127:AO127,AD141:AO141)</f>
        <v>0</v>
      </c>
      <c r="U123" s="684" t="s">
        <v>2265</v>
      </c>
      <c r="V123" s="689">
        <f>SUM(AD131:AO131,AD145:AO145)</f>
        <v>0</v>
      </c>
      <c r="W123" s="690"/>
      <c r="X123" s="680" t="s">
        <v>2267</v>
      </c>
      <c r="Y123" s="691">
        <f>SUM(AD123:AO123,AD137:AO137)</f>
        <v>0</v>
      </c>
      <c r="Z123" s="680"/>
      <c r="AA123" s="681"/>
      <c r="AC123" s="694" t="s">
        <v>2253</v>
      </c>
      <c r="AD123" s="695">
        <f>IFERROR(IF($D101="bushels",(J17/2/5280)*(($E101*0.03)/($J$18-$J$19)),IF($D101="tons",(J17/2/5280)*($E101/($J$18-$J$19)),0)),0)</f>
        <v>0</v>
      </c>
      <c r="AE123" s="695">
        <f>IFERROR(IF($D102="bushels",(K17/2/5280)*(($E102*0.03)/($J$18-$J$19)),IF($D102="tons",(K17/2/5280)*($E102/($J$18-$J$19)),0)),0)</f>
        <v>0</v>
      </c>
      <c r="AF123" s="695">
        <f>IFERROR(IF($D102="bushels",(L17/2/5280)*(($E102*0.03)/($J$18-$J$19)),IF($D102="tons",(L17/2/5280)*($E102/($J$18-$J$19)),0)),0)</f>
        <v>0</v>
      </c>
      <c r="AG123" s="695">
        <f>IFERROR(IF($D104="bushels",(M17/2/5280)*(($E104*0.03)/($J$18-$J$19)),IF($D104="tons",(M17/2/5280)*($E104/($J$18-$J$19)),0)),0)</f>
        <v>0</v>
      </c>
      <c r="AH123" s="695">
        <f>IFERROR(IF($D105="bushels",(N17/2/5280)*(($E105*0.03)/($J$18-$J$19)),IF($D105="tons",(N17/2/5280)*($E105/($J$18-$J$19)),0)),0)</f>
        <v>0</v>
      </c>
      <c r="AI123" s="695">
        <f>IFERROR(IF($D106="bushels",(O17/2/5280)*(($E106*0.03)/($J$18-$J$19)),IF($D106="tons",(O17/2/5280)*($E106/($J$18-$J$19)),0)),0)</f>
        <v>0</v>
      </c>
      <c r="AJ123" s="695">
        <f>IFERROR(IF($D101="bushels",(J17/2/5280)*(($E101*0.03)/($J$18-$J$19)),IF($D101="tons",(J17/2/5280)*($E101/($J$18-$J$19)),0)),0)</f>
        <v>0</v>
      </c>
      <c r="AK123" s="695">
        <f>IFERROR(IF($D102="bushels",(K17/2/5280)*(($E102*0.03)/($J$18-$J$19)),IF($D102="tons",(K17/2/5280)*($E102/($J$18-$J$19)),0)),0)</f>
        <v>0</v>
      </c>
      <c r="AL123" s="695">
        <f>IFERROR(IF($D102="bushels",(L17/2/5280)*(($E102*0.03)/($J$18-$J$19)),IF($D102="tons",(L17/2/5280)*($E102/($J$18-$J$19)),0)),0)</f>
        <v>0</v>
      </c>
      <c r="AM123" s="695">
        <f>IFERROR(IF($D104="bushels",(M17/2/5280)*(($E104*0.03)/($J$18-$J$19)),IF($D104="tons",(M17/2/5280)*($E104/($J$18-$J$19)),0)),0)</f>
        <v>0</v>
      </c>
      <c r="AN123" s="695">
        <f>IFERROR(IF($D105="bushels",(N17/2/5280)*(($E105*0.03)/($J$18-$J$19)),IF($D105="tons",(N17/2/5280)*($E105/($J$18-$J$19)),0)),0)</f>
        <v>0</v>
      </c>
      <c r="AO123" s="696">
        <f>IFERROR(IF($D106="bushels",(O17/2/5280)*(($E106*0.03)/($J$18-$J$19)),IF($D106="tons",(O17/2/5280)*($E106/($J$18-$J$19)),0)),0)</f>
        <v>0</v>
      </c>
    </row>
    <row r="124" spans="1:41" ht="18" customHeight="1" x14ac:dyDescent="0.25">
      <c r="A124" s="1188" t="str">
        <f>'Table 3-A| Emission Units'!A66:E66</f>
        <v>Grain Storage Emission Units</v>
      </c>
      <c r="B124" s="1189"/>
      <c r="C124" s="1189"/>
      <c r="D124" s="1189"/>
      <c r="E124" s="1189"/>
      <c r="F124" s="1189"/>
      <c r="G124" s="1189"/>
      <c r="H124" s="1189"/>
      <c r="I124" s="1189"/>
      <c r="J124" s="1189"/>
      <c r="K124" s="1189"/>
      <c r="L124" s="1189"/>
      <c r="M124" s="1189"/>
      <c r="N124" s="1189"/>
      <c r="O124" s="1190"/>
      <c r="S124" s="1200" t="s">
        <v>2243</v>
      </c>
      <c r="T124" s="1201"/>
      <c r="U124" s="1201"/>
      <c r="V124" s="1201"/>
      <c r="W124" s="1201"/>
      <c r="X124" s="1201"/>
      <c r="Y124" s="1201"/>
      <c r="Z124" s="1201"/>
      <c r="AA124" s="1202"/>
      <c r="AC124" s="685"/>
      <c r="AD124" s="1191" t="s">
        <v>2260</v>
      </c>
      <c r="AE124" s="1192"/>
      <c r="AF124" s="1192"/>
      <c r="AG124" s="1192"/>
      <c r="AH124" s="1192"/>
      <c r="AI124" s="1192"/>
      <c r="AJ124" s="1192"/>
      <c r="AK124" s="1192"/>
      <c r="AL124" s="1192"/>
      <c r="AM124" s="1192"/>
      <c r="AN124" s="1192"/>
      <c r="AO124" s="1193"/>
    </row>
    <row r="125" spans="1:41" ht="18" customHeight="1" thickBot="1" x14ac:dyDescent="0.3">
      <c r="A125" s="308" t="str">
        <f>IF('Table 3-A| Emission Units'!$A67=0,0,'Table 3-A| Emission Units'!A67&amp;"-"&amp;'Table 3-A| Emission Units'!B67)</f>
        <v>1-1</v>
      </c>
      <c r="B125" s="309">
        <f>IF('Table 3-A| Emission Units'!$A67=0,0,'Table 3-A| Emission Units'!C67)</f>
        <v>30200540</v>
      </c>
      <c r="C125" s="311">
        <f>IF(A125="","",SUM(C108:C113))</f>
        <v>0</v>
      </c>
      <c r="D125" s="398" t="str">
        <f>IF(A125="","",D108)</f>
        <v>bushels</v>
      </c>
      <c r="E125" s="311">
        <f t="shared" ref="E125" si="54">IF(OR(ISBLANK(C125),ISTEXT(C125)),"",C125*8760)</f>
        <v>0</v>
      </c>
      <c r="F125" s="311" t="str">
        <f t="shared" ref="F125" si="55">IF($A125="","","WebFIRE")</f>
        <v>WebFIRE</v>
      </c>
      <c r="G125" s="613">
        <f>IFERROR(IF($A125=0,0,IF($D125="tons",$E125*S125,IF($D125="bushels",$E125*0.03*S125,0))),0)</f>
        <v>0</v>
      </c>
      <c r="H125" s="614">
        <f>IFERROR(IF($A125=0,0,IF($D125="tons",$E125*T125,IF($D125="bushels",$E125*0.03*T125,0))),0)</f>
        <v>0</v>
      </c>
      <c r="I125" s="400">
        <f t="shared" ref="I125:O125" si="56">IF($A125=0,0,0)</f>
        <v>0</v>
      </c>
      <c r="J125" s="400">
        <f t="shared" si="56"/>
        <v>0</v>
      </c>
      <c r="K125" s="400">
        <f t="shared" si="56"/>
        <v>0</v>
      </c>
      <c r="L125" s="400">
        <f t="shared" si="56"/>
        <v>0</v>
      </c>
      <c r="M125" s="400">
        <f t="shared" si="56"/>
        <v>0</v>
      </c>
      <c r="N125" s="400">
        <f t="shared" si="56"/>
        <v>0</v>
      </c>
      <c r="O125" s="401">
        <f t="shared" si="56"/>
        <v>0</v>
      </c>
      <c r="S125" s="679">
        <f>IFERROR(VLOOKUP($B125,$AC$100:$AO$116,5,FALSE),0)</f>
        <v>6.3E-3</v>
      </c>
      <c r="T125" s="680">
        <f>IFERROR(VLOOKUP($B125,$AC$100:$AO$116,6,FALSE),0)</f>
        <v>1.1000000000000001E-3</v>
      </c>
      <c r="U125" s="680">
        <f>IFERROR(VLOOKUP($B125,$AC$100:$AO$116,7,FALSE),0)</f>
        <v>0</v>
      </c>
      <c r="V125" s="680">
        <f>IFERROR(VLOOKUP($B125,$AC$100:$AO$116,8,FALSE),0)</f>
        <v>0</v>
      </c>
      <c r="W125" s="680">
        <f>IFERROR(VLOOKUP($B125,$AC$100:$AO$116,9,FALSE),0)</f>
        <v>0</v>
      </c>
      <c r="X125" s="680">
        <f>IFERROR(VLOOKUP($B125,$AC$100:$AO$116,10,FALSE),0)</f>
        <v>0</v>
      </c>
      <c r="Y125" s="680">
        <f>IFERROR(VLOOKUP($B125,$AC$100:$AO$116,11,FALSE),0)</f>
        <v>0</v>
      </c>
      <c r="Z125" s="680">
        <f>IFERROR(VLOOKUP($B125,$AC$100:$AO$116,12,FALSE),0)</f>
        <v>0</v>
      </c>
      <c r="AA125" s="681">
        <f>IFERROR(VLOOKUP($B125,$AC$100:$AO$116,13,FALSE),0)</f>
        <v>0</v>
      </c>
      <c r="AC125" s="686"/>
      <c r="AD125" s="559" t="s">
        <v>2246</v>
      </c>
      <c r="AE125" s="559" t="s">
        <v>2247</v>
      </c>
      <c r="AF125" s="559" t="s">
        <v>2248</v>
      </c>
      <c r="AG125" s="559" t="s">
        <v>2249</v>
      </c>
      <c r="AH125" s="559" t="s">
        <v>2250</v>
      </c>
      <c r="AI125" s="559" t="s">
        <v>2251</v>
      </c>
      <c r="AJ125" s="559" t="s">
        <v>2254</v>
      </c>
      <c r="AK125" s="559" t="s">
        <v>2255</v>
      </c>
      <c r="AL125" s="559" t="s">
        <v>2256</v>
      </c>
      <c r="AM125" s="559" t="s">
        <v>2257</v>
      </c>
      <c r="AN125" s="559" t="s">
        <v>2258</v>
      </c>
      <c r="AO125" s="687" t="s">
        <v>2259</v>
      </c>
    </row>
    <row r="126" spans="1:41" ht="18" customHeight="1" x14ac:dyDescent="0.25">
      <c r="A126" s="1188" t="str">
        <f>'Table 3-A| Emission Units'!A68:E68</f>
        <v>Grain Cleaning Emission Units</v>
      </c>
      <c r="B126" s="1189"/>
      <c r="C126" s="1189"/>
      <c r="D126" s="1189"/>
      <c r="E126" s="1189"/>
      <c r="F126" s="1189"/>
      <c r="G126" s="1189"/>
      <c r="H126" s="1189"/>
      <c r="I126" s="1189"/>
      <c r="J126" s="1189"/>
      <c r="K126" s="1189"/>
      <c r="L126" s="1189"/>
      <c r="M126" s="1189"/>
      <c r="N126" s="1189"/>
      <c r="O126" s="1190"/>
      <c r="S126" s="1200" t="s">
        <v>2242</v>
      </c>
      <c r="T126" s="1201"/>
      <c r="U126" s="1201"/>
      <c r="V126" s="1201"/>
      <c r="W126" s="1201"/>
      <c r="X126" s="1201"/>
      <c r="Y126" s="1201"/>
      <c r="Z126" s="1201"/>
      <c r="AA126" s="1202"/>
      <c r="AC126" s="692" t="s">
        <v>2252</v>
      </c>
      <c r="AD126" s="691">
        <f t="shared" ref="AD126:AI126" si="57">AD$122*($AG$151*($AG$153^0.91)*($J$18^1.02))</f>
        <v>0</v>
      </c>
      <c r="AE126" s="691">
        <f t="shared" si="57"/>
        <v>0</v>
      </c>
      <c r="AF126" s="691">
        <f t="shared" si="57"/>
        <v>0</v>
      </c>
      <c r="AG126" s="691">
        <f t="shared" si="57"/>
        <v>0</v>
      </c>
      <c r="AH126" s="691">
        <f t="shared" si="57"/>
        <v>0</v>
      </c>
      <c r="AI126" s="691">
        <f t="shared" si="57"/>
        <v>0</v>
      </c>
      <c r="AJ126" s="691">
        <f t="shared" ref="AJ126:AO126" si="58">AJ$122*($AG$151*($AG$153^0.91)*($J$19^1.02))</f>
        <v>0</v>
      </c>
      <c r="AK126" s="691">
        <f t="shared" si="58"/>
        <v>0</v>
      </c>
      <c r="AL126" s="691">
        <f t="shared" si="58"/>
        <v>0</v>
      </c>
      <c r="AM126" s="691">
        <f t="shared" si="58"/>
        <v>0</v>
      </c>
      <c r="AN126" s="691">
        <f t="shared" si="58"/>
        <v>0</v>
      </c>
      <c r="AO126" s="693">
        <f t="shared" si="58"/>
        <v>0</v>
      </c>
    </row>
    <row r="127" spans="1:41" ht="18" customHeight="1" thickBot="1" x14ac:dyDescent="0.3">
      <c r="A127" s="308">
        <f>IF('Table 3-A| Emission Units'!$A69=0,0,'Table 3-A| Emission Units'!A69&amp;"-"&amp;'Table 3-A| Emission Units'!B69)</f>
        <v>0</v>
      </c>
      <c r="B127" s="309">
        <f>IF('Table 3-A| Emission Units'!$A69=0,0,'Table 3-A| Emission Units'!C69)</f>
        <v>0</v>
      </c>
      <c r="C127" s="311">
        <f>IFERROR(IF(A127=0,0,IF('Table 3-A| Emission Units'!$E$11=1,($J$6/8760)*$J$35,($J$6/8760)*$J$35*L35)),0)</f>
        <v>0</v>
      </c>
      <c r="D127" s="398" t="s">
        <v>2093</v>
      </c>
      <c r="E127" s="311">
        <f t="shared" ref="E127:E130" si="59">IF(OR(ISBLANK(C127),ISTEXT(C127)),0,C127*8760)</f>
        <v>0</v>
      </c>
      <c r="F127" s="311" t="str">
        <f t="shared" ref="F127:F130" si="60">IF($A127="","","WebFIRE")</f>
        <v>WebFIRE</v>
      </c>
      <c r="G127" s="399">
        <f t="shared" ref="G127:G130" si="61">IFERROR(IF($A127=0,0,IF($D127="tons",$E127*S127,IF($D127="bushels",$E127*0.03*S127,0))),0)</f>
        <v>0</v>
      </c>
      <c r="H127" s="400">
        <f t="shared" ref="H127:H130" si="62">IFERROR(IF($A127=0,0,IF($D127="tons",$E127*T127,IF($D127="bushels",$E127*0.03*T127,0))),0)</f>
        <v>0</v>
      </c>
      <c r="I127" s="400">
        <f t="shared" ref="I127:O130" si="63">IF($A127=0,0,0)</f>
        <v>0</v>
      </c>
      <c r="J127" s="400">
        <f t="shared" si="63"/>
        <v>0</v>
      </c>
      <c r="K127" s="400">
        <f t="shared" si="63"/>
        <v>0</v>
      </c>
      <c r="L127" s="400">
        <f t="shared" si="63"/>
        <v>0</v>
      </c>
      <c r="M127" s="400">
        <f t="shared" si="63"/>
        <v>0</v>
      </c>
      <c r="N127" s="400">
        <f t="shared" si="63"/>
        <v>0</v>
      </c>
      <c r="O127" s="401">
        <f t="shared" si="63"/>
        <v>0</v>
      </c>
      <c r="S127" s="679">
        <f t="shared" ref="S127:S130" si="64">IFERROR(VLOOKUP($B127,$AC$100:$AO$116,5,FALSE),0)</f>
        <v>0</v>
      </c>
      <c r="T127" s="680">
        <f t="shared" ref="T127:T130" si="65">IFERROR(VLOOKUP($B127,$AC$100:$AO$116,6,FALSE),0)</f>
        <v>0</v>
      </c>
      <c r="U127" s="680">
        <f t="shared" ref="U127:U130" si="66">IFERROR(VLOOKUP($B127,$AC$100:$AO$116,7,FALSE),0)</f>
        <v>0</v>
      </c>
      <c r="V127" s="680">
        <f t="shared" ref="V127:V130" si="67">IFERROR(VLOOKUP($B127,$AC$100:$AO$116,8,FALSE),0)</f>
        <v>0</v>
      </c>
      <c r="W127" s="680">
        <f t="shared" ref="W127:W130" si="68">IFERROR(VLOOKUP($B127,$AC$100:$AO$116,9,FALSE),0)</f>
        <v>0</v>
      </c>
      <c r="X127" s="680">
        <f t="shared" ref="X127:X130" si="69">IFERROR(VLOOKUP($B127,$AC$100:$AO$116,10,FALSE),0)</f>
        <v>0</v>
      </c>
      <c r="Y127" s="680">
        <f t="shared" ref="Y127:Y130" si="70">IFERROR(VLOOKUP($B127,$AC$100:$AO$116,11,FALSE),0)</f>
        <v>0</v>
      </c>
      <c r="Z127" s="680">
        <f t="shared" ref="Z127:Z130" si="71">IFERROR(VLOOKUP($B127,$AC$100:$AO$116,12,FALSE),0)</f>
        <v>0</v>
      </c>
      <c r="AA127" s="681">
        <f t="shared" ref="AA127:AA130" si="72">IFERROR(VLOOKUP($B127,$AC$100:$AO$116,13,FALSE),0)</f>
        <v>0</v>
      </c>
      <c r="AC127" s="694" t="s">
        <v>2253</v>
      </c>
      <c r="AD127" s="695">
        <f t="shared" ref="AD127:AI127" si="73">AD$123*($AG$162*(($AG$164/12)^$AG$165)*(($J$30/3)^$AG$167))</f>
        <v>0</v>
      </c>
      <c r="AE127" s="695">
        <f t="shared" si="73"/>
        <v>0</v>
      </c>
      <c r="AF127" s="695">
        <f t="shared" si="73"/>
        <v>0</v>
      </c>
      <c r="AG127" s="695">
        <f t="shared" si="73"/>
        <v>0</v>
      </c>
      <c r="AH127" s="695">
        <f t="shared" si="73"/>
        <v>0</v>
      </c>
      <c r="AI127" s="695">
        <f t="shared" si="73"/>
        <v>0</v>
      </c>
      <c r="AJ127" s="695">
        <f t="shared" ref="AJ127:AO127" si="74">AJ$123*($AG$162*(($AG$164/12)^$AG$165)*(($J$31/3)^$AG$167))</f>
        <v>0</v>
      </c>
      <c r="AK127" s="695">
        <f t="shared" si="74"/>
        <v>0</v>
      </c>
      <c r="AL127" s="695">
        <f t="shared" si="74"/>
        <v>0</v>
      </c>
      <c r="AM127" s="695">
        <f t="shared" si="74"/>
        <v>0</v>
      </c>
      <c r="AN127" s="695">
        <f t="shared" si="74"/>
        <v>0</v>
      </c>
      <c r="AO127" s="696">
        <f t="shared" si="74"/>
        <v>0</v>
      </c>
    </row>
    <row r="128" spans="1:41" ht="18" customHeight="1" x14ac:dyDescent="0.25">
      <c r="A128" s="308">
        <f>IF('Table 3-A| Emission Units'!$A70=0,0,'Table 3-A| Emission Units'!A70&amp;"-"&amp;'Table 3-A| Emission Units'!B70)</f>
        <v>0</v>
      </c>
      <c r="B128" s="309">
        <f>IF('Table 3-A| Emission Units'!$A70=0,0,'Table 3-A| Emission Units'!C70)</f>
        <v>0</v>
      </c>
      <c r="C128" s="311">
        <f>IFERROR(IF(A128=0,0,IF('Table 3-A| Emission Units'!$E$11=1,0,($J$6/8760)*$J$35*M35)),0)</f>
        <v>0</v>
      </c>
      <c r="D128" s="398" t="s">
        <v>2093</v>
      </c>
      <c r="E128" s="311">
        <f t="shared" si="59"/>
        <v>0</v>
      </c>
      <c r="F128" s="311" t="str">
        <f t="shared" si="60"/>
        <v>WebFIRE</v>
      </c>
      <c r="G128" s="399">
        <f t="shared" si="61"/>
        <v>0</v>
      </c>
      <c r="H128" s="400">
        <f t="shared" si="62"/>
        <v>0</v>
      </c>
      <c r="I128" s="400">
        <f t="shared" si="63"/>
        <v>0</v>
      </c>
      <c r="J128" s="400">
        <f t="shared" si="63"/>
        <v>0</v>
      </c>
      <c r="K128" s="400">
        <f t="shared" si="63"/>
        <v>0</v>
      </c>
      <c r="L128" s="400">
        <f t="shared" si="63"/>
        <v>0</v>
      </c>
      <c r="M128" s="400">
        <f t="shared" si="63"/>
        <v>0</v>
      </c>
      <c r="N128" s="400">
        <f t="shared" si="63"/>
        <v>0</v>
      </c>
      <c r="O128" s="401">
        <f t="shared" si="63"/>
        <v>0</v>
      </c>
      <c r="S128" s="679">
        <f t="shared" si="64"/>
        <v>0</v>
      </c>
      <c r="T128" s="680">
        <f t="shared" si="65"/>
        <v>0</v>
      </c>
      <c r="U128" s="680">
        <f t="shared" si="66"/>
        <v>0</v>
      </c>
      <c r="V128" s="680">
        <f t="shared" si="67"/>
        <v>0</v>
      </c>
      <c r="W128" s="680">
        <f t="shared" si="68"/>
        <v>0</v>
      </c>
      <c r="X128" s="680">
        <f t="shared" si="69"/>
        <v>0</v>
      </c>
      <c r="Y128" s="680">
        <f t="shared" si="70"/>
        <v>0</v>
      </c>
      <c r="Z128" s="680">
        <f t="shared" si="71"/>
        <v>0</v>
      </c>
      <c r="AA128" s="681">
        <f t="shared" si="72"/>
        <v>0</v>
      </c>
      <c r="AC128" s="685"/>
      <c r="AD128" s="1191" t="s">
        <v>2262</v>
      </c>
      <c r="AE128" s="1192"/>
      <c r="AF128" s="1192"/>
      <c r="AG128" s="1192"/>
      <c r="AH128" s="1192"/>
      <c r="AI128" s="1192"/>
      <c r="AJ128" s="1192"/>
      <c r="AK128" s="1192"/>
      <c r="AL128" s="1192"/>
      <c r="AM128" s="1192"/>
      <c r="AN128" s="1192"/>
      <c r="AO128" s="1193"/>
    </row>
    <row r="129" spans="1:41" ht="18" customHeight="1" x14ac:dyDescent="0.25">
      <c r="A129" s="308">
        <f>IF('Table 3-A| Emission Units'!$A71=0,0,'Table 3-A| Emission Units'!A71&amp;"-"&amp;'Table 3-A| Emission Units'!B71)</f>
        <v>0</v>
      </c>
      <c r="B129" s="309">
        <f>IF('Table 3-A| Emission Units'!$A71=0,0,'Table 3-A| Emission Units'!C71)</f>
        <v>0</v>
      </c>
      <c r="C129" s="311">
        <f>IFERROR(IF(A129=0,0,IF('Table 3-A| Emission Units'!$E$11=1,0,($J$6/8760)*$J$35*N35)),0)</f>
        <v>0</v>
      </c>
      <c r="D129" s="398" t="s">
        <v>2093</v>
      </c>
      <c r="E129" s="311">
        <f t="shared" si="59"/>
        <v>0</v>
      </c>
      <c r="F129" s="311" t="str">
        <f t="shared" si="60"/>
        <v>WebFIRE</v>
      </c>
      <c r="G129" s="399">
        <f t="shared" si="61"/>
        <v>0</v>
      </c>
      <c r="H129" s="400">
        <f t="shared" si="62"/>
        <v>0</v>
      </c>
      <c r="I129" s="400">
        <f t="shared" si="63"/>
        <v>0</v>
      </c>
      <c r="J129" s="400">
        <f t="shared" si="63"/>
        <v>0</v>
      </c>
      <c r="K129" s="400">
        <f t="shared" si="63"/>
        <v>0</v>
      </c>
      <c r="L129" s="400">
        <f t="shared" si="63"/>
        <v>0</v>
      </c>
      <c r="M129" s="400">
        <f t="shared" si="63"/>
        <v>0</v>
      </c>
      <c r="N129" s="400">
        <f t="shared" si="63"/>
        <v>0</v>
      </c>
      <c r="O129" s="401">
        <f t="shared" si="63"/>
        <v>0</v>
      </c>
      <c r="S129" s="679">
        <f t="shared" si="64"/>
        <v>0</v>
      </c>
      <c r="T129" s="680">
        <f t="shared" si="65"/>
        <v>0</v>
      </c>
      <c r="U129" s="680">
        <f t="shared" si="66"/>
        <v>0</v>
      </c>
      <c r="V129" s="680">
        <f t="shared" si="67"/>
        <v>0</v>
      </c>
      <c r="W129" s="680">
        <f t="shared" si="68"/>
        <v>0</v>
      </c>
      <c r="X129" s="680">
        <f t="shared" si="69"/>
        <v>0</v>
      </c>
      <c r="Y129" s="680">
        <f t="shared" si="70"/>
        <v>0</v>
      </c>
      <c r="Z129" s="680">
        <f t="shared" si="71"/>
        <v>0</v>
      </c>
      <c r="AA129" s="681">
        <f t="shared" si="72"/>
        <v>0</v>
      </c>
      <c r="AC129" s="686"/>
      <c r="AD129" s="559" t="s">
        <v>2246</v>
      </c>
      <c r="AE129" s="559" t="s">
        <v>2247</v>
      </c>
      <c r="AF129" s="559" t="s">
        <v>2248</v>
      </c>
      <c r="AG129" s="559" t="s">
        <v>2249</v>
      </c>
      <c r="AH129" s="559" t="s">
        <v>2250</v>
      </c>
      <c r="AI129" s="559" t="s">
        <v>2251</v>
      </c>
      <c r="AJ129" s="559" t="s">
        <v>2254</v>
      </c>
      <c r="AK129" s="559" t="s">
        <v>2255</v>
      </c>
      <c r="AL129" s="559" t="s">
        <v>2256</v>
      </c>
      <c r="AM129" s="559" t="s">
        <v>2257</v>
      </c>
      <c r="AN129" s="559" t="s">
        <v>2258</v>
      </c>
      <c r="AO129" s="687" t="s">
        <v>2259</v>
      </c>
    </row>
    <row r="130" spans="1:41" ht="18" customHeight="1" thickBot="1" x14ac:dyDescent="0.3">
      <c r="A130" s="308">
        <f>IF('Table 3-A| Emission Units'!$A72=0,0,'Table 3-A| Emission Units'!A72&amp;"-"&amp;'Table 3-A| Emission Units'!B72)</f>
        <v>0</v>
      </c>
      <c r="B130" s="309">
        <f>IF('Table 3-A| Emission Units'!$A72=0,0,'Table 3-A| Emission Units'!C72)</f>
        <v>0</v>
      </c>
      <c r="C130" s="311">
        <f>IFERROR(IF(A130=0,0,IF('Table 3-A| Emission Units'!$E$11=1,0,($J$6/8760)*$J$35*O35)),0)</f>
        <v>0</v>
      </c>
      <c r="D130" s="398" t="s">
        <v>2093</v>
      </c>
      <c r="E130" s="311">
        <f t="shared" si="59"/>
        <v>0</v>
      </c>
      <c r="F130" s="311" t="str">
        <f t="shared" si="60"/>
        <v>WebFIRE</v>
      </c>
      <c r="G130" s="399">
        <f t="shared" si="61"/>
        <v>0</v>
      </c>
      <c r="H130" s="400">
        <f t="shared" si="62"/>
        <v>0</v>
      </c>
      <c r="I130" s="400">
        <f t="shared" si="63"/>
        <v>0</v>
      </c>
      <c r="J130" s="400">
        <f t="shared" si="63"/>
        <v>0</v>
      </c>
      <c r="K130" s="400">
        <f t="shared" si="63"/>
        <v>0</v>
      </c>
      <c r="L130" s="400">
        <f t="shared" si="63"/>
        <v>0</v>
      </c>
      <c r="M130" s="400">
        <f t="shared" si="63"/>
        <v>0</v>
      </c>
      <c r="N130" s="400">
        <f t="shared" si="63"/>
        <v>0</v>
      </c>
      <c r="O130" s="401">
        <f t="shared" si="63"/>
        <v>0</v>
      </c>
      <c r="S130" s="679">
        <f t="shared" si="64"/>
        <v>0</v>
      </c>
      <c r="T130" s="680">
        <f t="shared" si="65"/>
        <v>0</v>
      </c>
      <c r="U130" s="680">
        <f t="shared" si="66"/>
        <v>0</v>
      </c>
      <c r="V130" s="680">
        <f t="shared" si="67"/>
        <v>0</v>
      </c>
      <c r="W130" s="680">
        <f t="shared" si="68"/>
        <v>0</v>
      </c>
      <c r="X130" s="680">
        <f t="shared" si="69"/>
        <v>0</v>
      </c>
      <c r="Y130" s="680">
        <f t="shared" si="70"/>
        <v>0</v>
      </c>
      <c r="Z130" s="680">
        <f t="shared" si="71"/>
        <v>0</v>
      </c>
      <c r="AA130" s="681">
        <f t="shared" si="72"/>
        <v>0</v>
      </c>
      <c r="AC130" s="692" t="s">
        <v>2252</v>
      </c>
      <c r="AD130" s="691">
        <f t="shared" ref="AD130:AI130" si="75">AD$122*($AG$152*($AG$153^0.91)*($J$18^1.02))</f>
        <v>0</v>
      </c>
      <c r="AE130" s="691">
        <f t="shared" si="75"/>
        <v>0</v>
      </c>
      <c r="AF130" s="691">
        <f t="shared" si="75"/>
        <v>0</v>
      </c>
      <c r="AG130" s="691">
        <f t="shared" si="75"/>
        <v>0</v>
      </c>
      <c r="AH130" s="691">
        <f t="shared" si="75"/>
        <v>0</v>
      </c>
      <c r="AI130" s="691">
        <f t="shared" si="75"/>
        <v>0</v>
      </c>
      <c r="AJ130" s="691">
        <f t="shared" ref="AJ130:AO130" si="76">AJ$122*($AG$152*($AG$153^0.91)*($J$19^1.02))</f>
        <v>0</v>
      </c>
      <c r="AK130" s="691">
        <f t="shared" si="76"/>
        <v>0</v>
      </c>
      <c r="AL130" s="691">
        <f t="shared" si="76"/>
        <v>0</v>
      </c>
      <c r="AM130" s="691">
        <f t="shared" si="76"/>
        <v>0</v>
      </c>
      <c r="AN130" s="691">
        <f t="shared" si="76"/>
        <v>0</v>
      </c>
      <c r="AO130" s="693">
        <f t="shared" si="76"/>
        <v>0</v>
      </c>
    </row>
    <row r="131" spans="1:41" ht="18" customHeight="1" thickBot="1" x14ac:dyDescent="0.3">
      <c r="A131" s="1188" t="str">
        <f>'Table 3-A| Emission Units'!A73:E73</f>
        <v>Grain Drying Emission Units</v>
      </c>
      <c r="B131" s="1189"/>
      <c r="C131" s="1189"/>
      <c r="D131" s="1189"/>
      <c r="E131" s="1189"/>
      <c r="F131" s="1189"/>
      <c r="G131" s="1189"/>
      <c r="H131" s="1189"/>
      <c r="I131" s="1189"/>
      <c r="J131" s="1189"/>
      <c r="K131" s="1189"/>
      <c r="L131" s="1189"/>
      <c r="M131" s="1189"/>
      <c r="N131" s="1189"/>
      <c r="O131" s="1190"/>
      <c r="S131" s="1200" t="s">
        <v>2241</v>
      </c>
      <c r="T131" s="1201"/>
      <c r="U131" s="1201"/>
      <c r="V131" s="1201"/>
      <c r="W131" s="1201"/>
      <c r="X131" s="1201"/>
      <c r="Y131" s="1201"/>
      <c r="Z131" s="1201"/>
      <c r="AA131" s="1202"/>
      <c r="AC131" s="694" t="s">
        <v>2253</v>
      </c>
      <c r="AD131" s="695">
        <f t="shared" ref="AD131:AI131" si="77">AD$123*($AG$163*(($AG$164/12)^$AG$165)*(($J$30/3)^$AG$167))</f>
        <v>0</v>
      </c>
      <c r="AE131" s="695">
        <f t="shared" si="77"/>
        <v>0</v>
      </c>
      <c r="AF131" s="695">
        <f t="shared" si="77"/>
        <v>0</v>
      </c>
      <c r="AG131" s="695">
        <f t="shared" si="77"/>
        <v>0</v>
      </c>
      <c r="AH131" s="695">
        <f t="shared" si="77"/>
        <v>0</v>
      </c>
      <c r="AI131" s="695">
        <f t="shared" si="77"/>
        <v>0</v>
      </c>
      <c r="AJ131" s="695">
        <f t="shared" ref="AJ131:AO131" si="78">AJ$123*($AG$163*(($AG$164/12)^$AG$165)*(($J$31/3)^$AG$167))</f>
        <v>0</v>
      </c>
      <c r="AK131" s="695">
        <f t="shared" si="78"/>
        <v>0</v>
      </c>
      <c r="AL131" s="695">
        <f t="shared" si="78"/>
        <v>0</v>
      </c>
      <c r="AM131" s="695">
        <f t="shared" si="78"/>
        <v>0</v>
      </c>
      <c r="AN131" s="695">
        <f t="shared" si="78"/>
        <v>0</v>
      </c>
      <c r="AO131" s="696">
        <f t="shared" si="78"/>
        <v>0</v>
      </c>
    </row>
    <row r="132" spans="1:41" ht="18" customHeight="1" x14ac:dyDescent="0.25">
      <c r="A132" s="308">
        <f>IF('Table 3-A| Emission Units'!$A74=0,0,'Table 3-A| Emission Units'!A74&amp;"-"&amp;'Table 3-A| Emission Units'!B74)</f>
        <v>0</v>
      </c>
      <c r="B132" s="309">
        <f>IF('Table 3-A| Emission Units'!$A74=0,0,'Table 3-A| Emission Units'!C74)</f>
        <v>0</v>
      </c>
      <c r="C132" s="311">
        <f>IFERROR(IF(A132=0,0,IF('Table 3-A| Emission Units'!$E$12=1,($J$6/8760)*$J$39,($J$6/8760)*$J$39*L39)),0)</f>
        <v>0</v>
      </c>
      <c r="D132" s="398" t="s">
        <v>2093</v>
      </c>
      <c r="E132" s="311">
        <f t="shared" ref="E132:E139" si="79">IF(OR(ISBLANK(C132),ISTEXT(C132)),0,C132*8760)</f>
        <v>0</v>
      </c>
      <c r="F132" s="311" t="str">
        <f t="shared" ref="F132:F139" si="80">IF($A132="","","WebFIRE")</f>
        <v>WebFIRE</v>
      </c>
      <c r="G132" s="399">
        <f>IFERROR(IF($A132=0,0,IF($D132="tons",$E132*S132,IF($D132="bushels",$E132*0.03*S132,0))),0)</f>
        <v>0</v>
      </c>
      <c r="H132" s="400">
        <f>IFERROR(IF($A132=0,0,IF($D132="tons",$E132*T132,IF($D132="bushels",$E132*0.03*T132,0))),0)</f>
        <v>0</v>
      </c>
      <c r="I132" s="400">
        <f t="shared" ref="I132:O132" si="81">IF($A132=0,0,0)</f>
        <v>0</v>
      </c>
      <c r="J132" s="400">
        <f t="shared" si="81"/>
        <v>0</v>
      </c>
      <c r="K132" s="400">
        <f t="shared" si="81"/>
        <v>0</v>
      </c>
      <c r="L132" s="400">
        <f t="shared" si="81"/>
        <v>0</v>
      </c>
      <c r="M132" s="400">
        <f t="shared" si="81"/>
        <v>0</v>
      </c>
      <c r="N132" s="400">
        <f t="shared" si="81"/>
        <v>0</v>
      </c>
      <c r="O132" s="401">
        <f t="shared" si="81"/>
        <v>0</v>
      </c>
      <c r="S132" s="679">
        <f t="shared" ref="S132:S139" si="82">IFERROR(VLOOKUP($B132,$AC$100:$AO$116,5,FALSE),0)</f>
        <v>0</v>
      </c>
      <c r="T132" s="680">
        <f t="shared" ref="T132:T139" si="83">IFERROR(VLOOKUP($B132,$AC$100:$AO$116,6,FALSE),0)</f>
        <v>0</v>
      </c>
      <c r="U132" s="680">
        <f t="shared" ref="U132:U139" si="84">IFERROR(VLOOKUP($B132,$AC$100:$AO$116,7,FALSE),0)</f>
        <v>0</v>
      </c>
      <c r="V132" s="680">
        <f t="shared" ref="V132:V139" si="85">IFERROR(VLOOKUP($B132,$AC$100:$AO$116,8,FALSE),0)</f>
        <v>0</v>
      </c>
      <c r="W132" s="680">
        <f t="shared" ref="W132:W139" si="86">IFERROR(VLOOKUP($B132,$AC$100:$AO$116,9,FALSE),0)</f>
        <v>0</v>
      </c>
      <c r="X132" s="680">
        <f t="shared" ref="X132:X139" si="87">IFERROR(VLOOKUP($B132,$AC$100:$AO$116,10,FALSE),0)</f>
        <v>0</v>
      </c>
      <c r="Y132" s="680">
        <f t="shared" ref="Y132:Y139" si="88">IFERROR(VLOOKUP($B132,$AC$100:$AO$116,11,FALSE),0)</f>
        <v>0</v>
      </c>
      <c r="Z132" s="680">
        <f t="shared" ref="Z132:Z139" si="89">IFERROR(VLOOKUP($B132,$AC$100:$AO$116,12,FALSE),0)</f>
        <v>0</v>
      </c>
      <c r="AA132" s="681">
        <f t="shared" ref="AA132:AA139" si="90">IFERROR(VLOOKUP($B132,$AC$100:$AO$116,13,FALSE),0)</f>
        <v>0</v>
      </c>
    </row>
    <row r="133" spans="1:41" ht="18" customHeight="1" thickBot="1" x14ac:dyDescent="0.3">
      <c r="A133" s="308">
        <f>IF('Table 3-A| Emission Units'!$A75=0,0,'Table 3-A| Emission Units'!A75&amp;"-"&amp;'Table 3-A| Emission Units'!B75)</f>
        <v>0</v>
      </c>
      <c r="B133" s="309">
        <f>IF('Table 3-A| Emission Units'!$A75=0,0,'Table 3-A| Emission Units'!C75)</f>
        <v>0</v>
      </c>
      <c r="C133" s="642">
        <f>IFERROR(IF(A133=0,0,IF('Table 3-A| Emission Units'!$E$12=1,($L$11/8760),($L$11/8760)*L39)),0)</f>
        <v>0</v>
      </c>
      <c r="D133" s="398" t="str">
        <f>IF(OR('Table 3-A| Emission Units'!$B74&gt;'Table 3-A| Emission Units'!$E$12,ISBLANK('Table 3-A| Emission Units'!$E$12)),"","MMBtu")</f>
        <v/>
      </c>
      <c r="E133" s="311">
        <f t="shared" si="79"/>
        <v>0</v>
      </c>
      <c r="F133" s="311" t="str">
        <f t="shared" si="80"/>
        <v>WebFIRE</v>
      </c>
      <c r="G133" s="399">
        <f>IFERROR($E133*S133,0)</f>
        <v>0</v>
      </c>
      <c r="H133" s="400">
        <f t="shared" ref="H133:O133" si="91">IFERROR($E133*T133,0)</f>
        <v>0</v>
      </c>
      <c r="I133" s="400">
        <f t="shared" si="91"/>
        <v>0</v>
      </c>
      <c r="J133" s="400">
        <f t="shared" si="91"/>
        <v>0</v>
      </c>
      <c r="K133" s="400">
        <f t="shared" si="91"/>
        <v>0</v>
      </c>
      <c r="L133" s="400">
        <f t="shared" si="91"/>
        <v>0</v>
      </c>
      <c r="M133" s="400">
        <f t="shared" si="91"/>
        <v>0</v>
      </c>
      <c r="N133" s="400">
        <f t="shared" si="91"/>
        <v>0</v>
      </c>
      <c r="O133" s="401">
        <f t="shared" si="91"/>
        <v>0</v>
      </c>
      <c r="S133" s="679">
        <f t="shared" si="82"/>
        <v>0</v>
      </c>
      <c r="T133" s="680">
        <f t="shared" si="83"/>
        <v>0</v>
      </c>
      <c r="U133" s="680">
        <f t="shared" si="84"/>
        <v>0</v>
      </c>
      <c r="V133" s="680">
        <f t="shared" si="85"/>
        <v>0</v>
      </c>
      <c r="W133" s="680">
        <f t="shared" si="86"/>
        <v>0</v>
      </c>
      <c r="X133" s="680">
        <f t="shared" si="87"/>
        <v>0</v>
      </c>
      <c r="Y133" s="680">
        <f t="shared" si="88"/>
        <v>0</v>
      </c>
      <c r="Z133" s="680">
        <f t="shared" si="89"/>
        <v>0</v>
      </c>
      <c r="AA133" s="681">
        <f t="shared" si="90"/>
        <v>0</v>
      </c>
    </row>
    <row r="134" spans="1:41" ht="18" customHeight="1" x14ac:dyDescent="0.25">
      <c r="A134" s="308">
        <f>IF('Table 3-A| Emission Units'!$A76=0,0,'Table 3-A| Emission Units'!A76&amp;"-"&amp;'Table 3-A| Emission Units'!B76)</f>
        <v>0</v>
      </c>
      <c r="B134" s="309">
        <f>IF('Table 3-A| Emission Units'!$A76=0,0,'Table 3-A| Emission Units'!C76)</f>
        <v>0</v>
      </c>
      <c r="C134" s="311">
        <f>IFERROR(IF(A134=0,0,IF('Table 3-A| Emission Units'!$E$12=1,0,($J$6/8760)*$J$39*M39)),0)</f>
        <v>0</v>
      </c>
      <c r="D134" s="398" t="s">
        <v>2093</v>
      </c>
      <c r="E134" s="311">
        <f t="shared" si="79"/>
        <v>0</v>
      </c>
      <c r="F134" s="311" t="str">
        <f t="shared" si="80"/>
        <v>WebFIRE</v>
      </c>
      <c r="G134" s="399">
        <f>IFERROR(IF($A134=0,0,IF($D134="tons",$E134*S134,IF($D134="bushels",$E134*0.03*S134,0))),0)</f>
        <v>0</v>
      </c>
      <c r="H134" s="400">
        <f>IFERROR(IF($A134=0,0,IF($D134="tons",$E134*T134,IF($D134="bushels",$E134*0.03*T134,0))),0)</f>
        <v>0</v>
      </c>
      <c r="I134" s="400">
        <f t="shared" ref="I134:O134" si="92">IF($A134=0,0,0)</f>
        <v>0</v>
      </c>
      <c r="J134" s="400">
        <f t="shared" si="92"/>
        <v>0</v>
      </c>
      <c r="K134" s="400">
        <f t="shared" si="92"/>
        <v>0</v>
      </c>
      <c r="L134" s="400">
        <f t="shared" si="92"/>
        <v>0</v>
      </c>
      <c r="M134" s="400">
        <f t="shared" si="92"/>
        <v>0</v>
      </c>
      <c r="N134" s="400">
        <f t="shared" si="92"/>
        <v>0</v>
      </c>
      <c r="O134" s="401">
        <f t="shared" si="92"/>
        <v>0</v>
      </c>
      <c r="S134" s="679">
        <f t="shared" si="82"/>
        <v>0</v>
      </c>
      <c r="T134" s="680">
        <f t="shared" si="83"/>
        <v>0</v>
      </c>
      <c r="U134" s="680">
        <f t="shared" si="84"/>
        <v>0</v>
      </c>
      <c r="V134" s="680">
        <f t="shared" si="85"/>
        <v>0</v>
      </c>
      <c r="W134" s="680">
        <f t="shared" si="86"/>
        <v>0</v>
      </c>
      <c r="X134" s="680">
        <f t="shared" si="87"/>
        <v>0</v>
      </c>
      <c r="Y134" s="680">
        <f t="shared" si="88"/>
        <v>0</v>
      </c>
      <c r="Z134" s="680">
        <f t="shared" si="89"/>
        <v>0</v>
      </c>
      <c r="AA134" s="681">
        <f t="shared" si="90"/>
        <v>0</v>
      </c>
      <c r="AC134" s="685"/>
      <c r="AD134" s="1191" t="s">
        <v>2109</v>
      </c>
      <c r="AE134" s="1192"/>
      <c r="AF134" s="1192"/>
      <c r="AG134" s="1192"/>
      <c r="AH134" s="1192"/>
      <c r="AI134" s="1192"/>
      <c r="AJ134" s="1192"/>
      <c r="AK134" s="1192"/>
      <c r="AL134" s="1192"/>
      <c r="AM134" s="1192"/>
      <c r="AN134" s="1192"/>
      <c r="AO134" s="1193"/>
    </row>
    <row r="135" spans="1:41" ht="18" customHeight="1" x14ac:dyDescent="0.25">
      <c r="A135" s="308">
        <f>IF('Table 3-A| Emission Units'!$A77=0,0,'Table 3-A| Emission Units'!A77&amp;"-"&amp;'Table 3-A| Emission Units'!B77)</f>
        <v>0</v>
      </c>
      <c r="B135" s="309">
        <f>IF('Table 3-A| Emission Units'!$A77=0,0,'Table 3-A| Emission Units'!C77)</f>
        <v>0</v>
      </c>
      <c r="C135" s="311">
        <f>IFERROR(IF(A135=0,0,IF('Table 3-A| Emission Units'!$E$12=1,0,($L$11/8760)*M39)),0)</f>
        <v>0</v>
      </c>
      <c r="D135" s="398" t="str">
        <f>IF(OR('Table 3-A| Emission Units'!$B76&gt;'Table 3-A| Emission Units'!$E$12,ISBLANK('Table 3-A| Emission Units'!$E$12)),"","MMBtu")</f>
        <v/>
      </c>
      <c r="E135" s="311">
        <f t="shared" si="79"/>
        <v>0</v>
      </c>
      <c r="F135" s="311" t="str">
        <f t="shared" si="80"/>
        <v>WebFIRE</v>
      </c>
      <c r="G135" s="399">
        <f t="shared" ref="G135:O135" si="93">IFERROR($E135*S135,0)</f>
        <v>0</v>
      </c>
      <c r="H135" s="400">
        <f t="shared" si="93"/>
        <v>0</v>
      </c>
      <c r="I135" s="400">
        <f t="shared" si="93"/>
        <v>0</v>
      </c>
      <c r="J135" s="400">
        <f t="shared" si="93"/>
        <v>0</v>
      </c>
      <c r="K135" s="400">
        <f t="shared" si="93"/>
        <v>0</v>
      </c>
      <c r="L135" s="400">
        <f t="shared" si="93"/>
        <v>0</v>
      </c>
      <c r="M135" s="400">
        <f t="shared" si="93"/>
        <v>0</v>
      </c>
      <c r="N135" s="400">
        <f t="shared" si="93"/>
        <v>0</v>
      </c>
      <c r="O135" s="401">
        <f t="shared" si="93"/>
        <v>0</v>
      </c>
      <c r="S135" s="679">
        <f t="shared" si="82"/>
        <v>0</v>
      </c>
      <c r="T135" s="680">
        <f t="shared" si="83"/>
        <v>0</v>
      </c>
      <c r="U135" s="680">
        <f t="shared" si="84"/>
        <v>0</v>
      </c>
      <c r="V135" s="680">
        <f t="shared" si="85"/>
        <v>0</v>
      </c>
      <c r="W135" s="680">
        <f t="shared" si="86"/>
        <v>0</v>
      </c>
      <c r="X135" s="680">
        <f t="shared" si="87"/>
        <v>0</v>
      </c>
      <c r="Y135" s="680">
        <f t="shared" si="88"/>
        <v>0</v>
      </c>
      <c r="Z135" s="680">
        <f t="shared" si="89"/>
        <v>0</v>
      </c>
      <c r="AA135" s="681">
        <f t="shared" si="90"/>
        <v>0</v>
      </c>
      <c r="AC135" s="686"/>
      <c r="AD135" s="559" t="s">
        <v>2246</v>
      </c>
      <c r="AE135" s="559" t="s">
        <v>2247</v>
      </c>
      <c r="AF135" s="559" t="s">
        <v>2248</v>
      </c>
      <c r="AG135" s="559" t="s">
        <v>2249</v>
      </c>
      <c r="AH135" s="559" t="s">
        <v>2250</v>
      </c>
      <c r="AI135" s="559" t="s">
        <v>2251</v>
      </c>
      <c r="AJ135" s="559" t="s">
        <v>2254</v>
      </c>
      <c r="AK135" s="559" t="s">
        <v>2255</v>
      </c>
      <c r="AL135" s="559" t="s">
        <v>2256</v>
      </c>
      <c r="AM135" s="559" t="s">
        <v>2257</v>
      </c>
      <c r="AN135" s="559" t="s">
        <v>2258</v>
      </c>
      <c r="AO135" s="687" t="s">
        <v>2259</v>
      </c>
    </row>
    <row r="136" spans="1:41" ht="18" customHeight="1" x14ac:dyDescent="0.25">
      <c r="A136" s="308">
        <f>IF('Table 3-A| Emission Units'!$A78=0,0,'Table 3-A| Emission Units'!A78&amp;"-"&amp;'Table 3-A| Emission Units'!B78)</f>
        <v>0</v>
      </c>
      <c r="B136" s="309">
        <f>IF('Table 3-A| Emission Units'!$A78=0,0,'Table 3-A| Emission Units'!C78)</f>
        <v>0</v>
      </c>
      <c r="C136" s="311">
        <f>IFERROR(IF(A136=0,0,IF('Table 3-A| Emission Units'!$E$12=1,0,($J$6/8760)*$J$39*N39)),0)</f>
        <v>0</v>
      </c>
      <c r="D136" s="398" t="s">
        <v>2093</v>
      </c>
      <c r="E136" s="311">
        <f t="shared" si="79"/>
        <v>0</v>
      </c>
      <c r="F136" s="311" t="str">
        <f t="shared" si="80"/>
        <v>WebFIRE</v>
      </c>
      <c r="G136" s="399">
        <f>IFERROR(IF($A136=0,0,IF($D136="tons",$E136*S136,IF($D136="bushels",$E136*0.03*S136,0))),0)</f>
        <v>0</v>
      </c>
      <c r="H136" s="400">
        <f>IFERROR(IF($A136=0,0,IF($D136="tons",$E136*T136,IF($D136="bushels",$E136*0.03*T136,0))),0)</f>
        <v>0</v>
      </c>
      <c r="I136" s="400">
        <f t="shared" ref="I136:O136" si="94">IF($A136=0,0,0)</f>
        <v>0</v>
      </c>
      <c r="J136" s="400">
        <f t="shared" si="94"/>
        <v>0</v>
      </c>
      <c r="K136" s="400">
        <f t="shared" si="94"/>
        <v>0</v>
      </c>
      <c r="L136" s="400">
        <f t="shared" si="94"/>
        <v>0</v>
      </c>
      <c r="M136" s="400">
        <f t="shared" si="94"/>
        <v>0</v>
      </c>
      <c r="N136" s="400">
        <f t="shared" si="94"/>
        <v>0</v>
      </c>
      <c r="O136" s="401">
        <f t="shared" si="94"/>
        <v>0</v>
      </c>
      <c r="S136" s="679">
        <f t="shared" si="82"/>
        <v>0</v>
      </c>
      <c r="T136" s="680">
        <f t="shared" si="83"/>
        <v>0</v>
      </c>
      <c r="U136" s="680">
        <f t="shared" si="84"/>
        <v>0</v>
      </c>
      <c r="V136" s="680">
        <f t="shared" si="85"/>
        <v>0</v>
      </c>
      <c r="W136" s="680">
        <f t="shared" si="86"/>
        <v>0</v>
      </c>
      <c r="X136" s="680">
        <f t="shared" si="87"/>
        <v>0</v>
      </c>
      <c r="Y136" s="680">
        <f t="shared" si="88"/>
        <v>0</v>
      </c>
      <c r="Z136" s="680">
        <f t="shared" si="89"/>
        <v>0</v>
      </c>
      <c r="AA136" s="681">
        <f t="shared" si="90"/>
        <v>0</v>
      </c>
      <c r="AC136" s="692" t="s">
        <v>2252</v>
      </c>
      <c r="AD136" s="691">
        <f>IFERROR(IF($D115="bushels",(J28/2/5280)*(($E115*0.03)/($J$30-$J$31)),IF($D115="tons",(J28/5280)*($E115/($J$30-$J$31)),0)),0)</f>
        <v>0</v>
      </c>
      <c r="AE136" s="691">
        <f>IFERROR(IF($D116="bushels",(K28/2/5280)*(($E116*0.03)/($J$30-$J$31)),IF($D116="tons",(K28/2/5280)*($E116/($J$30-$J$31)),0)),0)</f>
        <v>0</v>
      </c>
      <c r="AF136" s="691">
        <f>IFERROR(IF($D117="bushels",(L28/2/5280)*(($E117*0.03)/($J$30-$J$31)),IF($D117="tons",(L28/2/5280)*($E117/($J$30-$J$31)),0)),0)</f>
        <v>0</v>
      </c>
      <c r="AG136" s="691">
        <f>IFERROR(IF($D118="bushels",(M28/2/5280)*(($E118*0.03)/($J$30-$J$31)),IF($D118="tons",(M28/2/5280)*($E118/($J$30-$J$31)),0)),0)</f>
        <v>0</v>
      </c>
      <c r="AH136" s="691">
        <f>IFERROR(IF($D119="bushels",(N28/2/5280)*(($E119*0.03)/($J$30-$J$31)),IF($D119="tons",(N28/2/5280)*($E119/($J$30-$J$31)),0)),0)</f>
        <v>0</v>
      </c>
      <c r="AI136" s="691">
        <f>IFERROR(IF($D120="bushels",(O28/2/5280)*(($E120*0.03)/($J$30-$J$31)),IF($D120="tons",(O28/2/5280)*($E120/($J$30-$J$31)),0)),0)</f>
        <v>0</v>
      </c>
      <c r="AJ136" s="691">
        <f>IFERROR(IF($D115="bushels",(J28/2/5280)*(($E115*0.03)/($J$30-$J$31)),IF($D115="tons",(J28/5280)*($E115/($J$30-$J$31)),0)),0)</f>
        <v>0</v>
      </c>
      <c r="AK136" s="691">
        <f>IFERROR(IF($D116="bushels",(K28/2/5280)*(($E116*0.03)/($J$30-$J$31)),IF($D116="tons",(K28/2/5280)*($E116/($J$30-$J$31)),0)),0)</f>
        <v>0</v>
      </c>
      <c r="AL136" s="691">
        <f>IFERROR(IF($D117="bushels",(L28/2/5280)*(($E117*0.03)/($J$30-$J$31)),IF($D117="tons",(L28/2/5280)*($E117/($J$30-$J$31)),0)),0)</f>
        <v>0</v>
      </c>
      <c r="AM136" s="691">
        <f>IFERROR(IF($D118="bushels",(M28/2/5280)*(($E118*0.03)/($J$30-$J$31)),IF($D118="tons",(M28/2/5280)*($E118/($J$30-$J$31)),0)),0)</f>
        <v>0</v>
      </c>
      <c r="AN136" s="691">
        <f>IFERROR(IF($D119="bushels",(N28/2/5280)*(($E119*0.03)/($J$30-$J$31)),IF($D119="tons",(N28/2/5280)*($E119/($J$30-$J$31)),0)),0)</f>
        <v>0</v>
      </c>
      <c r="AO136" s="693">
        <f>IFERROR(IF($D120="bushels",(O28/2/5280)*(($E120*0.03)/($J$30-$J$31)),IF($D120="tons",(O28/2/5280)*($E120/($J$30-$J$31)),0)),0)</f>
        <v>0</v>
      </c>
    </row>
    <row r="137" spans="1:41" ht="18" customHeight="1" thickBot="1" x14ac:dyDescent="0.3">
      <c r="A137" s="308">
        <f>IF('Table 3-A| Emission Units'!$A79=0,0,'Table 3-A| Emission Units'!A79&amp;"-"&amp;'Table 3-A| Emission Units'!B79)</f>
        <v>0</v>
      </c>
      <c r="B137" s="309">
        <f>IF('Table 3-A| Emission Units'!$A79=0,0,'Table 3-A| Emission Units'!C79)</f>
        <v>0</v>
      </c>
      <c r="C137" s="311">
        <f>IFERROR(IF(A137=0,0,IF('Table 3-A| Emission Units'!$E$12=1,0,($L$11/8760)*N39)),0)</f>
        <v>0</v>
      </c>
      <c r="D137" s="398" t="str">
        <f>IF(OR('Table 3-A| Emission Units'!$B78&gt;'Table 3-A| Emission Units'!$E$12,ISBLANK('Table 3-A| Emission Units'!$E$12)),"","MMBtu")</f>
        <v/>
      </c>
      <c r="E137" s="311">
        <f t="shared" si="79"/>
        <v>0</v>
      </c>
      <c r="F137" s="311" t="str">
        <f t="shared" si="80"/>
        <v>WebFIRE</v>
      </c>
      <c r="G137" s="399">
        <f t="shared" ref="G137:O137" si="95">IFERROR($E137*S137,0)</f>
        <v>0</v>
      </c>
      <c r="H137" s="400">
        <f t="shared" si="95"/>
        <v>0</v>
      </c>
      <c r="I137" s="400">
        <f t="shared" si="95"/>
        <v>0</v>
      </c>
      <c r="J137" s="400">
        <f t="shared" si="95"/>
        <v>0</v>
      </c>
      <c r="K137" s="400">
        <f t="shared" si="95"/>
        <v>0</v>
      </c>
      <c r="L137" s="400">
        <f t="shared" si="95"/>
        <v>0</v>
      </c>
      <c r="M137" s="400">
        <f t="shared" si="95"/>
        <v>0</v>
      </c>
      <c r="N137" s="400">
        <f t="shared" si="95"/>
        <v>0</v>
      </c>
      <c r="O137" s="401">
        <f t="shared" si="95"/>
        <v>0</v>
      </c>
      <c r="S137" s="679">
        <f t="shared" si="82"/>
        <v>0</v>
      </c>
      <c r="T137" s="680">
        <f t="shared" si="83"/>
        <v>0</v>
      </c>
      <c r="U137" s="680">
        <f t="shared" si="84"/>
        <v>0</v>
      </c>
      <c r="V137" s="680">
        <f t="shared" si="85"/>
        <v>0</v>
      </c>
      <c r="W137" s="680">
        <f t="shared" si="86"/>
        <v>0</v>
      </c>
      <c r="X137" s="680">
        <f t="shared" si="87"/>
        <v>0</v>
      </c>
      <c r="Y137" s="680">
        <f t="shared" si="88"/>
        <v>0</v>
      </c>
      <c r="Z137" s="680">
        <f t="shared" si="89"/>
        <v>0</v>
      </c>
      <c r="AA137" s="681">
        <f t="shared" si="90"/>
        <v>0</v>
      </c>
      <c r="AC137" s="694" t="s">
        <v>2253</v>
      </c>
      <c r="AD137" s="695">
        <f>IFERROR(IF($D115="bushels",(J29/2/5280)*(($E115*0.03)/($J$30-$J$31)),IF($D115="tons",(J29/2/5280)*($E115/($J$30-$J$31)),0)),0)</f>
        <v>0</v>
      </c>
      <c r="AE137" s="695">
        <f>IFERROR(IF($D116="bushels",(K29/2/5280)*(($E116*0.03)/($J$30-$J$31)),IF($D116="tons",(K29/2/5280)*($E116/($J$30-$J$31)),0)),0)</f>
        <v>0</v>
      </c>
      <c r="AF137" s="695">
        <f>IFERROR(IF($D117="bushels",(L29/2/5280)*(($E117*0.03)/($J$30-$J$31)),IF($D117="tons",(L29/2/5280)*($E117/($J$30-$J$31)),0)),0)</f>
        <v>0</v>
      </c>
      <c r="AG137" s="695">
        <f>IFERROR(IF($D118="bushels",(M29/2/5280)*(($E118*0.03)/($J$30-$J$31)),IF($D118="tons",(M29/2/5280)*($E118/($J$30-$J$31)),0)),0)</f>
        <v>0</v>
      </c>
      <c r="AH137" s="695">
        <f>IFERROR(IF($D119="bushels",(N29/2/5280)*(($E119*0.03)/($J$30-$J$31)),IF($D119="tons",(N29/2/5280)*($E119/($J$30-$J$31)),0)),0)</f>
        <v>0</v>
      </c>
      <c r="AI137" s="695">
        <f>IFERROR(IF($D120="bushels",(O29/2/5280)*(($E120*0.03)/($J$30-$J$31)),IF($D120="tons",(O29/2/5280)*($E120/($J$30-$J$31)),0)),0)</f>
        <v>0</v>
      </c>
      <c r="AJ137" s="695">
        <f>IFERROR(IF($D115="bushels",(J29/2/5280)*(($E115*0.03)/($J$30-$J$31)),IF($D115="tons",(J29/2/5280)*($E115/($J$30-$J$31)),0)),0)</f>
        <v>0</v>
      </c>
      <c r="AK137" s="695">
        <f>IFERROR(IF($D116="bushels",(K29/2/5280)*(($E116*0.03)/($J$30-$J$31)),IF($D116="tons",(K29/2/5280)*($E116/($J$30-$J$31)),0)),0)</f>
        <v>0</v>
      </c>
      <c r="AL137" s="695">
        <f>IFERROR(IF($D117="bushels",(L29/2/5280)*(($E117*0.03)/($J$30-$J$31)),IF($D117="tons",(L29/2/5280)*($E117/($J$30-$J$31)),0)),0)</f>
        <v>0</v>
      </c>
      <c r="AM137" s="695">
        <f>IFERROR(IF($D118="bushels",(M29/2/5280)*(($E118*0.03)/($J$30-$J$31)),IF($D118="tons",(M29/2/5280)*($E118/($J$30-$J$31)),0)),0)</f>
        <v>0</v>
      </c>
      <c r="AN137" s="695">
        <f>IFERROR(IF($D119="bushels",(N29/2/5280)*(($E119*0.03)/($J$30-$J$31)),IF($D119="tons",(N29/2/5280)*($E119/($J$30-$J$31)),0)),0)</f>
        <v>0</v>
      </c>
      <c r="AO137" s="696">
        <f>IFERROR(IF($D120="bushels",(O29/2/5280)*(($E120*0.03)/($J$30-$J$31)),IF($D120="tons",(O29/2/5280)*($E120/($J$30-$J$31)),0)),0)</f>
        <v>0</v>
      </c>
    </row>
    <row r="138" spans="1:41" ht="18" customHeight="1" x14ac:dyDescent="0.25">
      <c r="A138" s="308">
        <f>IF('Table 3-A| Emission Units'!$A80=0,0,'Table 3-A| Emission Units'!A80&amp;"-"&amp;'Table 3-A| Emission Units'!B80)</f>
        <v>0</v>
      </c>
      <c r="B138" s="309">
        <f>IF('Table 3-A| Emission Units'!$A80=0,0,'Table 3-A| Emission Units'!C80)</f>
        <v>0</v>
      </c>
      <c r="C138" s="311">
        <f>IFERROR(IF(A138=0,0,IF('Table 3-A| Emission Units'!$E$12=1,0,($J$6/8760)*$J$39*O39)),0)</f>
        <v>0</v>
      </c>
      <c r="D138" s="398" t="s">
        <v>2093</v>
      </c>
      <c r="E138" s="311">
        <f t="shared" si="79"/>
        <v>0</v>
      </c>
      <c r="F138" s="311" t="str">
        <f t="shared" si="80"/>
        <v>WebFIRE</v>
      </c>
      <c r="G138" s="399">
        <f>IFERROR(IF($A138=0,0,IF($D138="tons",$E138*S138,IF($D138="bushels",$E138*0.03*S138,0))),0)</f>
        <v>0</v>
      </c>
      <c r="H138" s="400">
        <f>IFERROR(IF($A138=0,0,IF($D138="tons",$E138*T138,IF($D138="bushels",$E138*0.03*T138,0))),0)</f>
        <v>0</v>
      </c>
      <c r="I138" s="400">
        <f t="shared" ref="I138:O138" si="96">IF($A138=0,0,0)</f>
        <v>0</v>
      </c>
      <c r="J138" s="400">
        <f t="shared" si="96"/>
        <v>0</v>
      </c>
      <c r="K138" s="400">
        <f t="shared" si="96"/>
        <v>0</v>
      </c>
      <c r="L138" s="400">
        <f t="shared" si="96"/>
        <v>0</v>
      </c>
      <c r="M138" s="400">
        <f t="shared" si="96"/>
        <v>0</v>
      </c>
      <c r="N138" s="400">
        <f t="shared" si="96"/>
        <v>0</v>
      </c>
      <c r="O138" s="401">
        <f t="shared" si="96"/>
        <v>0</v>
      </c>
      <c r="S138" s="679">
        <f t="shared" si="82"/>
        <v>0</v>
      </c>
      <c r="T138" s="680">
        <f t="shared" si="83"/>
        <v>0</v>
      </c>
      <c r="U138" s="680">
        <f t="shared" si="84"/>
        <v>0</v>
      </c>
      <c r="V138" s="680">
        <f t="shared" si="85"/>
        <v>0</v>
      </c>
      <c r="W138" s="680">
        <f t="shared" si="86"/>
        <v>0</v>
      </c>
      <c r="X138" s="680">
        <f t="shared" si="87"/>
        <v>0</v>
      </c>
      <c r="Y138" s="680">
        <f t="shared" si="88"/>
        <v>0</v>
      </c>
      <c r="Z138" s="680">
        <f t="shared" si="89"/>
        <v>0</v>
      </c>
      <c r="AA138" s="681">
        <f t="shared" si="90"/>
        <v>0</v>
      </c>
      <c r="AC138" s="685"/>
      <c r="AD138" s="1191" t="s">
        <v>2261</v>
      </c>
      <c r="AE138" s="1192"/>
      <c r="AF138" s="1192"/>
      <c r="AG138" s="1192"/>
      <c r="AH138" s="1192"/>
      <c r="AI138" s="1192"/>
      <c r="AJ138" s="1192"/>
      <c r="AK138" s="1192"/>
      <c r="AL138" s="1192"/>
      <c r="AM138" s="1192"/>
      <c r="AN138" s="1192"/>
      <c r="AO138" s="1193"/>
    </row>
    <row r="139" spans="1:41" ht="18" customHeight="1" thickBot="1" x14ac:dyDescent="0.3">
      <c r="A139" s="308">
        <f>IF('Table 3-A| Emission Units'!$A81=0,0,'Table 3-A| Emission Units'!A81&amp;"-"&amp;'Table 3-A| Emission Units'!B81)</f>
        <v>0</v>
      </c>
      <c r="B139" s="309">
        <f>IF('Table 3-A| Emission Units'!$A81=0,0,'Table 3-A| Emission Units'!C81)</f>
        <v>0</v>
      </c>
      <c r="C139" s="311">
        <f>IFERROR(IF(A139=0,0,IF('Table 3-A| Emission Units'!$E$12=1,0,($L$11/8760)*O39)),0)</f>
        <v>0</v>
      </c>
      <c r="D139" s="398" t="str">
        <f>IF(OR('Table 3-A| Emission Units'!$B80&gt;'Table 3-A| Emission Units'!$E$12,ISBLANK('Table 3-A| Emission Units'!$E$12)),"","MMBtu")</f>
        <v/>
      </c>
      <c r="E139" s="311">
        <f t="shared" si="79"/>
        <v>0</v>
      </c>
      <c r="F139" s="311" t="str">
        <f t="shared" si="80"/>
        <v>WebFIRE</v>
      </c>
      <c r="G139" s="399">
        <f t="shared" ref="G139:O139" si="97">IFERROR($E139*S139,0)</f>
        <v>0</v>
      </c>
      <c r="H139" s="400">
        <f t="shared" si="97"/>
        <v>0</v>
      </c>
      <c r="I139" s="400">
        <f t="shared" si="97"/>
        <v>0</v>
      </c>
      <c r="J139" s="400">
        <f t="shared" si="97"/>
        <v>0</v>
      </c>
      <c r="K139" s="400">
        <f t="shared" si="97"/>
        <v>0</v>
      </c>
      <c r="L139" s="400">
        <f t="shared" si="97"/>
        <v>0</v>
      </c>
      <c r="M139" s="400">
        <f t="shared" si="97"/>
        <v>0</v>
      </c>
      <c r="N139" s="400">
        <f t="shared" si="97"/>
        <v>0</v>
      </c>
      <c r="O139" s="401">
        <f t="shared" si="97"/>
        <v>0</v>
      </c>
      <c r="S139" s="679">
        <f t="shared" si="82"/>
        <v>0</v>
      </c>
      <c r="T139" s="680">
        <f t="shared" si="83"/>
        <v>0</v>
      </c>
      <c r="U139" s="680">
        <f t="shared" si="84"/>
        <v>0</v>
      </c>
      <c r="V139" s="680">
        <f t="shared" si="85"/>
        <v>0</v>
      </c>
      <c r="W139" s="680">
        <f t="shared" si="86"/>
        <v>0</v>
      </c>
      <c r="X139" s="680">
        <f t="shared" si="87"/>
        <v>0</v>
      </c>
      <c r="Y139" s="680">
        <f t="shared" si="88"/>
        <v>0</v>
      </c>
      <c r="Z139" s="680">
        <f t="shared" si="89"/>
        <v>0</v>
      </c>
      <c r="AA139" s="681">
        <f t="shared" si="90"/>
        <v>0</v>
      </c>
      <c r="AC139" s="686"/>
      <c r="AD139" s="559" t="s">
        <v>2246</v>
      </c>
      <c r="AE139" s="559" t="s">
        <v>2247</v>
      </c>
      <c r="AF139" s="559" t="s">
        <v>2248</v>
      </c>
      <c r="AG139" s="559" t="s">
        <v>2249</v>
      </c>
      <c r="AH139" s="559" t="s">
        <v>2250</v>
      </c>
      <c r="AI139" s="559" t="s">
        <v>2251</v>
      </c>
      <c r="AJ139" s="559" t="s">
        <v>2254</v>
      </c>
      <c r="AK139" s="559" t="s">
        <v>2255</v>
      </c>
      <c r="AL139" s="559" t="s">
        <v>2256</v>
      </c>
      <c r="AM139" s="559" t="s">
        <v>2257</v>
      </c>
      <c r="AN139" s="559" t="s">
        <v>2258</v>
      </c>
      <c r="AO139" s="687" t="s">
        <v>2259</v>
      </c>
    </row>
    <row r="140" spans="1:41" ht="18" customHeight="1" x14ac:dyDescent="0.25">
      <c r="A140" s="1188" t="str">
        <f>'Table 3-A| Emission Units'!A82:E82</f>
        <v>Grain Milling - Grain Cracking Emission Units</v>
      </c>
      <c r="B140" s="1189"/>
      <c r="C140" s="1189"/>
      <c r="D140" s="1189"/>
      <c r="E140" s="1189"/>
      <c r="F140" s="1189"/>
      <c r="G140" s="1189"/>
      <c r="H140" s="1189"/>
      <c r="I140" s="1189"/>
      <c r="J140" s="1189"/>
      <c r="K140" s="1189"/>
      <c r="L140" s="1189"/>
      <c r="M140" s="1189"/>
      <c r="N140" s="1189"/>
      <c r="O140" s="1190"/>
      <c r="S140" s="1200" t="s">
        <v>2240</v>
      </c>
      <c r="T140" s="1201"/>
      <c r="U140" s="1201"/>
      <c r="V140" s="1201"/>
      <c r="W140" s="1201"/>
      <c r="X140" s="1201"/>
      <c r="Y140" s="1201"/>
      <c r="Z140" s="1201"/>
      <c r="AA140" s="1202"/>
      <c r="AC140" s="692" t="s">
        <v>2252</v>
      </c>
      <c r="AD140" s="691">
        <f t="shared" ref="AD140:AI140" si="98">AD$136*($AG$151*($AG$153^0.91)*($J$18^1.02))</f>
        <v>0</v>
      </c>
      <c r="AE140" s="691">
        <f t="shared" si="98"/>
        <v>0</v>
      </c>
      <c r="AF140" s="691">
        <f t="shared" si="98"/>
        <v>0</v>
      </c>
      <c r="AG140" s="691">
        <f t="shared" si="98"/>
        <v>0</v>
      </c>
      <c r="AH140" s="691">
        <f t="shared" si="98"/>
        <v>0</v>
      </c>
      <c r="AI140" s="691">
        <f t="shared" si="98"/>
        <v>0</v>
      </c>
      <c r="AJ140" s="691">
        <f t="shared" ref="AJ140:AO140" si="99">AJ$136*($AG$151*($AG$153^0.91)*($J$19^1.02))</f>
        <v>0</v>
      </c>
      <c r="AK140" s="691">
        <f t="shared" si="99"/>
        <v>0</v>
      </c>
      <c r="AL140" s="691">
        <f t="shared" si="99"/>
        <v>0</v>
      </c>
      <c r="AM140" s="691">
        <f t="shared" si="99"/>
        <v>0</v>
      </c>
      <c r="AN140" s="691">
        <f t="shared" si="99"/>
        <v>0</v>
      </c>
      <c r="AO140" s="693">
        <f t="shared" si="99"/>
        <v>0</v>
      </c>
    </row>
    <row r="141" spans="1:41" ht="18" customHeight="1" thickBot="1" x14ac:dyDescent="0.3">
      <c r="A141" s="308">
        <f>IF('Table 3-A| Emission Units'!$A83=0,0,'Table 3-A| Emission Units'!A83&amp;"-"&amp;'Table 3-A| Emission Units'!B83)</f>
        <v>0</v>
      </c>
      <c r="B141" s="309">
        <f>IF('Table 3-A| Emission Units'!$A83=0,0,'Table 3-A| Emission Units'!C83)</f>
        <v>0</v>
      </c>
      <c r="C141" s="311">
        <f>IFERROR(IF(A141=0,0,IF('Table 3-A| Emission Units'!$E$17=1,($J$6/8760)*$J$43,($J$6/8760)*$J$43*L43)),0)</f>
        <v>0</v>
      </c>
      <c r="D141" s="398" t="s">
        <v>2093</v>
      </c>
      <c r="E141" s="311">
        <f t="shared" ref="E141:E144" si="100">IF(OR(ISBLANK(C141),ISTEXT(C141)),0,C141*8760)</f>
        <v>0</v>
      </c>
      <c r="F141" s="311" t="str">
        <f t="shared" ref="F141:F144" si="101">IF($A141="","","WebFIRE")</f>
        <v>WebFIRE</v>
      </c>
      <c r="G141" s="399">
        <f t="shared" ref="G141:G144" si="102">IFERROR(IF($A141=0,0,IF($D141="tons",$E141*S141,IF($D141="bushels",$E141*0.03*S141,0))),0)</f>
        <v>0</v>
      </c>
      <c r="H141" s="400">
        <f t="shared" ref="H141:H144" si="103">IFERROR(IF($A141=0,0,IF($D141="tons",$E141*T141,IF($D141="bushels",$E141*0.03*T141,0))),0)</f>
        <v>0</v>
      </c>
      <c r="I141" s="400">
        <f t="shared" ref="I141:O144" si="104">IF($A141=0,0,0)</f>
        <v>0</v>
      </c>
      <c r="J141" s="400">
        <f t="shared" si="104"/>
        <v>0</v>
      </c>
      <c r="K141" s="400">
        <f t="shared" si="104"/>
        <v>0</v>
      </c>
      <c r="L141" s="400">
        <f t="shared" si="104"/>
        <v>0</v>
      </c>
      <c r="M141" s="400">
        <f t="shared" si="104"/>
        <v>0</v>
      </c>
      <c r="N141" s="400">
        <f t="shared" si="104"/>
        <v>0</v>
      </c>
      <c r="O141" s="401">
        <f t="shared" si="104"/>
        <v>0</v>
      </c>
      <c r="S141" s="679">
        <f t="shared" ref="S141:S144" si="105">IFERROR(VLOOKUP($B141,$AC$100:$AO$116,5,FALSE),0)</f>
        <v>0</v>
      </c>
      <c r="T141" s="680">
        <f t="shared" ref="T141:T144" si="106">IFERROR(VLOOKUP($B141,$AC$100:$AO$116,6,FALSE),0)</f>
        <v>0</v>
      </c>
      <c r="U141" s="680">
        <f t="shared" ref="U141:U144" si="107">IFERROR(VLOOKUP($B141,$AC$100:$AO$116,7,FALSE),0)</f>
        <v>0</v>
      </c>
      <c r="V141" s="680">
        <f t="shared" ref="V141:V144" si="108">IFERROR(VLOOKUP($B141,$AC$100:$AO$116,8,FALSE),0)</f>
        <v>0</v>
      </c>
      <c r="W141" s="680">
        <f t="shared" ref="W141:W144" si="109">IFERROR(VLOOKUP($B141,$AC$100:$AO$116,9,FALSE),0)</f>
        <v>0</v>
      </c>
      <c r="X141" s="680">
        <f t="shared" ref="X141:X144" si="110">IFERROR(VLOOKUP($B141,$AC$100:$AO$116,10,FALSE),0)</f>
        <v>0</v>
      </c>
      <c r="Y141" s="680">
        <f t="shared" ref="Y141:Y144" si="111">IFERROR(VLOOKUP($B141,$AC$100:$AO$116,11,FALSE),0)</f>
        <v>0</v>
      </c>
      <c r="Z141" s="680">
        <f t="shared" ref="Z141:Z144" si="112">IFERROR(VLOOKUP($B141,$AC$100:$AO$116,12,FALSE),0)</f>
        <v>0</v>
      </c>
      <c r="AA141" s="681">
        <f t="shared" ref="AA141:AA144" si="113">IFERROR(VLOOKUP($B141,$AC$100:$AO$116,13,FALSE),0)</f>
        <v>0</v>
      </c>
      <c r="AC141" s="694" t="s">
        <v>2253</v>
      </c>
      <c r="AD141" s="695">
        <f t="shared" ref="AD141:AI141" si="114">AD$137*($AG$162*(($AG$164/12)^$AG$165)*(($J$30/3)^$AG$167))</f>
        <v>0</v>
      </c>
      <c r="AE141" s="695">
        <f t="shared" si="114"/>
        <v>0</v>
      </c>
      <c r="AF141" s="695">
        <f t="shared" si="114"/>
        <v>0</v>
      </c>
      <c r="AG141" s="695">
        <f t="shared" si="114"/>
        <v>0</v>
      </c>
      <c r="AH141" s="695">
        <f t="shared" si="114"/>
        <v>0</v>
      </c>
      <c r="AI141" s="695">
        <f t="shared" si="114"/>
        <v>0</v>
      </c>
      <c r="AJ141" s="695">
        <f t="shared" ref="AJ141:AO141" si="115">AJ$137*($AG$162*(($AG$164/12)^$AG$165)*(($J$31/3)^$AG$167))</f>
        <v>0</v>
      </c>
      <c r="AK141" s="695">
        <f t="shared" si="115"/>
        <v>0</v>
      </c>
      <c r="AL141" s="695">
        <f t="shared" si="115"/>
        <v>0</v>
      </c>
      <c r="AM141" s="695">
        <f t="shared" si="115"/>
        <v>0</v>
      </c>
      <c r="AN141" s="695">
        <f t="shared" si="115"/>
        <v>0</v>
      </c>
      <c r="AO141" s="696">
        <f t="shared" si="115"/>
        <v>0</v>
      </c>
    </row>
    <row r="142" spans="1:41" ht="18" customHeight="1" x14ac:dyDescent="0.25">
      <c r="A142" s="308">
        <f>IF('Table 3-A| Emission Units'!$A84=0,0,'Table 3-A| Emission Units'!A84&amp;"-"&amp;'Table 3-A| Emission Units'!B84)</f>
        <v>0</v>
      </c>
      <c r="B142" s="309">
        <f>IF('Table 3-A| Emission Units'!$A84=0,0,'Table 3-A| Emission Units'!C84)</f>
        <v>0</v>
      </c>
      <c r="C142" s="311">
        <f>IFERROR(IF(A142=0,0,IF('Table 3-A| Emission Units'!$E$17=1,0,($J$6/8760)*$J$43*M43)),0)</f>
        <v>0</v>
      </c>
      <c r="D142" s="398" t="s">
        <v>2093</v>
      </c>
      <c r="E142" s="311">
        <f t="shared" si="100"/>
        <v>0</v>
      </c>
      <c r="F142" s="311" t="str">
        <f t="shared" si="101"/>
        <v>WebFIRE</v>
      </c>
      <c r="G142" s="399">
        <f t="shared" si="102"/>
        <v>0</v>
      </c>
      <c r="H142" s="400">
        <f t="shared" si="103"/>
        <v>0</v>
      </c>
      <c r="I142" s="400">
        <f t="shared" si="104"/>
        <v>0</v>
      </c>
      <c r="J142" s="400">
        <f t="shared" si="104"/>
        <v>0</v>
      </c>
      <c r="K142" s="400">
        <f t="shared" si="104"/>
        <v>0</v>
      </c>
      <c r="L142" s="400">
        <f t="shared" si="104"/>
        <v>0</v>
      </c>
      <c r="M142" s="400">
        <f t="shared" si="104"/>
        <v>0</v>
      </c>
      <c r="N142" s="400">
        <f t="shared" si="104"/>
        <v>0</v>
      </c>
      <c r="O142" s="401">
        <f t="shared" si="104"/>
        <v>0</v>
      </c>
      <c r="S142" s="679">
        <f t="shared" si="105"/>
        <v>0</v>
      </c>
      <c r="T142" s="680">
        <f t="shared" si="106"/>
        <v>0</v>
      </c>
      <c r="U142" s="680">
        <f t="shared" si="107"/>
        <v>0</v>
      </c>
      <c r="V142" s="680">
        <f t="shared" si="108"/>
        <v>0</v>
      </c>
      <c r="W142" s="680">
        <f t="shared" si="109"/>
        <v>0</v>
      </c>
      <c r="X142" s="680">
        <f t="shared" si="110"/>
        <v>0</v>
      </c>
      <c r="Y142" s="680">
        <f t="shared" si="111"/>
        <v>0</v>
      </c>
      <c r="Z142" s="680">
        <f t="shared" si="112"/>
        <v>0</v>
      </c>
      <c r="AA142" s="681">
        <f t="shared" si="113"/>
        <v>0</v>
      </c>
      <c r="AC142" s="685"/>
      <c r="AD142" s="1191" t="s">
        <v>2263</v>
      </c>
      <c r="AE142" s="1192"/>
      <c r="AF142" s="1192"/>
      <c r="AG142" s="1192"/>
      <c r="AH142" s="1192"/>
      <c r="AI142" s="1192"/>
      <c r="AJ142" s="1192"/>
      <c r="AK142" s="1192"/>
      <c r="AL142" s="1192"/>
      <c r="AM142" s="1192"/>
      <c r="AN142" s="1192"/>
      <c r="AO142" s="1193"/>
    </row>
    <row r="143" spans="1:41" ht="18" customHeight="1" x14ac:dyDescent="0.25">
      <c r="A143" s="308">
        <f>IF('Table 3-A| Emission Units'!$A85=0,0,'Table 3-A| Emission Units'!A85&amp;"-"&amp;'Table 3-A| Emission Units'!B85)</f>
        <v>0</v>
      </c>
      <c r="B143" s="309">
        <f>IF('Table 3-A| Emission Units'!$A85=0,0,'Table 3-A| Emission Units'!C85)</f>
        <v>0</v>
      </c>
      <c r="C143" s="311">
        <f>IFERROR(IF(A143=0,0,IF('Table 3-A| Emission Units'!$E$17=1,0,($J$6/8760)*$J$43*N43)),0)</f>
        <v>0</v>
      </c>
      <c r="D143" s="398" t="s">
        <v>2093</v>
      </c>
      <c r="E143" s="311">
        <f t="shared" si="100"/>
        <v>0</v>
      </c>
      <c r="F143" s="311" t="str">
        <f t="shared" si="101"/>
        <v>WebFIRE</v>
      </c>
      <c r="G143" s="399">
        <f t="shared" si="102"/>
        <v>0</v>
      </c>
      <c r="H143" s="400">
        <f t="shared" si="103"/>
        <v>0</v>
      </c>
      <c r="I143" s="400">
        <f t="shared" si="104"/>
        <v>0</v>
      </c>
      <c r="J143" s="400">
        <f t="shared" si="104"/>
        <v>0</v>
      </c>
      <c r="K143" s="400">
        <f t="shared" si="104"/>
        <v>0</v>
      </c>
      <c r="L143" s="400">
        <f t="shared" si="104"/>
        <v>0</v>
      </c>
      <c r="M143" s="400">
        <f t="shared" si="104"/>
        <v>0</v>
      </c>
      <c r="N143" s="400">
        <f t="shared" si="104"/>
        <v>0</v>
      </c>
      <c r="O143" s="401">
        <f t="shared" si="104"/>
        <v>0</v>
      </c>
      <c r="S143" s="679">
        <f t="shared" si="105"/>
        <v>0</v>
      </c>
      <c r="T143" s="680">
        <f t="shared" si="106"/>
        <v>0</v>
      </c>
      <c r="U143" s="680">
        <f t="shared" si="107"/>
        <v>0</v>
      </c>
      <c r="V143" s="680">
        <f t="shared" si="108"/>
        <v>0</v>
      </c>
      <c r="W143" s="680">
        <f t="shared" si="109"/>
        <v>0</v>
      </c>
      <c r="X143" s="680">
        <f t="shared" si="110"/>
        <v>0</v>
      </c>
      <c r="Y143" s="680">
        <f t="shared" si="111"/>
        <v>0</v>
      </c>
      <c r="Z143" s="680">
        <f t="shared" si="112"/>
        <v>0</v>
      </c>
      <c r="AA143" s="681">
        <f t="shared" si="113"/>
        <v>0</v>
      </c>
      <c r="AC143" s="686"/>
      <c r="AD143" s="559" t="s">
        <v>2246</v>
      </c>
      <c r="AE143" s="559" t="s">
        <v>2247</v>
      </c>
      <c r="AF143" s="559" t="s">
        <v>2248</v>
      </c>
      <c r="AG143" s="559" t="s">
        <v>2249</v>
      </c>
      <c r="AH143" s="559" t="s">
        <v>2250</v>
      </c>
      <c r="AI143" s="559" t="s">
        <v>2251</v>
      </c>
      <c r="AJ143" s="559" t="s">
        <v>2254</v>
      </c>
      <c r="AK143" s="559" t="s">
        <v>2255</v>
      </c>
      <c r="AL143" s="559" t="s">
        <v>2256</v>
      </c>
      <c r="AM143" s="559" t="s">
        <v>2257</v>
      </c>
      <c r="AN143" s="559" t="s">
        <v>2258</v>
      </c>
      <c r="AO143" s="687" t="s">
        <v>2259</v>
      </c>
    </row>
    <row r="144" spans="1:41" ht="18" customHeight="1" thickBot="1" x14ac:dyDescent="0.3">
      <c r="A144" s="308">
        <f>IF('Table 3-A| Emission Units'!$A86=0,0,'Table 3-A| Emission Units'!A86&amp;"-"&amp;'Table 3-A| Emission Units'!B86)</f>
        <v>0</v>
      </c>
      <c r="B144" s="309">
        <f>IF('Table 3-A| Emission Units'!$A86=0,0,'Table 3-A| Emission Units'!C86)</f>
        <v>0</v>
      </c>
      <c r="C144" s="311">
        <f>IFERROR(IF(A144=0,0,IF('Table 3-A| Emission Units'!$E$17=1,0,($J$6/8760)*$J$43*O43)),0)</f>
        <v>0</v>
      </c>
      <c r="D144" s="398" t="s">
        <v>2093</v>
      </c>
      <c r="E144" s="311">
        <f t="shared" si="100"/>
        <v>0</v>
      </c>
      <c r="F144" s="311" t="str">
        <f t="shared" si="101"/>
        <v>WebFIRE</v>
      </c>
      <c r="G144" s="399">
        <f t="shared" si="102"/>
        <v>0</v>
      </c>
      <c r="H144" s="400">
        <f t="shared" si="103"/>
        <v>0</v>
      </c>
      <c r="I144" s="400">
        <f t="shared" si="104"/>
        <v>0</v>
      </c>
      <c r="J144" s="400">
        <f t="shared" si="104"/>
        <v>0</v>
      </c>
      <c r="K144" s="400">
        <f t="shared" si="104"/>
        <v>0</v>
      </c>
      <c r="L144" s="400">
        <f t="shared" si="104"/>
        <v>0</v>
      </c>
      <c r="M144" s="400">
        <f t="shared" si="104"/>
        <v>0</v>
      </c>
      <c r="N144" s="400">
        <f t="shared" si="104"/>
        <v>0</v>
      </c>
      <c r="O144" s="401">
        <f t="shared" si="104"/>
        <v>0</v>
      </c>
      <c r="S144" s="679">
        <f t="shared" si="105"/>
        <v>0</v>
      </c>
      <c r="T144" s="680">
        <f t="shared" si="106"/>
        <v>0</v>
      </c>
      <c r="U144" s="680">
        <f t="shared" si="107"/>
        <v>0</v>
      </c>
      <c r="V144" s="680">
        <f t="shared" si="108"/>
        <v>0</v>
      </c>
      <c r="W144" s="680">
        <f t="shared" si="109"/>
        <v>0</v>
      </c>
      <c r="X144" s="680">
        <f t="shared" si="110"/>
        <v>0</v>
      </c>
      <c r="Y144" s="680">
        <f t="shared" si="111"/>
        <v>0</v>
      </c>
      <c r="Z144" s="680">
        <f t="shared" si="112"/>
        <v>0</v>
      </c>
      <c r="AA144" s="681">
        <f t="shared" si="113"/>
        <v>0</v>
      </c>
      <c r="AC144" s="692" t="s">
        <v>2252</v>
      </c>
      <c r="AD144" s="691">
        <f t="shared" ref="AD144:AI144" si="116">AD$136*($AG$152*($AG$153^0.91)*($J$18^1.02))</f>
        <v>0</v>
      </c>
      <c r="AE144" s="691">
        <f t="shared" si="116"/>
        <v>0</v>
      </c>
      <c r="AF144" s="691">
        <f t="shared" si="116"/>
        <v>0</v>
      </c>
      <c r="AG144" s="691">
        <f t="shared" si="116"/>
        <v>0</v>
      </c>
      <c r="AH144" s="691">
        <f t="shared" si="116"/>
        <v>0</v>
      </c>
      <c r="AI144" s="691">
        <f t="shared" si="116"/>
        <v>0</v>
      </c>
      <c r="AJ144" s="691">
        <f t="shared" ref="AJ144:AO144" si="117">AJ$136*($AG$152*($AG$153^0.91)*($J$19^1.02))</f>
        <v>0</v>
      </c>
      <c r="AK144" s="691">
        <f t="shared" si="117"/>
        <v>0</v>
      </c>
      <c r="AL144" s="691">
        <f t="shared" si="117"/>
        <v>0</v>
      </c>
      <c r="AM144" s="691">
        <f t="shared" si="117"/>
        <v>0</v>
      </c>
      <c r="AN144" s="691">
        <f t="shared" si="117"/>
        <v>0</v>
      </c>
      <c r="AO144" s="693">
        <f t="shared" si="117"/>
        <v>0</v>
      </c>
    </row>
    <row r="145" spans="1:41" ht="18" customHeight="1" thickBot="1" x14ac:dyDescent="0.3">
      <c r="A145" s="1188" t="str">
        <f>'Table 3-A| Emission Units'!A87:E87</f>
        <v>Grain Milling - Grain Grinding Emission Units</v>
      </c>
      <c r="B145" s="1189"/>
      <c r="C145" s="1189"/>
      <c r="D145" s="1189"/>
      <c r="E145" s="1189"/>
      <c r="F145" s="1189"/>
      <c r="G145" s="1189"/>
      <c r="H145" s="1189"/>
      <c r="I145" s="1189"/>
      <c r="J145" s="1189"/>
      <c r="K145" s="1189"/>
      <c r="L145" s="1189"/>
      <c r="M145" s="1189"/>
      <c r="N145" s="1189"/>
      <c r="O145" s="1190"/>
      <c r="S145" s="1200" t="s">
        <v>2239</v>
      </c>
      <c r="T145" s="1201"/>
      <c r="U145" s="1201"/>
      <c r="V145" s="1201"/>
      <c r="W145" s="1201"/>
      <c r="X145" s="1201"/>
      <c r="Y145" s="1201"/>
      <c r="Z145" s="1201"/>
      <c r="AA145" s="1202"/>
      <c r="AC145" s="694" t="s">
        <v>2253</v>
      </c>
      <c r="AD145" s="695">
        <f t="shared" ref="AD145:AI145" si="118">AD$137*($AG$163*(($AG$164/12)^$AG$165)*(($J$30/3)^$AG$167))</f>
        <v>0</v>
      </c>
      <c r="AE145" s="695">
        <f t="shared" si="118"/>
        <v>0</v>
      </c>
      <c r="AF145" s="695">
        <f t="shared" si="118"/>
        <v>0</v>
      </c>
      <c r="AG145" s="695">
        <f t="shared" si="118"/>
        <v>0</v>
      </c>
      <c r="AH145" s="695">
        <f t="shared" si="118"/>
        <v>0</v>
      </c>
      <c r="AI145" s="695">
        <f t="shared" si="118"/>
        <v>0</v>
      </c>
      <c r="AJ145" s="695">
        <f t="shared" ref="AJ145:AO145" si="119">AJ$137*($AG$163*(($AG$164/12)^$AG$165)*(($J$31/3)^$AG$167))</f>
        <v>0</v>
      </c>
      <c r="AK145" s="695">
        <f t="shared" si="119"/>
        <v>0</v>
      </c>
      <c r="AL145" s="695">
        <f t="shared" si="119"/>
        <v>0</v>
      </c>
      <c r="AM145" s="695">
        <f t="shared" si="119"/>
        <v>0</v>
      </c>
      <c r="AN145" s="695">
        <f t="shared" si="119"/>
        <v>0</v>
      </c>
      <c r="AO145" s="696">
        <f t="shared" si="119"/>
        <v>0</v>
      </c>
    </row>
    <row r="146" spans="1:41" ht="18" customHeight="1" x14ac:dyDescent="0.25">
      <c r="A146" s="308">
        <f>IF('Table 3-A| Emission Units'!$A88=0,0,'Table 3-A| Emission Units'!A88&amp;"-"&amp;'Table 3-A| Emission Units'!B88)</f>
        <v>0</v>
      </c>
      <c r="B146" s="309">
        <f>IF('Table 3-A| Emission Units'!$A88=0,0,'Table 3-A| Emission Units'!C88)</f>
        <v>0</v>
      </c>
      <c r="C146" s="311">
        <f>IFERROR(IF(A146=0,0,IF('Table 3-A| Emission Units'!$E$18=1,($J$6/8760)*$J$47,($J$6/8760)*$J$47*L47)),0)</f>
        <v>0</v>
      </c>
      <c r="D146" s="398" t="s">
        <v>2093</v>
      </c>
      <c r="E146" s="311">
        <f t="shared" ref="E146:E149" si="120">IF(OR(ISBLANK(C146),ISTEXT(C146)),0,C146*8760)</f>
        <v>0</v>
      </c>
      <c r="F146" s="311" t="str">
        <f t="shared" ref="F146:F149" si="121">IF($A146="","","WebFIRE")</f>
        <v>WebFIRE</v>
      </c>
      <c r="G146" s="399">
        <f t="shared" ref="G146:G149" si="122">IFERROR(IF($A146=0,0,IF($D146="tons",$E146*S146,IF($D146="bushels",$E146*0.03*S146,0))),0)</f>
        <v>0</v>
      </c>
      <c r="H146" s="400">
        <f t="shared" ref="H146:H149" si="123">IFERROR(IF($A146=0,0,IF($D146="tons",$E146*T146,IF($D146="bushels",$E146*0.03*T146,0))),0)</f>
        <v>0</v>
      </c>
      <c r="I146" s="400">
        <f t="shared" ref="I146:O149" si="124">IF($A146=0,0,0)</f>
        <v>0</v>
      </c>
      <c r="J146" s="400">
        <f t="shared" si="124"/>
        <v>0</v>
      </c>
      <c r="K146" s="400">
        <f t="shared" si="124"/>
        <v>0</v>
      </c>
      <c r="L146" s="400">
        <f t="shared" si="124"/>
        <v>0</v>
      </c>
      <c r="M146" s="400">
        <f t="shared" si="124"/>
        <v>0</v>
      </c>
      <c r="N146" s="400">
        <f t="shared" si="124"/>
        <v>0</v>
      </c>
      <c r="O146" s="401">
        <f t="shared" si="124"/>
        <v>0</v>
      </c>
      <c r="S146" s="679">
        <f t="shared" ref="S146:S149" si="125">IFERROR(VLOOKUP($B146,$AC$100:$AO$116,5,FALSE),0)</f>
        <v>0</v>
      </c>
      <c r="T146" s="680">
        <f t="shared" ref="T146:T149" si="126">IFERROR(VLOOKUP($B146,$AC$100:$AO$116,6,FALSE),0)</f>
        <v>0</v>
      </c>
      <c r="U146" s="680">
        <f t="shared" ref="U146:U149" si="127">IFERROR(VLOOKUP($B146,$AC$100:$AO$116,7,FALSE),0)</f>
        <v>0</v>
      </c>
      <c r="V146" s="680">
        <f t="shared" ref="V146:V149" si="128">IFERROR(VLOOKUP($B146,$AC$100:$AO$116,8,FALSE),0)</f>
        <v>0</v>
      </c>
      <c r="W146" s="680">
        <f t="shared" ref="W146:W149" si="129">IFERROR(VLOOKUP($B146,$AC$100:$AO$116,9,FALSE),0)</f>
        <v>0</v>
      </c>
      <c r="X146" s="680">
        <f t="shared" ref="X146:X149" si="130">IFERROR(VLOOKUP($B146,$AC$100:$AO$116,10,FALSE),0)</f>
        <v>0</v>
      </c>
      <c r="Y146" s="680">
        <f t="shared" ref="Y146:Y149" si="131">IFERROR(VLOOKUP($B146,$AC$100:$AO$116,11,FALSE),0)</f>
        <v>0</v>
      </c>
      <c r="Z146" s="680">
        <f t="shared" ref="Z146:Z149" si="132">IFERROR(VLOOKUP($B146,$AC$100:$AO$116,12,FALSE),0)</f>
        <v>0</v>
      </c>
      <c r="AA146" s="681">
        <f t="shared" ref="AA146:AA149" si="133">IFERROR(VLOOKUP($B146,$AC$100:$AO$116,13,FALSE),0)</f>
        <v>0</v>
      </c>
    </row>
    <row r="147" spans="1:41" ht="18" customHeight="1" x14ac:dyDescent="0.25">
      <c r="A147" s="308">
        <f>IF('Table 3-A| Emission Units'!$A89=0,0,'Table 3-A| Emission Units'!A89&amp;"-"&amp;'Table 3-A| Emission Units'!B89)</f>
        <v>0</v>
      </c>
      <c r="B147" s="309">
        <f>IF('Table 3-A| Emission Units'!$A89=0,0,'Table 3-A| Emission Units'!C89)</f>
        <v>0</v>
      </c>
      <c r="C147" s="311">
        <f>IFERROR(IF(A147=0,0,IF('Table 3-A| Emission Units'!$E$18=1,0,($J$6/8760)*$J$47*M47)),0)</f>
        <v>0</v>
      </c>
      <c r="D147" s="398" t="s">
        <v>2093</v>
      </c>
      <c r="E147" s="311">
        <f t="shared" si="120"/>
        <v>0</v>
      </c>
      <c r="F147" s="311" t="str">
        <f t="shared" si="121"/>
        <v>WebFIRE</v>
      </c>
      <c r="G147" s="399">
        <f t="shared" si="122"/>
        <v>0</v>
      </c>
      <c r="H147" s="400">
        <f t="shared" si="123"/>
        <v>0</v>
      </c>
      <c r="I147" s="400">
        <f t="shared" si="124"/>
        <v>0</v>
      </c>
      <c r="J147" s="400">
        <f t="shared" si="124"/>
        <v>0</v>
      </c>
      <c r="K147" s="400">
        <f t="shared" si="124"/>
        <v>0</v>
      </c>
      <c r="L147" s="400">
        <f t="shared" si="124"/>
        <v>0</v>
      </c>
      <c r="M147" s="400">
        <f t="shared" si="124"/>
        <v>0</v>
      </c>
      <c r="N147" s="400">
        <f t="shared" si="124"/>
        <v>0</v>
      </c>
      <c r="O147" s="401">
        <f t="shared" si="124"/>
        <v>0</v>
      </c>
      <c r="S147" s="679">
        <f t="shared" si="125"/>
        <v>0</v>
      </c>
      <c r="T147" s="680">
        <f t="shared" si="126"/>
        <v>0</v>
      </c>
      <c r="U147" s="680">
        <f t="shared" si="127"/>
        <v>0</v>
      </c>
      <c r="V147" s="680">
        <f t="shared" si="128"/>
        <v>0</v>
      </c>
      <c r="W147" s="680">
        <f t="shared" si="129"/>
        <v>0</v>
      </c>
      <c r="X147" s="680">
        <f t="shared" si="130"/>
        <v>0</v>
      </c>
      <c r="Y147" s="680">
        <f t="shared" si="131"/>
        <v>0</v>
      </c>
      <c r="Z147" s="680">
        <f t="shared" si="132"/>
        <v>0</v>
      </c>
      <c r="AA147" s="681">
        <f t="shared" si="133"/>
        <v>0</v>
      </c>
      <c r="AC147" s="64" t="s">
        <v>2268</v>
      </c>
      <c r="AD147" s="64"/>
      <c r="AE147" s="64"/>
      <c r="AF147" s="64"/>
      <c r="AG147" s="64"/>
      <c r="AH147" s="124"/>
      <c r="AI147" s="124"/>
      <c r="AJ147" s="124"/>
    </row>
    <row r="148" spans="1:41" ht="18" customHeight="1" x14ac:dyDescent="0.25">
      <c r="A148" s="308">
        <f>IF('Table 3-A| Emission Units'!$A90=0,0,'Table 3-A| Emission Units'!A90&amp;"-"&amp;'Table 3-A| Emission Units'!B90)</f>
        <v>0</v>
      </c>
      <c r="B148" s="309">
        <f>IF('Table 3-A| Emission Units'!$A90=0,0,'Table 3-A| Emission Units'!C90)</f>
        <v>0</v>
      </c>
      <c r="C148" s="311">
        <f>IFERROR(IF(A148=0,0,IF('Table 3-A| Emission Units'!$E$18=1,0,($J$6/8760)*$J$47*N47)),0)</f>
        <v>0</v>
      </c>
      <c r="D148" s="398" t="s">
        <v>2093</v>
      </c>
      <c r="E148" s="311">
        <f t="shared" si="120"/>
        <v>0</v>
      </c>
      <c r="F148" s="311" t="str">
        <f t="shared" si="121"/>
        <v>WebFIRE</v>
      </c>
      <c r="G148" s="399">
        <f t="shared" si="122"/>
        <v>0</v>
      </c>
      <c r="H148" s="400">
        <f t="shared" si="123"/>
        <v>0</v>
      </c>
      <c r="I148" s="400">
        <f t="shared" si="124"/>
        <v>0</v>
      </c>
      <c r="J148" s="400">
        <f t="shared" si="124"/>
        <v>0</v>
      </c>
      <c r="K148" s="400">
        <f t="shared" si="124"/>
        <v>0</v>
      </c>
      <c r="L148" s="400">
        <f t="shared" si="124"/>
        <v>0</v>
      </c>
      <c r="M148" s="400">
        <f t="shared" si="124"/>
        <v>0</v>
      </c>
      <c r="N148" s="400">
        <f t="shared" si="124"/>
        <v>0</v>
      </c>
      <c r="O148" s="401">
        <f t="shared" si="124"/>
        <v>0</v>
      </c>
      <c r="S148" s="679">
        <f t="shared" si="125"/>
        <v>0</v>
      </c>
      <c r="T148" s="680">
        <f t="shared" si="126"/>
        <v>0</v>
      </c>
      <c r="U148" s="680">
        <f t="shared" si="127"/>
        <v>0</v>
      </c>
      <c r="V148" s="680">
        <f t="shared" si="128"/>
        <v>0</v>
      </c>
      <c r="W148" s="680">
        <f t="shared" si="129"/>
        <v>0</v>
      </c>
      <c r="X148" s="680">
        <f t="shared" si="130"/>
        <v>0</v>
      </c>
      <c r="Y148" s="680">
        <f t="shared" si="131"/>
        <v>0</v>
      </c>
      <c r="Z148" s="680">
        <f t="shared" si="132"/>
        <v>0</v>
      </c>
      <c r="AA148" s="681">
        <f t="shared" si="133"/>
        <v>0</v>
      </c>
      <c r="AC148" s="64"/>
      <c r="AD148" s="64"/>
      <c r="AE148" s="64"/>
      <c r="AF148" s="64"/>
      <c r="AG148" s="64" t="s">
        <v>2269</v>
      </c>
      <c r="AH148" s="124"/>
      <c r="AI148" s="124"/>
      <c r="AJ148" s="124"/>
    </row>
    <row r="149" spans="1:41" ht="18" customHeight="1" thickBot="1" x14ac:dyDescent="0.3">
      <c r="A149" s="308">
        <f>IF('Table 3-A| Emission Units'!$A91=0,0,'Table 3-A| Emission Units'!A91&amp;"-"&amp;'Table 3-A| Emission Units'!B91)</f>
        <v>0</v>
      </c>
      <c r="B149" s="309">
        <f>IF('Table 3-A| Emission Units'!$A91=0,0,'Table 3-A| Emission Units'!C91)</f>
        <v>0</v>
      </c>
      <c r="C149" s="311">
        <f>IFERROR(IF(A149=0,0,IF('Table 3-A| Emission Units'!$E$18=1,0,($J$6/8760)*$J$47*O47)),0)</f>
        <v>0</v>
      </c>
      <c r="D149" s="398" t="s">
        <v>2093</v>
      </c>
      <c r="E149" s="311">
        <f t="shared" si="120"/>
        <v>0</v>
      </c>
      <c r="F149" s="311" t="str">
        <f t="shared" si="121"/>
        <v>WebFIRE</v>
      </c>
      <c r="G149" s="399">
        <f t="shared" si="122"/>
        <v>0</v>
      </c>
      <c r="H149" s="400">
        <f t="shared" si="123"/>
        <v>0</v>
      </c>
      <c r="I149" s="400">
        <f t="shared" si="124"/>
        <v>0</v>
      </c>
      <c r="J149" s="400">
        <f t="shared" si="124"/>
        <v>0</v>
      </c>
      <c r="K149" s="400">
        <f t="shared" si="124"/>
        <v>0</v>
      </c>
      <c r="L149" s="400">
        <f t="shared" si="124"/>
        <v>0</v>
      </c>
      <c r="M149" s="400">
        <f t="shared" si="124"/>
        <v>0</v>
      </c>
      <c r="N149" s="400">
        <f t="shared" si="124"/>
        <v>0</v>
      </c>
      <c r="O149" s="401">
        <f t="shared" si="124"/>
        <v>0</v>
      </c>
      <c r="S149" s="679">
        <f t="shared" si="125"/>
        <v>0</v>
      </c>
      <c r="T149" s="680">
        <f t="shared" si="126"/>
        <v>0</v>
      </c>
      <c r="U149" s="680">
        <f t="shared" si="127"/>
        <v>0</v>
      </c>
      <c r="V149" s="680">
        <f t="shared" si="128"/>
        <v>0</v>
      </c>
      <c r="W149" s="680">
        <f t="shared" si="129"/>
        <v>0</v>
      </c>
      <c r="X149" s="680">
        <f t="shared" si="130"/>
        <v>0</v>
      </c>
      <c r="Y149" s="680">
        <f t="shared" si="131"/>
        <v>0</v>
      </c>
      <c r="Z149" s="680">
        <f t="shared" si="132"/>
        <v>0</v>
      </c>
      <c r="AA149" s="681">
        <f t="shared" si="133"/>
        <v>0</v>
      </c>
      <c r="AC149" s="652" t="s">
        <v>2270</v>
      </c>
      <c r="AD149" s="653"/>
      <c r="AE149" s="653"/>
      <c r="AF149" s="653"/>
      <c r="AG149" s="653"/>
      <c r="AH149" s="654"/>
      <c r="AI149" s="654"/>
      <c r="AJ149" s="654"/>
    </row>
    <row r="150" spans="1:41" ht="18" customHeight="1" x14ac:dyDescent="0.25">
      <c r="A150" s="1188" t="str">
        <f>'Table 3-A| Emission Units'!A92:E92</f>
        <v>Grain Milling - Hammermilling Emission Units</v>
      </c>
      <c r="B150" s="1189"/>
      <c r="C150" s="1189"/>
      <c r="D150" s="1189"/>
      <c r="E150" s="1189"/>
      <c r="F150" s="1189"/>
      <c r="G150" s="1189"/>
      <c r="H150" s="1189"/>
      <c r="I150" s="1189"/>
      <c r="J150" s="1189"/>
      <c r="K150" s="1189"/>
      <c r="L150" s="1189"/>
      <c r="M150" s="1189"/>
      <c r="N150" s="1189"/>
      <c r="O150" s="1190"/>
      <c r="S150" s="1200" t="s">
        <v>2238</v>
      </c>
      <c r="T150" s="1201"/>
      <c r="U150" s="1201"/>
      <c r="V150" s="1201"/>
      <c r="W150" s="1201"/>
      <c r="X150" s="1201"/>
      <c r="Y150" s="1201"/>
      <c r="Z150" s="1201"/>
      <c r="AA150" s="1202"/>
      <c r="AC150" s="1225" t="s">
        <v>2271</v>
      </c>
      <c r="AD150" s="1225"/>
      <c r="AE150" s="1225"/>
      <c r="AF150" s="64"/>
      <c r="AG150" s="124"/>
      <c r="AH150" s="124"/>
      <c r="AI150" s="124"/>
      <c r="AJ150" s="124"/>
    </row>
    <row r="151" spans="1:41" ht="18" customHeight="1" x14ac:dyDescent="0.25">
      <c r="A151" s="308">
        <f>IF('Table 3-A| Emission Units'!$A93=0,0,'Table 3-A| Emission Units'!A93&amp;"-"&amp;'Table 3-A| Emission Units'!B93)</f>
        <v>0</v>
      </c>
      <c r="B151" s="309">
        <f>IF('Table 3-A| Emission Units'!$A93=0,0,'Table 3-A| Emission Units'!C93)</f>
        <v>0</v>
      </c>
      <c r="C151" s="311">
        <f>IFERROR(IF(A151=0,0,IF('Table 3-A| Emission Units'!$E$19=1,($J$6/8760)*$J$51,($J$6/8760)*$J$51*L51)),0)</f>
        <v>0</v>
      </c>
      <c r="D151" s="398" t="s">
        <v>2093</v>
      </c>
      <c r="E151" s="311">
        <f t="shared" ref="E151:E154" si="134">IF(OR(ISBLANK(C151),ISTEXT(C151)),0,C151*8760)</f>
        <v>0</v>
      </c>
      <c r="F151" s="311" t="str">
        <f t="shared" ref="F151:F154" si="135">IF($A151="","","WebFIRE")</f>
        <v>WebFIRE</v>
      </c>
      <c r="G151" s="399">
        <f t="shared" ref="G151:G154" si="136">IFERROR(IF($A151=0,0,IF($D151="tons",$E151*S151,IF($D151="bushels",$E151*0.03*S151,0))),0)</f>
        <v>0</v>
      </c>
      <c r="H151" s="400">
        <f t="shared" ref="H151:H154" si="137">IFERROR(IF($A151=0,0,IF($D151="tons",$E151*T151,IF($D151="bushels",$E151*0.03*T151,0))),0)</f>
        <v>0</v>
      </c>
      <c r="I151" s="400">
        <f t="shared" ref="I151:O154" si="138">IF($A151=0,0,0)</f>
        <v>0</v>
      </c>
      <c r="J151" s="400">
        <f t="shared" si="138"/>
        <v>0</v>
      </c>
      <c r="K151" s="400">
        <f t="shared" si="138"/>
        <v>0</v>
      </c>
      <c r="L151" s="400">
        <f t="shared" si="138"/>
        <v>0</v>
      </c>
      <c r="M151" s="400">
        <f t="shared" si="138"/>
        <v>0</v>
      </c>
      <c r="N151" s="400">
        <f t="shared" si="138"/>
        <v>0</v>
      </c>
      <c r="O151" s="401">
        <f t="shared" si="138"/>
        <v>0</v>
      </c>
      <c r="S151" s="679">
        <f t="shared" ref="S151:S154" si="139">IFERROR(VLOOKUP($B151,$AC$100:$AO$116,5,FALSE),0)</f>
        <v>0</v>
      </c>
      <c r="T151" s="680">
        <f t="shared" ref="T151:T154" si="140">IFERROR(VLOOKUP($B151,$AC$100:$AO$116,6,FALSE),0)</f>
        <v>0</v>
      </c>
      <c r="U151" s="680">
        <f t="shared" ref="U151:U154" si="141">IFERROR(VLOOKUP($B151,$AC$100:$AO$116,7,FALSE),0)</f>
        <v>0</v>
      </c>
      <c r="V151" s="680">
        <f t="shared" ref="V151:V154" si="142">IFERROR(VLOOKUP($B151,$AC$100:$AO$116,8,FALSE),0)</f>
        <v>0</v>
      </c>
      <c r="W151" s="680">
        <f t="shared" ref="W151:W154" si="143">IFERROR(VLOOKUP($B151,$AC$100:$AO$116,9,FALSE),0)</f>
        <v>0</v>
      </c>
      <c r="X151" s="680">
        <f t="shared" ref="X151:X154" si="144">IFERROR(VLOOKUP($B151,$AC$100:$AO$116,10,FALSE),0)</f>
        <v>0</v>
      </c>
      <c r="Y151" s="680">
        <f t="shared" ref="Y151:Y154" si="145">IFERROR(VLOOKUP($B151,$AC$100:$AO$116,11,FALSE),0)</f>
        <v>0</v>
      </c>
      <c r="Z151" s="680">
        <f t="shared" ref="Z151:Z154" si="146">IFERROR(VLOOKUP($B151,$AC$100:$AO$116,12,FALSE),0)</f>
        <v>0</v>
      </c>
      <c r="AA151" s="681">
        <f t="shared" ref="AA151:AA154" si="147">IFERROR(VLOOKUP($B151,$AC$100:$AO$116,13,FALSE),0)</f>
        <v>0</v>
      </c>
      <c r="AC151" s="1215" t="s">
        <v>2272</v>
      </c>
      <c r="AD151" s="1215"/>
      <c r="AE151" s="1215"/>
      <c r="AF151" s="66" t="s">
        <v>2273</v>
      </c>
      <c r="AG151" s="655">
        <v>2.2000000000000001E-3</v>
      </c>
      <c r="AH151" s="656" t="s">
        <v>2274</v>
      </c>
      <c r="AI151" s="124"/>
      <c r="AJ151" s="124"/>
    </row>
    <row r="152" spans="1:41" ht="18" customHeight="1" x14ac:dyDescent="0.25">
      <c r="A152" s="308">
        <f>IF('Table 3-A| Emission Units'!$A94=0,0,'Table 3-A| Emission Units'!A94&amp;"-"&amp;'Table 3-A| Emission Units'!B94)</f>
        <v>0</v>
      </c>
      <c r="B152" s="309">
        <f>IF('Table 3-A| Emission Units'!$A94=0,0,'Table 3-A| Emission Units'!C94)</f>
        <v>0</v>
      </c>
      <c r="C152" s="311">
        <f>IFERROR(IF(A152=0,0,IF('Table 3-A| Emission Units'!$E$19=1,0,($J$6/8760)*$J$51*M51)),0)</f>
        <v>0</v>
      </c>
      <c r="D152" s="398" t="s">
        <v>2093</v>
      </c>
      <c r="E152" s="311">
        <f t="shared" si="134"/>
        <v>0</v>
      </c>
      <c r="F152" s="311" t="str">
        <f t="shared" si="135"/>
        <v>WebFIRE</v>
      </c>
      <c r="G152" s="399">
        <f t="shared" si="136"/>
        <v>0</v>
      </c>
      <c r="H152" s="400">
        <f t="shared" si="137"/>
        <v>0</v>
      </c>
      <c r="I152" s="400">
        <f t="shared" si="138"/>
        <v>0</v>
      </c>
      <c r="J152" s="400">
        <f t="shared" si="138"/>
        <v>0</v>
      </c>
      <c r="K152" s="400">
        <f t="shared" si="138"/>
        <v>0</v>
      </c>
      <c r="L152" s="400">
        <f t="shared" si="138"/>
        <v>0</v>
      </c>
      <c r="M152" s="400">
        <f t="shared" si="138"/>
        <v>0</v>
      </c>
      <c r="N152" s="400">
        <f t="shared" si="138"/>
        <v>0</v>
      </c>
      <c r="O152" s="401">
        <f t="shared" si="138"/>
        <v>0</v>
      </c>
      <c r="S152" s="679">
        <f t="shared" si="139"/>
        <v>0</v>
      </c>
      <c r="T152" s="680">
        <f t="shared" si="140"/>
        <v>0</v>
      </c>
      <c r="U152" s="680">
        <f t="shared" si="141"/>
        <v>0</v>
      </c>
      <c r="V152" s="680">
        <f t="shared" si="142"/>
        <v>0</v>
      </c>
      <c r="W152" s="680">
        <f t="shared" si="143"/>
        <v>0</v>
      </c>
      <c r="X152" s="680">
        <f t="shared" si="144"/>
        <v>0</v>
      </c>
      <c r="Y152" s="680">
        <f t="shared" si="145"/>
        <v>0</v>
      </c>
      <c r="Z152" s="680">
        <f t="shared" si="146"/>
        <v>0</v>
      </c>
      <c r="AA152" s="681">
        <f t="shared" si="147"/>
        <v>0</v>
      </c>
      <c r="AG152" s="655">
        <v>5.4000000000000001E-4</v>
      </c>
      <c r="AH152" s="656" t="s">
        <v>2275</v>
      </c>
      <c r="AI152" s="124"/>
      <c r="AJ152" s="124"/>
    </row>
    <row r="153" spans="1:41" ht="18" customHeight="1" x14ac:dyDescent="0.25">
      <c r="A153" s="308">
        <f>IF('Table 3-A| Emission Units'!$A95=0,0,'Table 3-A| Emission Units'!A95&amp;"-"&amp;'Table 3-A| Emission Units'!B95)</f>
        <v>0</v>
      </c>
      <c r="B153" s="309">
        <f>IF('Table 3-A| Emission Units'!$A95=0,0,'Table 3-A| Emission Units'!C95)</f>
        <v>0</v>
      </c>
      <c r="C153" s="311">
        <f>IFERROR(IF(A153=0,0,IF('Table 3-A| Emission Units'!$E$19=1,0,($J$6/8760)*$J$51*N51)),0)</f>
        <v>0</v>
      </c>
      <c r="D153" s="398" t="s">
        <v>2093</v>
      </c>
      <c r="E153" s="311">
        <f t="shared" si="134"/>
        <v>0</v>
      </c>
      <c r="F153" s="311" t="str">
        <f t="shared" si="135"/>
        <v>WebFIRE</v>
      </c>
      <c r="G153" s="399">
        <f t="shared" si="136"/>
        <v>0</v>
      </c>
      <c r="H153" s="400">
        <f t="shared" si="137"/>
        <v>0</v>
      </c>
      <c r="I153" s="400">
        <f t="shared" si="138"/>
        <v>0</v>
      </c>
      <c r="J153" s="400">
        <f t="shared" si="138"/>
        <v>0</v>
      </c>
      <c r="K153" s="400">
        <f t="shared" si="138"/>
        <v>0</v>
      </c>
      <c r="L153" s="400">
        <f t="shared" si="138"/>
        <v>0</v>
      </c>
      <c r="M153" s="400">
        <f t="shared" si="138"/>
        <v>0</v>
      </c>
      <c r="N153" s="400">
        <f t="shared" si="138"/>
        <v>0</v>
      </c>
      <c r="O153" s="401">
        <f t="shared" si="138"/>
        <v>0</v>
      </c>
      <c r="S153" s="679">
        <f t="shared" si="139"/>
        <v>0</v>
      </c>
      <c r="T153" s="680">
        <f t="shared" si="140"/>
        <v>0</v>
      </c>
      <c r="U153" s="680">
        <f t="shared" si="141"/>
        <v>0</v>
      </c>
      <c r="V153" s="680">
        <f t="shared" si="142"/>
        <v>0</v>
      </c>
      <c r="W153" s="680">
        <f t="shared" si="143"/>
        <v>0</v>
      </c>
      <c r="X153" s="680">
        <f t="shared" si="144"/>
        <v>0</v>
      </c>
      <c r="Y153" s="680">
        <f t="shared" si="145"/>
        <v>0</v>
      </c>
      <c r="Z153" s="680">
        <f t="shared" si="146"/>
        <v>0</v>
      </c>
      <c r="AA153" s="681">
        <f t="shared" si="147"/>
        <v>0</v>
      </c>
      <c r="AC153" s="1214" t="s">
        <v>2276</v>
      </c>
      <c r="AD153" s="1214"/>
      <c r="AE153" s="1214"/>
      <c r="AF153" s="66" t="s">
        <v>2273</v>
      </c>
      <c r="AG153" s="655">
        <v>12</v>
      </c>
      <c r="AH153" s="656" t="s">
        <v>2277</v>
      </c>
      <c r="AI153" s="124"/>
      <c r="AJ153" s="124"/>
    </row>
    <row r="154" spans="1:41" ht="18" customHeight="1" thickBot="1" x14ac:dyDescent="0.3">
      <c r="A154" s="308">
        <f>IF('Table 3-A| Emission Units'!$A96=0,0,'Table 3-A| Emission Units'!A96&amp;"-"&amp;'Table 3-A| Emission Units'!B96)</f>
        <v>0</v>
      </c>
      <c r="B154" s="309">
        <f>IF('Table 3-A| Emission Units'!$A96=0,0,'Table 3-A| Emission Units'!C96)</f>
        <v>0</v>
      </c>
      <c r="C154" s="311">
        <f>IFERROR(IF(A154=0,0,IF('Table 3-A| Emission Units'!$E$19=1,0,($J$6/8760)*$J$51*O51)),0)</f>
        <v>0</v>
      </c>
      <c r="D154" s="398" t="s">
        <v>2093</v>
      </c>
      <c r="E154" s="311">
        <f t="shared" si="134"/>
        <v>0</v>
      </c>
      <c r="F154" s="311" t="str">
        <f t="shared" si="135"/>
        <v>WebFIRE</v>
      </c>
      <c r="G154" s="399">
        <f t="shared" si="136"/>
        <v>0</v>
      </c>
      <c r="H154" s="400">
        <f t="shared" si="137"/>
        <v>0</v>
      </c>
      <c r="I154" s="400">
        <f t="shared" si="138"/>
        <v>0</v>
      </c>
      <c r="J154" s="400">
        <f t="shared" si="138"/>
        <v>0</v>
      </c>
      <c r="K154" s="400">
        <f t="shared" si="138"/>
        <v>0</v>
      </c>
      <c r="L154" s="400">
        <f t="shared" si="138"/>
        <v>0</v>
      </c>
      <c r="M154" s="400">
        <f t="shared" si="138"/>
        <v>0</v>
      </c>
      <c r="N154" s="400">
        <f t="shared" si="138"/>
        <v>0</v>
      </c>
      <c r="O154" s="401">
        <f t="shared" si="138"/>
        <v>0</v>
      </c>
      <c r="S154" s="679">
        <f t="shared" si="139"/>
        <v>0</v>
      </c>
      <c r="T154" s="680">
        <f t="shared" si="140"/>
        <v>0</v>
      </c>
      <c r="U154" s="680">
        <f t="shared" si="141"/>
        <v>0</v>
      </c>
      <c r="V154" s="680">
        <f t="shared" si="142"/>
        <v>0</v>
      </c>
      <c r="W154" s="680">
        <f t="shared" si="143"/>
        <v>0</v>
      </c>
      <c r="X154" s="680">
        <f t="shared" si="144"/>
        <v>0</v>
      </c>
      <c r="Y154" s="680">
        <f t="shared" si="145"/>
        <v>0</v>
      </c>
      <c r="Z154" s="680">
        <f t="shared" si="146"/>
        <v>0</v>
      </c>
      <c r="AA154" s="681">
        <f t="shared" si="147"/>
        <v>0</v>
      </c>
      <c r="AC154" s="1214" t="s">
        <v>2278</v>
      </c>
      <c r="AD154" s="1215"/>
      <c r="AE154" s="1215"/>
      <c r="AF154" s="66"/>
      <c r="AH154" s="656"/>
    </row>
    <row r="155" spans="1:41" ht="18" customHeight="1" x14ac:dyDescent="0.25">
      <c r="A155" s="1188" t="str">
        <f>'Table 3-A| Emission Units'!A97:E97</f>
        <v>Grain Milling - Grain Flaking Emission Units</v>
      </c>
      <c r="B155" s="1189"/>
      <c r="C155" s="1189"/>
      <c r="D155" s="1189"/>
      <c r="E155" s="1189"/>
      <c r="F155" s="1189"/>
      <c r="G155" s="1189"/>
      <c r="H155" s="1189"/>
      <c r="I155" s="1189"/>
      <c r="J155" s="1189"/>
      <c r="K155" s="1189"/>
      <c r="L155" s="1189"/>
      <c r="M155" s="1189"/>
      <c r="N155" s="1189"/>
      <c r="O155" s="1190"/>
      <c r="S155" s="1200" t="s">
        <v>2237</v>
      </c>
      <c r="T155" s="1201"/>
      <c r="U155" s="1201"/>
      <c r="V155" s="1201"/>
      <c r="W155" s="1201"/>
      <c r="X155" s="1201"/>
      <c r="Y155" s="1201"/>
      <c r="Z155" s="1201"/>
      <c r="AA155" s="1202"/>
    </row>
    <row r="156" spans="1:41" ht="18" customHeight="1" x14ac:dyDescent="0.25">
      <c r="A156" s="308">
        <f>IF('Table 3-A| Emission Units'!$A98=0,0,'Table 3-A| Emission Units'!A98&amp;"-"&amp;'Table 3-A| Emission Units'!B98)</f>
        <v>0</v>
      </c>
      <c r="B156" s="309">
        <f>IF('Table 3-A| Emission Units'!$A98=0,0,'Table 3-A| Emission Units'!C98)</f>
        <v>0</v>
      </c>
      <c r="C156" s="311">
        <f>IFERROR(IF(A156=0,0,IF('Table 3-A| Emission Units'!$E$20=1,($J$6/8760)*$J$55,($J$6/8760)*$J$55*L55)),0)</f>
        <v>0</v>
      </c>
      <c r="D156" s="398" t="s">
        <v>2093</v>
      </c>
      <c r="E156" s="311">
        <f t="shared" ref="E156:E159" si="148">IF(OR(ISBLANK(C156),ISTEXT(C156)),0,C156*8760)</f>
        <v>0</v>
      </c>
      <c r="F156" s="311" t="str">
        <f t="shared" ref="F156:F159" si="149">IF($A156="","","WebFIRE")</f>
        <v>WebFIRE</v>
      </c>
      <c r="G156" s="399">
        <f t="shared" ref="G156:G159" si="150">IFERROR(IF($A156=0,0,IF($D156="tons",$E156*S156,IF($D156="bushels",$E156*0.03*S156,0))),0)</f>
        <v>0</v>
      </c>
      <c r="H156" s="400">
        <f t="shared" ref="H156:H159" si="151">IFERROR(IF($A156=0,0,IF($D156="tons",$E156*T156,IF($D156="bushels",$E156*0.03*T156,0))),0)</f>
        <v>0</v>
      </c>
      <c r="I156" s="400">
        <f t="shared" ref="I156:O159" si="152">IF($A156=0,0,0)</f>
        <v>0</v>
      </c>
      <c r="J156" s="400">
        <f t="shared" si="152"/>
        <v>0</v>
      </c>
      <c r="K156" s="400">
        <f t="shared" si="152"/>
        <v>0</v>
      </c>
      <c r="L156" s="400">
        <f t="shared" si="152"/>
        <v>0</v>
      </c>
      <c r="M156" s="400">
        <f t="shared" si="152"/>
        <v>0</v>
      </c>
      <c r="N156" s="400">
        <f t="shared" si="152"/>
        <v>0</v>
      </c>
      <c r="O156" s="401">
        <f t="shared" si="152"/>
        <v>0</v>
      </c>
      <c r="S156" s="679">
        <f t="shared" ref="S156:S159" si="153">IFERROR(VLOOKUP($B156,$AC$100:$AO$116,5,FALSE),0)</f>
        <v>0</v>
      </c>
      <c r="T156" s="680">
        <f t="shared" ref="T156:T159" si="154">IFERROR(VLOOKUP($B156,$AC$100:$AO$116,6,FALSE),0)</f>
        <v>0</v>
      </c>
      <c r="U156" s="680">
        <f t="shared" ref="U156:U159" si="155">IFERROR(VLOOKUP($B156,$AC$100:$AO$116,7,FALSE),0)</f>
        <v>0</v>
      </c>
      <c r="V156" s="680">
        <f t="shared" ref="V156:V159" si="156">IFERROR(VLOOKUP($B156,$AC$100:$AO$116,8,FALSE),0)</f>
        <v>0</v>
      </c>
      <c r="W156" s="680">
        <f t="shared" ref="W156:W159" si="157">IFERROR(VLOOKUP($B156,$AC$100:$AO$116,9,FALSE),0)</f>
        <v>0</v>
      </c>
      <c r="X156" s="680">
        <f t="shared" ref="X156:X159" si="158">IFERROR(VLOOKUP($B156,$AC$100:$AO$116,10,FALSE),0)</f>
        <v>0</v>
      </c>
      <c r="Y156" s="680">
        <f t="shared" ref="Y156:Y159" si="159">IFERROR(VLOOKUP($B156,$AC$100:$AO$116,11,FALSE),0)</f>
        <v>0</v>
      </c>
      <c r="Z156" s="680">
        <f t="shared" ref="Z156:Z159" si="160">IFERROR(VLOOKUP($B156,$AC$100:$AO$116,12,FALSE),0)</f>
        <v>0</v>
      </c>
      <c r="AA156" s="681">
        <f t="shared" ref="AA156:AA159" si="161">IFERROR(VLOOKUP($B156,$AC$100:$AO$116,13,FALSE),0)</f>
        <v>0</v>
      </c>
      <c r="AC156" s="64" t="s">
        <v>2279</v>
      </c>
      <c r="AD156" s="64"/>
      <c r="AE156" s="64"/>
      <c r="AF156" s="64"/>
      <c r="AG156" s="124"/>
      <c r="AH156" s="124"/>
    </row>
    <row r="157" spans="1:41" ht="18" customHeight="1" x14ac:dyDescent="0.25">
      <c r="A157" s="308">
        <f>IF('Table 3-A| Emission Units'!$A99=0,0,'Table 3-A| Emission Units'!A99&amp;"-"&amp;'Table 3-A| Emission Units'!B99)</f>
        <v>0</v>
      </c>
      <c r="B157" s="309">
        <f>IF('Table 3-A| Emission Units'!$A99=0,0,'Table 3-A| Emission Units'!C99)</f>
        <v>0</v>
      </c>
      <c r="C157" s="311">
        <f>IFERROR(IF(A157=0,0,IF('Table 3-A| Emission Units'!$E$20=1,0,($J$6/8760)*$J$55*M55)),0)</f>
        <v>0</v>
      </c>
      <c r="D157" s="398" t="s">
        <v>2093</v>
      </c>
      <c r="E157" s="311">
        <f t="shared" si="148"/>
        <v>0</v>
      </c>
      <c r="F157" s="311" t="str">
        <f t="shared" si="149"/>
        <v>WebFIRE</v>
      </c>
      <c r="G157" s="399">
        <f t="shared" si="150"/>
        <v>0</v>
      </c>
      <c r="H157" s="400">
        <f t="shared" si="151"/>
        <v>0</v>
      </c>
      <c r="I157" s="400">
        <f t="shared" si="152"/>
        <v>0</v>
      </c>
      <c r="J157" s="400">
        <f t="shared" si="152"/>
        <v>0</v>
      </c>
      <c r="K157" s="400">
        <f t="shared" si="152"/>
        <v>0</v>
      </c>
      <c r="L157" s="400">
        <f t="shared" si="152"/>
        <v>0</v>
      </c>
      <c r="M157" s="400">
        <f t="shared" si="152"/>
        <v>0</v>
      </c>
      <c r="N157" s="400">
        <f t="shared" si="152"/>
        <v>0</v>
      </c>
      <c r="O157" s="401">
        <f t="shared" si="152"/>
        <v>0</v>
      </c>
      <c r="S157" s="679">
        <f t="shared" si="153"/>
        <v>0</v>
      </c>
      <c r="T157" s="680">
        <f t="shared" si="154"/>
        <v>0</v>
      </c>
      <c r="U157" s="680">
        <f t="shared" si="155"/>
        <v>0</v>
      </c>
      <c r="V157" s="680">
        <f t="shared" si="156"/>
        <v>0</v>
      </c>
      <c r="W157" s="680">
        <f t="shared" si="157"/>
        <v>0</v>
      </c>
      <c r="X157" s="680">
        <f t="shared" si="158"/>
        <v>0</v>
      </c>
      <c r="Y157" s="680">
        <f t="shared" si="159"/>
        <v>0</v>
      </c>
      <c r="Z157" s="680">
        <f t="shared" si="160"/>
        <v>0</v>
      </c>
      <c r="AA157" s="681">
        <f t="shared" si="161"/>
        <v>0</v>
      </c>
      <c r="AC157" s="64"/>
      <c r="AD157" s="64"/>
      <c r="AE157" s="64"/>
      <c r="AF157" s="64"/>
      <c r="AG157" s="64" t="s">
        <v>2280</v>
      </c>
      <c r="AH157" s="124"/>
    </row>
    <row r="158" spans="1:41" ht="18" customHeight="1" x14ac:dyDescent="0.25">
      <c r="A158" s="308">
        <f>IF('Table 3-A| Emission Units'!$A100=0,0,'Table 3-A| Emission Units'!A100&amp;"-"&amp;'Table 3-A| Emission Units'!B100)</f>
        <v>0</v>
      </c>
      <c r="B158" s="309">
        <f>IF('Table 3-A| Emission Units'!$A100=0,0,'Table 3-A| Emission Units'!C100)</f>
        <v>0</v>
      </c>
      <c r="C158" s="311">
        <f>IFERROR(IF(A158=0,0,IF('Table 3-A| Emission Units'!$E$20=1,0,($J$6/8760)*$J$55*N55)),0)</f>
        <v>0</v>
      </c>
      <c r="D158" s="398" t="s">
        <v>2093</v>
      </c>
      <c r="E158" s="311">
        <f t="shared" si="148"/>
        <v>0</v>
      </c>
      <c r="F158" s="311" t="str">
        <f t="shared" si="149"/>
        <v>WebFIRE</v>
      </c>
      <c r="G158" s="399">
        <f t="shared" si="150"/>
        <v>0</v>
      </c>
      <c r="H158" s="400">
        <f t="shared" si="151"/>
        <v>0</v>
      </c>
      <c r="I158" s="400">
        <f t="shared" si="152"/>
        <v>0</v>
      </c>
      <c r="J158" s="400">
        <f t="shared" si="152"/>
        <v>0</v>
      </c>
      <c r="K158" s="400">
        <f t="shared" si="152"/>
        <v>0</v>
      </c>
      <c r="L158" s="400">
        <f t="shared" si="152"/>
        <v>0</v>
      </c>
      <c r="M158" s="400">
        <f t="shared" si="152"/>
        <v>0</v>
      </c>
      <c r="N158" s="400">
        <f t="shared" si="152"/>
        <v>0</v>
      </c>
      <c r="O158" s="401">
        <f t="shared" si="152"/>
        <v>0</v>
      </c>
      <c r="S158" s="679">
        <f t="shared" si="153"/>
        <v>0</v>
      </c>
      <c r="T158" s="680">
        <f t="shared" si="154"/>
        <v>0</v>
      </c>
      <c r="U158" s="680">
        <f t="shared" si="155"/>
        <v>0</v>
      </c>
      <c r="V158" s="680">
        <f t="shared" si="156"/>
        <v>0</v>
      </c>
      <c r="W158" s="680">
        <f t="shared" si="157"/>
        <v>0</v>
      </c>
      <c r="X158" s="680">
        <f t="shared" si="158"/>
        <v>0</v>
      </c>
      <c r="Y158" s="680">
        <f t="shared" si="159"/>
        <v>0</v>
      </c>
      <c r="Z158" s="680">
        <f t="shared" si="160"/>
        <v>0</v>
      </c>
      <c r="AA158" s="681">
        <f t="shared" si="161"/>
        <v>0</v>
      </c>
      <c r="AC158" s="652"/>
      <c r="AD158" s="653"/>
      <c r="AE158" s="653"/>
      <c r="AF158" s="653"/>
      <c r="AG158" s="653"/>
      <c r="AH158" s="654"/>
    </row>
    <row r="159" spans="1:41" ht="18" customHeight="1" thickBot="1" x14ac:dyDescent="0.3">
      <c r="A159" s="308">
        <f>IF('Table 3-A| Emission Units'!$A101=0,0,'Table 3-A| Emission Units'!A101&amp;"-"&amp;'Table 3-A| Emission Units'!B101)</f>
        <v>0</v>
      </c>
      <c r="B159" s="309">
        <f>IF('Table 3-A| Emission Units'!$A101=0,0,'Table 3-A| Emission Units'!C101)</f>
        <v>0</v>
      </c>
      <c r="C159" s="311">
        <f>IFERROR(IF(A159=0,0,IF('Table 3-A| Emission Units'!$E$20=1,0,($J$6/8760)*$J$55*O55)),0)</f>
        <v>0</v>
      </c>
      <c r="D159" s="398" t="s">
        <v>2093</v>
      </c>
      <c r="E159" s="311">
        <f t="shared" si="148"/>
        <v>0</v>
      </c>
      <c r="F159" s="311" t="str">
        <f t="shared" si="149"/>
        <v>WebFIRE</v>
      </c>
      <c r="G159" s="399">
        <f t="shared" si="150"/>
        <v>0</v>
      </c>
      <c r="H159" s="400">
        <f t="shared" si="151"/>
        <v>0</v>
      </c>
      <c r="I159" s="400">
        <f t="shared" si="152"/>
        <v>0</v>
      </c>
      <c r="J159" s="400">
        <f t="shared" si="152"/>
        <v>0</v>
      </c>
      <c r="K159" s="400">
        <f t="shared" si="152"/>
        <v>0</v>
      </c>
      <c r="L159" s="400">
        <f t="shared" si="152"/>
        <v>0</v>
      </c>
      <c r="M159" s="400">
        <f t="shared" si="152"/>
        <v>0</v>
      </c>
      <c r="N159" s="400">
        <f t="shared" si="152"/>
        <v>0</v>
      </c>
      <c r="O159" s="401">
        <f t="shared" si="152"/>
        <v>0</v>
      </c>
      <c r="S159" s="679">
        <f t="shared" si="153"/>
        <v>0</v>
      </c>
      <c r="T159" s="680">
        <f t="shared" si="154"/>
        <v>0</v>
      </c>
      <c r="U159" s="680">
        <f t="shared" si="155"/>
        <v>0</v>
      </c>
      <c r="V159" s="680">
        <f t="shared" si="156"/>
        <v>0</v>
      </c>
      <c r="W159" s="680">
        <f t="shared" si="157"/>
        <v>0</v>
      </c>
      <c r="X159" s="680">
        <f t="shared" si="158"/>
        <v>0</v>
      </c>
      <c r="Y159" s="680">
        <f t="shared" si="159"/>
        <v>0</v>
      </c>
      <c r="Z159" s="680">
        <f t="shared" si="160"/>
        <v>0</v>
      </c>
      <c r="AA159" s="681">
        <f t="shared" si="161"/>
        <v>0</v>
      </c>
      <c r="AC159" s="1225" t="s">
        <v>2281</v>
      </c>
      <c r="AD159" s="1225"/>
      <c r="AE159" s="1225"/>
      <c r="AF159" s="64"/>
      <c r="AG159" s="124"/>
      <c r="AH159" s="124"/>
    </row>
    <row r="160" spans="1:41" ht="18" customHeight="1" x14ac:dyDescent="0.25">
      <c r="A160" s="1188" t="str">
        <f>'Table 3-A| Emission Units'!A102:E102</f>
        <v>Grain Milling - Pellet Cooling Emission Units</v>
      </c>
      <c r="B160" s="1189"/>
      <c r="C160" s="1189"/>
      <c r="D160" s="1189"/>
      <c r="E160" s="1189"/>
      <c r="F160" s="1189"/>
      <c r="G160" s="1189"/>
      <c r="H160" s="1189"/>
      <c r="I160" s="1189"/>
      <c r="J160" s="1189"/>
      <c r="K160" s="1189"/>
      <c r="L160" s="1189"/>
      <c r="M160" s="1189"/>
      <c r="N160" s="1189"/>
      <c r="O160" s="1190"/>
      <c r="S160" s="1200" t="s">
        <v>2236</v>
      </c>
      <c r="T160" s="1201"/>
      <c r="U160" s="1201"/>
      <c r="V160" s="1201"/>
      <c r="W160" s="1201"/>
      <c r="X160" s="1201"/>
      <c r="Y160" s="1201"/>
      <c r="Z160" s="1201"/>
      <c r="AA160" s="1202"/>
      <c r="AC160" s="1225" t="s">
        <v>2281</v>
      </c>
      <c r="AD160" s="1225"/>
      <c r="AE160" s="1225"/>
      <c r="AF160" s="64"/>
      <c r="AG160" s="124"/>
      <c r="AH160" s="124"/>
    </row>
    <row r="161" spans="1:34" ht="18" customHeight="1" x14ac:dyDescent="0.25">
      <c r="A161" s="308">
        <f>IF('Table 3-A| Emission Units'!$A103=0,0,'Table 3-A| Emission Units'!A103&amp;"-"&amp;'Table 3-A| Emission Units'!B103)</f>
        <v>0</v>
      </c>
      <c r="B161" s="309">
        <f>IF('Table 3-A| Emission Units'!$A103=0,0,'Table 3-A| Emission Units'!C103)</f>
        <v>0</v>
      </c>
      <c r="C161" s="311">
        <f>IFERROR(IF(A161=0,0,IF('Table 3-A| Emission Units'!$E$20=1,($J$6/8760)*$J$59,($J$6/8760)*$J$59*L59)),0)</f>
        <v>0</v>
      </c>
      <c r="D161" s="398" t="s">
        <v>2093</v>
      </c>
      <c r="E161" s="311">
        <f t="shared" ref="E161:E164" si="162">IF(OR(ISBLANK(C161),ISTEXT(C161)),0,C161*8760)</f>
        <v>0</v>
      </c>
      <c r="F161" s="311" t="str">
        <f t="shared" ref="F161:F164" si="163">IF($A161="","","WebFIRE")</f>
        <v>WebFIRE</v>
      </c>
      <c r="G161" s="399">
        <f t="shared" ref="G161:G164" si="164">IFERROR(IF($A161=0,0,IF($D161="tons",$E161*S161,IF($D161="bushels",$E161*0.03*S161,0))),0)</f>
        <v>0</v>
      </c>
      <c r="H161" s="400">
        <f t="shared" ref="H161:H164" si="165">IFERROR(IF($A161=0,0,IF($D161="tons",$E161*T161,IF($D161="bushels",$E161*0.03*T161,0))),0)</f>
        <v>0</v>
      </c>
      <c r="I161" s="400">
        <f t="shared" ref="I161:O164" si="166">IF($A161=0,0,0)</f>
        <v>0</v>
      </c>
      <c r="J161" s="400">
        <f t="shared" si="166"/>
        <v>0</v>
      </c>
      <c r="K161" s="400">
        <f t="shared" si="166"/>
        <v>0</v>
      </c>
      <c r="L161" s="400">
        <f t="shared" si="166"/>
        <v>0</v>
      </c>
      <c r="M161" s="400">
        <f t="shared" si="166"/>
        <v>0</v>
      </c>
      <c r="N161" s="400">
        <f t="shared" si="166"/>
        <v>0</v>
      </c>
      <c r="O161" s="401">
        <f t="shared" si="166"/>
        <v>0</v>
      </c>
      <c r="S161" s="679">
        <f t="shared" ref="S161:S164" si="167">IFERROR(VLOOKUP($B161,$AC$100:$AO$116,5,FALSE),0)</f>
        <v>0</v>
      </c>
      <c r="T161" s="680">
        <f t="shared" ref="T161:T164" si="168">IFERROR(VLOOKUP($B161,$AC$100:$AO$116,6,FALSE),0)</f>
        <v>0</v>
      </c>
      <c r="U161" s="680">
        <f t="shared" ref="U161:U164" si="169">IFERROR(VLOOKUP($B161,$AC$100:$AO$116,7,FALSE),0)</f>
        <v>0</v>
      </c>
      <c r="V161" s="680">
        <f t="shared" ref="V161:V164" si="170">IFERROR(VLOOKUP($B161,$AC$100:$AO$116,8,FALSE),0)</f>
        <v>0</v>
      </c>
      <c r="W161" s="680">
        <f t="shared" ref="W161:W164" si="171">IFERROR(VLOOKUP($B161,$AC$100:$AO$116,9,FALSE),0)</f>
        <v>0</v>
      </c>
      <c r="X161" s="680">
        <f t="shared" ref="X161:X164" si="172">IFERROR(VLOOKUP($B161,$AC$100:$AO$116,10,FALSE),0)</f>
        <v>0</v>
      </c>
      <c r="Y161" s="680">
        <f t="shared" ref="Y161:Y164" si="173">IFERROR(VLOOKUP($B161,$AC$100:$AO$116,11,FALSE),0)</f>
        <v>0</v>
      </c>
      <c r="Z161" s="680">
        <f t="shared" ref="Z161:Z164" si="174">IFERROR(VLOOKUP($B161,$AC$100:$AO$116,12,FALSE),0)</f>
        <v>0</v>
      </c>
      <c r="AA161" s="681">
        <f t="shared" ref="AA161:AA164" si="175">IFERROR(VLOOKUP($B161,$AC$100:$AO$116,13,FALSE),0)</f>
        <v>0</v>
      </c>
      <c r="AC161" s="1225" t="s">
        <v>2281</v>
      </c>
      <c r="AD161" s="1225"/>
      <c r="AE161" s="1225"/>
      <c r="AF161" s="64"/>
      <c r="AG161" s="124"/>
      <c r="AH161" s="124"/>
    </row>
    <row r="162" spans="1:34" ht="18" customHeight="1" x14ac:dyDescent="0.25">
      <c r="A162" s="308">
        <f>IF('Table 3-A| Emission Units'!$A104=0,0,'Table 3-A| Emission Units'!A104&amp;"-"&amp;'Table 3-A| Emission Units'!B104)</f>
        <v>0</v>
      </c>
      <c r="B162" s="309">
        <f>IF('Table 3-A| Emission Units'!$A104=0,0,'Table 3-A| Emission Units'!C104)</f>
        <v>0</v>
      </c>
      <c r="C162" s="311">
        <f>IFERROR(IF(A162=0,0,IF('Table 3-A| Emission Units'!$E$20=1,0,($J$6/8760)*$J$59*M59)),0)</f>
        <v>0</v>
      </c>
      <c r="D162" s="398" t="s">
        <v>2093</v>
      </c>
      <c r="E162" s="311">
        <f t="shared" si="162"/>
        <v>0</v>
      </c>
      <c r="F162" s="311" t="str">
        <f t="shared" si="163"/>
        <v>WebFIRE</v>
      </c>
      <c r="G162" s="399">
        <f t="shared" si="164"/>
        <v>0</v>
      </c>
      <c r="H162" s="400">
        <f t="shared" si="165"/>
        <v>0</v>
      </c>
      <c r="I162" s="400">
        <f t="shared" si="166"/>
        <v>0</v>
      </c>
      <c r="J162" s="400">
        <f t="shared" si="166"/>
        <v>0</v>
      </c>
      <c r="K162" s="400">
        <f t="shared" si="166"/>
        <v>0</v>
      </c>
      <c r="L162" s="400">
        <f t="shared" si="166"/>
        <v>0</v>
      </c>
      <c r="M162" s="400">
        <f t="shared" si="166"/>
        <v>0</v>
      </c>
      <c r="N162" s="400">
        <f t="shared" si="166"/>
        <v>0</v>
      </c>
      <c r="O162" s="401">
        <f t="shared" si="166"/>
        <v>0</v>
      </c>
      <c r="S162" s="679">
        <f t="shared" si="167"/>
        <v>0</v>
      </c>
      <c r="T162" s="680">
        <f t="shared" si="168"/>
        <v>0</v>
      </c>
      <c r="U162" s="680">
        <f t="shared" si="169"/>
        <v>0</v>
      </c>
      <c r="V162" s="680">
        <f t="shared" si="170"/>
        <v>0</v>
      </c>
      <c r="W162" s="680">
        <f t="shared" si="171"/>
        <v>0</v>
      </c>
      <c r="X162" s="680">
        <f t="shared" si="172"/>
        <v>0</v>
      </c>
      <c r="Y162" s="680">
        <f t="shared" si="173"/>
        <v>0</v>
      </c>
      <c r="Z162" s="680">
        <f t="shared" si="174"/>
        <v>0</v>
      </c>
      <c r="AA162" s="681">
        <f t="shared" si="175"/>
        <v>0</v>
      </c>
      <c r="AC162" s="1215" t="s">
        <v>2272</v>
      </c>
      <c r="AD162" s="1215"/>
      <c r="AE162" s="1215"/>
      <c r="AF162" s="66" t="s">
        <v>2273</v>
      </c>
      <c r="AG162" s="655">
        <v>1.5</v>
      </c>
      <c r="AH162" s="656" t="s">
        <v>2282</v>
      </c>
    </row>
    <row r="163" spans="1:34" ht="18" customHeight="1" x14ac:dyDescent="0.25">
      <c r="A163" s="308">
        <f>IF('Table 3-A| Emission Units'!$A105=0,0,'Table 3-A| Emission Units'!A105&amp;"-"&amp;'Table 3-A| Emission Units'!B105)</f>
        <v>0</v>
      </c>
      <c r="B163" s="309">
        <f>IF('Table 3-A| Emission Units'!$A105=0,0,'Table 3-A| Emission Units'!C105)</f>
        <v>0</v>
      </c>
      <c r="C163" s="311">
        <f>IFERROR(IF(A163=0,0,IF('Table 3-A| Emission Units'!$E$20=1,0,($J$6/8760)*$J$59*N59)),0)</f>
        <v>0</v>
      </c>
      <c r="D163" s="398" t="s">
        <v>2093</v>
      </c>
      <c r="E163" s="311">
        <f t="shared" si="162"/>
        <v>0</v>
      </c>
      <c r="F163" s="311" t="str">
        <f t="shared" si="163"/>
        <v>WebFIRE</v>
      </c>
      <c r="G163" s="399">
        <f t="shared" si="164"/>
        <v>0</v>
      </c>
      <c r="H163" s="400">
        <f t="shared" si="165"/>
        <v>0</v>
      </c>
      <c r="I163" s="400">
        <f t="shared" si="166"/>
        <v>0</v>
      </c>
      <c r="J163" s="400">
        <f t="shared" si="166"/>
        <v>0</v>
      </c>
      <c r="K163" s="400">
        <f t="shared" si="166"/>
        <v>0</v>
      </c>
      <c r="L163" s="400">
        <f t="shared" si="166"/>
        <v>0</v>
      </c>
      <c r="M163" s="400">
        <f t="shared" si="166"/>
        <v>0</v>
      </c>
      <c r="N163" s="400">
        <f t="shared" si="166"/>
        <v>0</v>
      </c>
      <c r="O163" s="401">
        <f t="shared" si="166"/>
        <v>0</v>
      </c>
      <c r="S163" s="679">
        <f t="shared" si="167"/>
        <v>0</v>
      </c>
      <c r="T163" s="680">
        <f t="shared" si="168"/>
        <v>0</v>
      </c>
      <c r="U163" s="680">
        <f t="shared" si="169"/>
        <v>0</v>
      </c>
      <c r="V163" s="680">
        <f t="shared" si="170"/>
        <v>0</v>
      </c>
      <c r="W163" s="680">
        <f t="shared" si="171"/>
        <v>0</v>
      </c>
      <c r="X163" s="680">
        <f t="shared" si="172"/>
        <v>0</v>
      </c>
      <c r="Y163" s="680">
        <f t="shared" si="173"/>
        <v>0</v>
      </c>
      <c r="Z163" s="680">
        <f t="shared" si="174"/>
        <v>0</v>
      </c>
      <c r="AA163" s="681">
        <f t="shared" si="175"/>
        <v>0</v>
      </c>
      <c r="AG163" s="655">
        <v>0.15</v>
      </c>
      <c r="AH163" s="656" t="s">
        <v>2283</v>
      </c>
    </row>
    <row r="164" spans="1:34" ht="18" customHeight="1" thickBot="1" x14ac:dyDescent="0.3">
      <c r="A164" s="308">
        <f>IF('Table 3-A| Emission Units'!$A106=0,0,'Table 3-A| Emission Units'!A106&amp;"-"&amp;'Table 3-A| Emission Units'!B106)</f>
        <v>0</v>
      </c>
      <c r="B164" s="309">
        <f>IF('Table 3-A| Emission Units'!$A106=0,0,'Table 3-A| Emission Units'!C106)</f>
        <v>0</v>
      </c>
      <c r="C164" s="311">
        <f>IFERROR(IF(A164=0,0,IF('Table 3-A| Emission Units'!$E$20=1,0,($J$6/8760)*$J$59*O59)),0)</f>
        <v>0</v>
      </c>
      <c r="D164" s="398" t="s">
        <v>2093</v>
      </c>
      <c r="E164" s="311">
        <f t="shared" si="162"/>
        <v>0</v>
      </c>
      <c r="F164" s="311" t="str">
        <f t="shared" si="163"/>
        <v>WebFIRE</v>
      </c>
      <c r="G164" s="399">
        <f t="shared" si="164"/>
        <v>0</v>
      </c>
      <c r="H164" s="400">
        <f t="shared" si="165"/>
        <v>0</v>
      </c>
      <c r="I164" s="400">
        <f t="shared" si="166"/>
        <v>0</v>
      </c>
      <c r="J164" s="400">
        <f t="shared" si="166"/>
        <v>0</v>
      </c>
      <c r="K164" s="400">
        <f t="shared" si="166"/>
        <v>0</v>
      </c>
      <c r="L164" s="400">
        <f t="shared" si="166"/>
        <v>0</v>
      </c>
      <c r="M164" s="400">
        <f t="shared" si="166"/>
        <v>0</v>
      </c>
      <c r="N164" s="400">
        <f t="shared" si="166"/>
        <v>0</v>
      </c>
      <c r="O164" s="401">
        <f t="shared" si="166"/>
        <v>0</v>
      </c>
      <c r="S164" s="697">
        <f t="shared" si="167"/>
        <v>0</v>
      </c>
      <c r="T164" s="698">
        <f t="shared" si="168"/>
        <v>0</v>
      </c>
      <c r="U164" s="698">
        <f t="shared" si="169"/>
        <v>0</v>
      </c>
      <c r="V164" s="698">
        <f t="shared" si="170"/>
        <v>0</v>
      </c>
      <c r="W164" s="698">
        <f t="shared" si="171"/>
        <v>0</v>
      </c>
      <c r="X164" s="698">
        <f t="shared" si="172"/>
        <v>0</v>
      </c>
      <c r="Y164" s="698">
        <f t="shared" si="173"/>
        <v>0</v>
      </c>
      <c r="Z164" s="698">
        <f t="shared" si="174"/>
        <v>0</v>
      </c>
      <c r="AA164" s="699">
        <f t="shared" si="175"/>
        <v>0</v>
      </c>
      <c r="AC164" s="1214" t="s">
        <v>2284</v>
      </c>
      <c r="AD164" s="1214"/>
      <c r="AE164" s="1214"/>
      <c r="AF164" s="66" t="s">
        <v>2273</v>
      </c>
      <c r="AG164" s="655">
        <v>10</v>
      </c>
      <c r="AH164" s="656" t="s">
        <v>2285</v>
      </c>
    </row>
    <row r="165" spans="1:34" ht="18" customHeight="1" thickBot="1" x14ac:dyDescent="0.3">
      <c r="A165" s="1188" t="str">
        <f>'Table 3-A| Emission Units'!A107:E107</f>
        <v>Miscellaneous Emission Units</v>
      </c>
      <c r="B165" s="1189"/>
      <c r="C165" s="1189"/>
      <c r="D165" s="1189"/>
      <c r="E165" s="1189"/>
      <c r="F165" s="1189"/>
      <c r="G165" s="1189"/>
      <c r="H165" s="1189"/>
      <c r="I165" s="1189"/>
      <c r="J165" s="1189"/>
      <c r="K165" s="1189"/>
      <c r="L165" s="1189"/>
      <c r="M165" s="1189"/>
      <c r="N165" s="1189"/>
      <c r="O165" s="1190"/>
      <c r="S165" s="676" t="s">
        <v>26</v>
      </c>
      <c r="T165" s="109" t="s">
        <v>30</v>
      </c>
      <c r="U165" s="109" t="s">
        <v>3</v>
      </c>
      <c r="V165" s="109" t="s">
        <v>4</v>
      </c>
      <c r="W165" s="109" t="s">
        <v>0</v>
      </c>
      <c r="X165" s="109" t="s">
        <v>5</v>
      </c>
      <c r="Y165" s="109" t="s">
        <v>260</v>
      </c>
      <c r="Z165" s="109" t="s">
        <v>24</v>
      </c>
      <c r="AA165" s="110" t="s">
        <v>2290</v>
      </c>
      <c r="AC165" s="1214" t="s">
        <v>2286</v>
      </c>
      <c r="AD165" s="1215"/>
      <c r="AE165" s="1215"/>
      <c r="AF165" s="66" t="s">
        <v>2273</v>
      </c>
      <c r="AG165" s="655">
        <v>0.9</v>
      </c>
      <c r="AH165" s="656" t="s">
        <v>2287</v>
      </c>
    </row>
    <row r="166" spans="1:34" ht="18" customHeight="1" x14ac:dyDescent="0.25">
      <c r="A166" s="308">
        <f>IF(ISBLANK('Table 3-A| Emission Units'!A108),0,'Table 3-A| Emission Units'!A108&amp;"-"&amp;'Table 3-A| Emission Units'!B108)</f>
        <v>0</v>
      </c>
      <c r="B166" s="309">
        <f>IF(OR(ISBLANK('Table 3-A| Emission Units'!C108),ISTEXT('Table 3-A| Emission Units'!C108)),0,'Table 3-A| Emission Units'!C108)</f>
        <v>0</v>
      </c>
      <c r="C166" s="310"/>
      <c r="D166" s="247"/>
      <c r="E166" s="311">
        <f>IF(OR(ISBLANK(C166),ISTEXT(C166)),0,C166*8760)</f>
        <v>0</v>
      </c>
      <c r="F166" s="310"/>
      <c r="G166" s="312"/>
      <c r="H166" s="313"/>
      <c r="I166" s="313"/>
      <c r="J166" s="313"/>
      <c r="K166" s="313"/>
      <c r="L166" s="313"/>
      <c r="M166" s="313"/>
      <c r="N166" s="313"/>
      <c r="O166" s="314"/>
      <c r="P166" s="1216" t="s">
        <v>2289</v>
      </c>
      <c r="Q166" s="1217"/>
      <c r="R166" s="1218"/>
      <c r="S166" s="657"/>
      <c r="T166" s="658"/>
      <c r="U166" s="658"/>
      <c r="V166" s="658"/>
      <c r="W166" s="658"/>
      <c r="X166" s="658"/>
      <c r="Y166" s="658"/>
      <c r="Z166" s="658"/>
      <c r="AA166" s="659"/>
      <c r="AC166" s="1214" t="s">
        <v>2278</v>
      </c>
      <c r="AD166" s="1215"/>
      <c r="AE166" s="1215"/>
      <c r="AF166" s="66"/>
      <c r="AG166" s="124"/>
      <c r="AH166" s="124"/>
    </row>
    <row r="167" spans="1:34" ht="18" customHeight="1" x14ac:dyDescent="0.25">
      <c r="A167" s="308">
        <f>IF(ISBLANK('Table 3-A| Emission Units'!A109),0,'Table 3-A| Emission Units'!A109&amp;"-"&amp;'Table 3-A| Emission Units'!B109)</f>
        <v>0</v>
      </c>
      <c r="B167" s="309">
        <f>IF(OR(ISBLANK('Table 3-A| Emission Units'!C109),ISTEXT('Table 3-A| Emission Units'!C109)),0,'Table 3-A| Emission Units'!C109)</f>
        <v>0</v>
      </c>
      <c r="C167" s="310"/>
      <c r="D167" s="247"/>
      <c r="E167" s="311">
        <f t="shared" ref="E167:E188" si="176">IF(OR(ISBLANK(C167),ISTEXT(C167)),0,C167*8760)</f>
        <v>0</v>
      </c>
      <c r="F167" s="310"/>
      <c r="G167" s="312"/>
      <c r="H167" s="313"/>
      <c r="I167" s="313"/>
      <c r="J167" s="313"/>
      <c r="K167" s="313"/>
      <c r="L167" s="313"/>
      <c r="M167" s="313"/>
      <c r="N167" s="313"/>
      <c r="O167" s="314"/>
      <c r="P167" s="1219"/>
      <c r="Q167" s="1220"/>
      <c r="R167" s="1221"/>
      <c r="S167" s="657"/>
      <c r="T167" s="658"/>
      <c r="U167" s="658"/>
      <c r="V167" s="658"/>
      <c r="W167" s="658"/>
      <c r="X167" s="658"/>
      <c r="Y167" s="658"/>
      <c r="Z167" s="658"/>
      <c r="AA167" s="659"/>
      <c r="AC167" s="1214" t="s">
        <v>2288</v>
      </c>
      <c r="AD167" s="1215"/>
      <c r="AE167" s="1215"/>
      <c r="AF167" s="66" t="s">
        <v>2273</v>
      </c>
      <c r="AG167" s="655">
        <v>0.45</v>
      </c>
      <c r="AH167" s="656" t="s">
        <v>2287</v>
      </c>
    </row>
    <row r="168" spans="1:34" ht="18" customHeight="1" x14ac:dyDescent="0.25">
      <c r="A168" s="308">
        <f>IF(ISBLANK('Table 3-A| Emission Units'!A110),0,'Table 3-A| Emission Units'!A110&amp;"-"&amp;'Table 3-A| Emission Units'!B110)</f>
        <v>0</v>
      </c>
      <c r="B168" s="309">
        <f>IF(OR(ISBLANK('Table 3-A| Emission Units'!C110),ISTEXT('Table 3-A| Emission Units'!C110)),0,'Table 3-A| Emission Units'!C110)</f>
        <v>0</v>
      </c>
      <c r="C168" s="310"/>
      <c r="D168" s="247"/>
      <c r="E168" s="311">
        <f t="shared" si="176"/>
        <v>0</v>
      </c>
      <c r="F168" s="310"/>
      <c r="G168" s="312"/>
      <c r="H168" s="313"/>
      <c r="I168" s="313"/>
      <c r="J168" s="313"/>
      <c r="K168" s="313"/>
      <c r="L168" s="313"/>
      <c r="M168" s="313"/>
      <c r="N168" s="313"/>
      <c r="O168" s="314"/>
      <c r="P168" s="1219"/>
      <c r="Q168" s="1220"/>
      <c r="R168" s="1221"/>
      <c r="S168" s="657"/>
      <c r="T168" s="658"/>
      <c r="U168" s="658"/>
      <c r="V168" s="658"/>
      <c r="W168" s="658"/>
      <c r="X168" s="658"/>
      <c r="Y168" s="658"/>
      <c r="Z168" s="658"/>
      <c r="AA168" s="659"/>
    </row>
    <row r="169" spans="1:34" ht="18" customHeight="1" x14ac:dyDescent="0.25">
      <c r="A169" s="308">
        <f>IF(ISBLANK('Table 3-A| Emission Units'!A111),0,'Table 3-A| Emission Units'!A111&amp;"-"&amp;'Table 3-A| Emission Units'!B111)</f>
        <v>0</v>
      </c>
      <c r="B169" s="309">
        <f>IF(OR(ISBLANK('Table 3-A| Emission Units'!C111),ISTEXT('Table 3-A| Emission Units'!C111)),0,'Table 3-A| Emission Units'!C111)</f>
        <v>0</v>
      </c>
      <c r="C169" s="310"/>
      <c r="D169" s="247"/>
      <c r="E169" s="311">
        <f t="shared" si="176"/>
        <v>0</v>
      </c>
      <c r="F169" s="310"/>
      <c r="G169" s="312"/>
      <c r="H169" s="313"/>
      <c r="I169" s="313"/>
      <c r="J169" s="313"/>
      <c r="K169" s="313"/>
      <c r="L169" s="313"/>
      <c r="M169" s="313"/>
      <c r="N169" s="313"/>
      <c r="O169" s="314"/>
      <c r="P169" s="1219"/>
      <c r="Q169" s="1220"/>
      <c r="R169" s="1221"/>
      <c r="S169" s="657"/>
      <c r="T169" s="658"/>
      <c r="U169" s="658"/>
      <c r="V169" s="658"/>
      <c r="W169" s="658"/>
      <c r="X169" s="658"/>
      <c r="Y169" s="658"/>
      <c r="Z169" s="658"/>
      <c r="AA169" s="659"/>
    </row>
    <row r="170" spans="1:34" ht="18" customHeight="1" x14ac:dyDescent="0.25">
      <c r="A170" s="308">
        <f>IF(ISBLANK('Table 3-A| Emission Units'!A112),0,'Table 3-A| Emission Units'!A112&amp;"-"&amp;'Table 3-A| Emission Units'!B112)</f>
        <v>0</v>
      </c>
      <c r="B170" s="309">
        <f>IF(OR(ISBLANK('Table 3-A| Emission Units'!C112),ISTEXT('Table 3-A| Emission Units'!C112)),0,'Table 3-A| Emission Units'!C112)</f>
        <v>0</v>
      </c>
      <c r="C170" s="310"/>
      <c r="D170" s="247"/>
      <c r="E170" s="311">
        <f t="shared" si="176"/>
        <v>0</v>
      </c>
      <c r="F170" s="310"/>
      <c r="G170" s="312"/>
      <c r="H170" s="313"/>
      <c r="I170" s="313"/>
      <c r="J170" s="313"/>
      <c r="K170" s="313"/>
      <c r="L170" s="313"/>
      <c r="M170" s="313"/>
      <c r="N170" s="313"/>
      <c r="O170" s="314"/>
      <c r="P170" s="1219"/>
      <c r="Q170" s="1220"/>
      <c r="R170" s="1221"/>
      <c r="S170" s="657"/>
      <c r="T170" s="658"/>
      <c r="U170" s="658"/>
      <c r="V170" s="658"/>
      <c r="W170" s="658"/>
      <c r="X170" s="658"/>
      <c r="Y170" s="658"/>
      <c r="Z170" s="658"/>
      <c r="AA170" s="659"/>
    </row>
    <row r="171" spans="1:34" ht="18" customHeight="1" thickBot="1" x14ac:dyDescent="0.3">
      <c r="A171" s="308">
        <f>IF(ISBLANK('Table 3-A| Emission Units'!A113),0,'Table 3-A| Emission Units'!A113&amp;"-"&amp;'Table 3-A| Emission Units'!B113)</f>
        <v>0</v>
      </c>
      <c r="B171" s="309">
        <f>IF(OR(ISBLANK('Table 3-A| Emission Units'!C113),ISTEXT('Table 3-A| Emission Units'!C113)),0,'Table 3-A| Emission Units'!C113)</f>
        <v>0</v>
      </c>
      <c r="C171" s="310"/>
      <c r="D171" s="247"/>
      <c r="E171" s="311">
        <f t="shared" si="176"/>
        <v>0</v>
      </c>
      <c r="F171" s="310"/>
      <c r="G171" s="312"/>
      <c r="H171" s="313"/>
      <c r="I171" s="313"/>
      <c r="J171" s="313"/>
      <c r="K171" s="313"/>
      <c r="L171" s="313"/>
      <c r="M171" s="313"/>
      <c r="N171" s="313"/>
      <c r="O171" s="314"/>
      <c r="P171" s="1222"/>
      <c r="Q171" s="1223"/>
      <c r="R171" s="1224"/>
      <c r="S171" s="657"/>
      <c r="T171" s="658"/>
      <c r="U171" s="658"/>
      <c r="V171" s="658"/>
      <c r="W171" s="658"/>
      <c r="X171" s="658"/>
      <c r="Y171" s="658"/>
      <c r="Z171" s="658"/>
      <c r="AA171" s="659"/>
    </row>
    <row r="172" spans="1:34" ht="18" customHeight="1" x14ac:dyDescent="0.25">
      <c r="A172" s="308">
        <f>IF(ISBLANK('Table 3-A| Emission Units'!A114),0,'Table 3-A| Emission Units'!A114&amp;"-"&amp;'Table 3-A| Emission Units'!B114)</f>
        <v>0</v>
      </c>
      <c r="B172" s="309">
        <f>IF(OR(ISBLANK('Table 3-A| Emission Units'!C114),ISTEXT('Table 3-A| Emission Units'!C114)),0,'Table 3-A| Emission Units'!C114)</f>
        <v>0</v>
      </c>
      <c r="C172" s="310"/>
      <c r="D172" s="247"/>
      <c r="E172" s="311">
        <f t="shared" si="176"/>
        <v>0</v>
      </c>
      <c r="F172" s="310"/>
      <c r="G172" s="312"/>
      <c r="H172" s="313"/>
      <c r="I172" s="313"/>
      <c r="J172" s="313"/>
      <c r="K172" s="313"/>
      <c r="L172" s="313"/>
      <c r="M172" s="313"/>
      <c r="N172" s="313"/>
      <c r="O172" s="314"/>
      <c r="S172" s="657"/>
      <c r="T172" s="658"/>
      <c r="U172" s="658"/>
      <c r="V172" s="658"/>
      <c r="W172" s="658"/>
      <c r="X172" s="658"/>
      <c r="Y172" s="658"/>
      <c r="Z172" s="658"/>
      <c r="AA172" s="659"/>
    </row>
    <row r="173" spans="1:34" ht="18" customHeight="1" x14ac:dyDescent="0.25">
      <c r="A173" s="308">
        <f>IF(ISBLANK('Table 3-A| Emission Units'!A115),0,'Table 3-A| Emission Units'!A115&amp;"-"&amp;'Table 3-A| Emission Units'!B115)</f>
        <v>0</v>
      </c>
      <c r="B173" s="309">
        <f>IF(OR(ISBLANK('Table 3-A| Emission Units'!C115),ISTEXT('Table 3-A| Emission Units'!C115)),0,'Table 3-A| Emission Units'!C115)</f>
        <v>0</v>
      </c>
      <c r="C173" s="310"/>
      <c r="D173" s="247"/>
      <c r="E173" s="311">
        <f t="shared" si="176"/>
        <v>0</v>
      </c>
      <c r="F173" s="310"/>
      <c r="G173" s="312"/>
      <c r="H173" s="313"/>
      <c r="I173" s="313"/>
      <c r="J173" s="313"/>
      <c r="K173" s="313"/>
      <c r="L173" s="313"/>
      <c r="M173" s="313"/>
      <c r="N173" s="313"/>
      <c r="O173" s="314"/>
      <c r="S173" s="657"/>
      <c r="T173" s="658"/>
      <c r="U173" s="658"/>
      <c r="V173" s="658"/>
      <c r="W173" s="658"/>
      <c r="X173" s="658"/>
      <c r="Y173" s="658"/>
      <c r="Z173" s="658"/>
      <c r="AA173" s="659"/>
    </row>
    <row r="174" spans="1:34" ht="18" customHeight="1" x14ac:dyDescent="0.25">
      <c r="A174" s="308">
        <f>IF(ISBLANK('Table 3-A| Emission Units'!A116),0,'Table 3-A| Emission Units'!A116&amp;"-"&amp;'Table 3-A| Emission Units'!B116)</f>
        <v>0</v>
      </c>
      <c r="B174" s="309">
        <f>IF(OR(ISBLANK('Table 3-A| Emission Units'!C116),ISTEXT('Table 3-A| Emission Units'!C116)),0,'Table 3-A| Emission Units'!C116)</f>
        <v>0</v>
      </c>
      <c r="C174" s="310"/>
      <c r="D174" s="247"/>
      <c r="E174" s="311">
        <f t="shared" si="176"/>
        <v>0</v>
      </c>
      <c r="F174" s="310"/>
      <c r="G174" s="312"/>
      <c r="H174" s="313"/>
      <c r="I174" s="313"/>
      <c r="J174" s="313"/>
      <c r="K174" s="313"/>
      <c r="L174" s="313"/>
      <c r="M174" s="313"/>
      <c r="N174" s="313"/>
      <c r="O174" s="314"/>
      <c r="S174" s="657"/>
      <c r="T174" s="658"/>
      <c r="U174" s="658"/>
      <c r="V174" s="658"/>
      <c r="W174" s="658"/>
      <c r="X174" s="658"/>
      <c r="Y174" s="658"/>
      <c r="Z174" s="658"/>
      <c r="AA174" s="659"/>
    </row>
    <row r="175" spans="1:34" ht="18" customHeight="1" x14ac:dyDescent="0.25">
      <c r="A175" s="308">
        <f>IF(ISBLANK('Table 3-A| Emission Units'!A117),0,'Table 3-A| Emission Units'!A117&amp;"-"&amp;'Table 3-A| Emission Units'!B117)</f>
        <v>0</v>
      </c>
      <c r="B175" s="309">
        <f>IF(OR(ISBLANK('Table 3-A| Emission Units'!C117),ISTEXT('Table 3-A| Emission Units'!C117)),0,'Table 3-A| Emission Units'!C117)</f>
        <v>0</v>
      </c>
      <c r="C175" s="310"/>
      <c r="D175" s="247"/>
      <c r="E175" s="311">
        <f t="shared" si="176"/>
        <v>0</v>
      </c>
      <c r="F175" s="310"/>
      <c r="G175" s="312"/>
      <c r="H175" s="313"/>
      <c r="I175" s="313"/>
      <c r="J175" s="313"/>
      <c r="K175" s="313"/>
      <c r="L175" s="313"/>
      <c r="M175" s="313"/>
      <c r="N175" s="313"/>
      <c r="O175" s="314"/>
      <c r="S175" s="657"/>
      <c r="T175" s="658"/>
      <c r="U175" s="658"/>
      <c r="V175" s="658"/>
      <c r="W175" s="658"/>
      <c r="X175" s="658"/>
      <c r="Y175" s="658"/>
      <c r="Z175" s="658"/>
      <c r="AA175" s="659"/>
    </row>
    <row r="176" spans="1:34" ht="18" customHeight="1" x14ac:dyDescent="0.25">
      <c r="A176" s="308">
        <f>IF(ISBLANK('Table 3-A| Emission Units'!A118),0,'Table 3-A| Emission Units'!A118&amp;"-"&amp;'Table 3-A| Emission Units'!B118)</f>
        <v>0</v>
      </c>
      <c r="B176" s="309">
        <f>IF(OR(ISBLANK('Table 3-A| Emission Units'!C118),ISTEXT('Table 3-A| Emission Units'!C118)),0,'Table 3-A| Emission Units'!C118)</f>
        <v>0</v>
      </c>
      <c r="C176" s="310"/>
      <c r="D176" s="247"/>
      <c r="E176" s="311">
        <f t="shared" si="176"/>
        <v>0</v>
      </c>
      <c r="F176" s="310"/>
      <c r="G176" s="312"/>
      <c r="H176" s="313"/>
      <c r="I176" s="313"/>
      <c r="J176" s="313"/>
      <c r="K176" s="313"/>
      <c r="L176" s="313"/>
      <c r="M176" s="313"/>
      <c r="N176" s="313"/>
      <c r="O176" s="314"/>
      <c r="S176" s="657"/>
      <c r="T176" s="658"/>
      <c r="U176" s="658"/>
      <c r="V176" s="658"/>
      <c r="W176" s="658"/>
      <c r="X176" s="658"/>
      <c r="Y176" s="658"/>
      <c r="Z176" s="658"/>
      <c r="AA176" s="659"/>
    </row>
    <row r="177" spans="1:27" ht="18" customHeight="1" x14ac:dyDescent="0.25">
      <c r="A177" s="308">
        <f>IF(ISBLANK('Table 3-A| Emission Units'!A119),0,'Table 3-A| Emission Units'!A119&amp;"-"&amp;'Table 3-A| Emission Units'!B119)</f>
        <v>0</v>
      </c>
      <c r="B177" s="309">
        <f>IF(OR(ISBLANK('Table 3-A| Emission Units'!C119),ISTEXT('Table 3-A| Emission Units'!C119)),0,'Table 3-A| Emission Units'!C119)</f>
        <v>0</v>
      </c>
      <c r="C177" s="310"/>
      <c r="D177" s="247"/>
      <c r="E177" s="311">
        <f t="shared" si="176"/>
        <v>0</v>
      </c>
      <c r="F177" s="310"/>
      <c r="G177" s="312"/>
      <c r="H177" s="313"/>
      <c r="I177" s="313"/>
      <c r="J177" s="313"/>
      <c r="K177" s="313"/>
      <c r="L177" s="313"/>
      <c r="M177" s="313"/>
      <c r="N177" s="313"/>
      <c r="O177" s="314"/>
      <c r="S177" s="657"/>
      <c r="T177" s="658"/>
      <c r="U177" s="658"/>
      <c r="V177" s="658"/>
      <c r="W177" s="658"/>
      <c r="X177" s="658"/>
      <c r="Y177" s="658"/>
      <c r="Z177" s="658"/>
      <c r="AA177" s="659"/>
    </row>
    <row r="178" spans="1:27" ht="18" customHeight="1" x14ac:dyDescent="0.25">
      <c r="A178" s="308">
        <f>IF(ISBLANK('Table 3-A| Emission Units'!A120),0,'Table 3-A| Emission Units'!A120&amp;"-"&amp;'Table 3-A| Emission Units'!B120)</f>
        <v>0</v>
      </c>
      <c r="B178" s="309">
        <f>IF(OR(ISBLANK('Table 3-A| Emission Units'!C120),ISTEXT('Table 3-A| Emission Units'!C120)),0,'Table 3-A| Emission Units'!C120)</f>
        <v>0</v>
      </c>
      <c r="C178" s="310"/>
      <c r="D178" s="247"/>
      <c r="E178" s="311">
        <f t="shared" si="176"/>
        <v>0</v>
      </c>
      <c r="F178" s="310"/>
      <c r="G178" s="312"/>
      <c r="H178" s="313"/>
      <c r="I178" s="313"/>
      <c r="J178" s="313"/>
      <c r="K178" s="313"/>
      <c r="L178" s="313"/>
      <c r="M178" s="313"/>
      <c r="N178" s="313"/>
      <c r="O178" s="314"/>
      <c r="S178" s="657"/>
      <c r="T178" s="658"/>
      <c r="U178" s="658"/>
      <c r="V178" s="658"/>
      <c r="W178" s="658"/>
      <c r="X178" s="658"/>
      <c r="Y178" s="658"/>
      <c r="Z178" s="658"/>
      <c r="AA178" s="659"/>
    </row>
    <row r="179" spans="1:27" ht="18" customHeight="1" x14ac:dyDescent="0.25">
      <c r="A179" s="308">
        <f>IF(ISBLANK('Table 3-A| Emission Units'!A121),0,'Table 3-A| Emission Units'!A121&amp;"-"&amp;'Table 3-A| Emission Units'!B121)</f>
        <v>0</v>
      </c>
      <c r="B179" s="309">
        <f>IF(OR(ISBLANK('Table 3-A| Emission Units'!C121),ISTEXT('Table 3-A| Emission Units'!C121)),0,'Table 3-A| Emission Units'!C121)</f>
        <v>0</v>
      </c>
      <c r="C179" s="310"/>
      <c r="D179" s="247"/>
      <c r="E179" s="311">
        <f t="shared" si="176"/>
        <v>0</v>
      </c>
      <c r="F179" s="310"/>
      <c r="G179" s="312"/>
      <c r="H179" s="313"/>
      <c r="I179" s="313"/>
      <c r="J179" s="313"/>
      <c r="K179" s="313"/>
      <c r="L179" s="313"/>
      <c r="M179" s="313"/>
      <c r="N179" s="313"/>
      <c r="O179" s="314"/>
      <c r="S179" s="657"/>
      <c r="T179" s="658"/>
      <c r="U179" s="658"/>
      <c r="V179" s="658"/>
      <c r="W179" s="658"/>
      <c r="X179" s="658"/>
      <c r="Y179" s="658"/>
      <c r="Z179" s="658"/>
      <c r="AA179" s="659"/>
    </row>
    <row r="180" spans="1:27" ht="18" customHeight="1" x14ac:dyDescent="0.25">
      <c r="A180" s="308">
        <f>IF(ISBLANK('Table 3-A| Emission Units'!A122),0,'Table 3-A| Emission Units'!A122&amp;"-"&amp;'Table 3-A| Emission Units'!B122)</f>
        <v>0</v>
      </c>
      <c r="B180" s="309">
        <f>IF(OR(ISBLANK('Table 3-A| Emission Units'!C122),ISTEXT('Table 3-A| Emission Units'!C122)),0,'Table 3-A| Emission Units'!C122)</f>
        <v>0</v>
      </c>
      <c r="C180" s="310"/>
      <c r="D180" s="247"/>
      <c r="E180" s="311">
        <f t="shared" si="176"/>
        <v>0</v>
      </c>
      <c r="F180" s="310"/>
      <c r="G180" s="312"/>
      <c r="H180" s="313"/>
      <c r="I180" s="313"/>
      <c r="J180" s="313"/>
      <c r="K180" s="313"/>
      <c r="L180" s="313"/>
      <c r="M180" s="313"/>
      <c r="N180" s="313"/>
      <c r="O180" s="314"/>
      <c r="S180" s="657"/>
      <c r="T180" s="658"/>
      <c r="U180" s="658"/>
      <c r="V180" s="658"/>
      <c r="W180" s="658"/>
      <c r="X180" s="658"/>
      <c r="Y180" s="658"/>
      <c r="Z180" s="658"/>
      <c r="AA180" s="659"/>
    </row>
    <row r="181" spans="1:27" ht="18" customHeight="1" x14ac:dyDescent="0.25">
      <c r="A181" s="308">
        <f>IF(ISBLANK('Table 3-A| Emission Units'!A123),0,'Table 3-A| Emission Units'!A123&amp;"-"&amp;'Table 3-A| Emission Units'!B123)</f>
        <v>0</v>
      </c>
      <c r="B181" s="309">
        <f>IF(OR(ISBLANK('Table 3-A| Emission Units'!C123),ISTEXT('Table 3-A| Emission Units'!C123)),0,'Table 3-A| Emission Units'!C123)</f>
        <v>0</v>
      </c>
      <c r="C181" s="310"/>
      <c r="D181" s="247"/>
      <c r="E181" s="311">
        <f t="shared" si="176"/>
        <v>0</v>
      </c>
      <c r="F181" s="310"/>
      <c r="G181" s="312"/>
      <c r="H181" s="313"/>
      <c r="I181" s="313"/>
      <c r="J181" s="313"/>
      <c r="K181" s="313"/>
      <c r="L181" s="313"/>
      <c r="M181" s="313"/>
      <c r="N181" s="313"/>
      <c r="O181" s="314"/>
      <c r="S181" s="657"/>
      <c r="T181" s="658"/>
      <c r="U181" s="658"/>
      <c r="V181" s="658"/>
      <c r="W181" s="658"/>
      <c r="X181" s="658"/>
      <c r="Y181" s="658"/>
      <c r="Z181" s="658"/>
      <c r="AA181" s="659"/>
    </row>
    <row r="182" spans="1:27" ht="18" customHeight="1" x14ac:dyDescent="0.25">
      <c r="A182" s="308">
        <f>IF(ISBLANK('Table 3-A| Emission Units'!A124),0,'Table 3-A| Emission Units'!A124&amp;"-"&amp;'Table 3-A| Emission Units'!B124)</f>
        <v>0</v>
      </c>
      <c r="B182" s="309">
        <f>IF(OR(ISBLANK('Table 3-A| Emission Units'!C124),ISTEXT('Table 3-A| Emission Units'!C124)),0,'Table 3-A| Emission Units'!C124)</f>
        <v>0</v>
      </c>
      <c r="C182" s="310"/>
      <c r="D182" s="247"/>
      <c r="E182" s="311">
        <f t="shared" si="176"/>
        <v>0</v>
      </c>
      <c r="F182" s="310"/>
      <c r="G182" s="312"/>
      <c r="H182" s="313"/>
      <c r="I182" s="313"/>
      <c r="J182" s="313"/>
      <c r="K182" s="313"/>
      <c r="L182" s="313"/>
      <c r="M182" s="313"/>
      <c r="N182" s="313"/>
      <c r="O182" s="314"/>
      <c r="S182" s="657"/>
      <c r="T182" s="658"/>
      <c r="U182" s="658"/>
      <c r="V182" s="658"/>
      <c r="W182" s="658"/>
      <c r="X182" s="658"/>
      <c r="Y182" s="658"/>
      <c r="Z182" s="658"/>
      <c r="AA182" s="659"/>
    </row>
    <row r="183" spans="1:27" ht="18" customHeight="1" x14ac:dyDescent="0.25">
      <c r="A183" s="308">
        <f>IF(ISBLANK('Table 3-A| Emission Units'!A125),0,'Table 3-A| Emission Units'!A125&amp;"-"&amp;'Table 3-A| Emission Units'!B125)</f>
        <v>0</v>
      </c>
      <c r="B183" s="309">
        <f>IF(OR(ISBLANK('Table 3-A| Emission Units'!C125),ISTEXT('Table 3-A| Emission Units'!C125)),0,'Table 3-A| Emission Units'!C125)</f>
        <v>0</v>
      </c>
      <c r="C183" s="310"/>
      <c r="D183" s="247"/>
      <c r="E183" s="311">
        <f t="shared" si="176"/>
        <v>0</v>
      </c>
      <c r="F183" s="310"/>
      <c r="G183" s="312"/>
      <c r="H183" s="313"/>
      <c r="I183" s="313"/>
      <c r="J183" s="313"/>
      <c r="K183" s="313"/>
      <c r="L183" s="313"/>
      <c r="M183" s="313"/>
      <c r="N183" s="313"/>
      <c r="O183" s="314"/>
      <c r="S183" s="657"/>
      <c r="T183" s="658"/>
      <c r="U183" s="658"/>
      <c r="V183" s="658"/>
      <c r="W183" s="658"/>
      <c r="X183" s="658"/>
      <c r="Y183" s="658"/>
      <c r="Z183" s="658"/>
      <c r="AA183" s="659"/>
    </row>
    <row r="184" spans="1:27" ht="18" customHeight="1" x14ac:dyDescent="0.25">
      <c r="A184" s="308">
        <f>IF(ISBLANK('Table 3-A| Emission Units'!A126),0,'Table 3-A| Emission Units'!A126&amp;"-"&amp;'Table 3-A| Emission Units'!B126)</f>
        <v>0</v>
      </c>
      <c r="B184" s="309">
        <f>IF(OR(ISBLANK('Table 3-A| Emission Units'!C126),ISTEXT('Table 3-A| Emission Units'!C126)),0,'Table 3-A| Emission Units'!C126)</f>
        <v>0</v>
      </c>
      <c r="C184" s="310"/>
      <c r="D184" s="247"/>
      <c r="E184" s="311">
        <f t="shared" si="176"/>
        <v>0</v>
      </c>
      <c r="F184" s="310"/>
      <c r="G184" s="312"/>
      <c r="H184" s="313"/>
      <c r="I184" s="313"/>
      <c r="J184" s="313"/>
      <c r="K184" s="313"/>
      <c r="L184" s="313"/>
      <c r="M184" s="313"/>
      <c r="N184" s="313"/>
      <c r="O184" s="314"/>
      <c r="S184" s="657"/>
      <c r="T184" s="658"/>
      <c r="U184" s="658"/>
      <c r="V184" s="658"/>
      <c r="W184" s="658"/>
      <c r="X184" s="658"/>
      <c r="Y184" s="658"/>
      <c r="Z184" s="658"/>
      <c r="AA184" s="659"/>
    </row>
    <row r="185" spans="1:27" ht="18" customHeight="1" x14ac:dyDescent="0.25">
      <c r="A185" s="308">
        <f>IF(ISBLANK('Table 3-A| Emission Units'!A127),0,'Table 3-A| Emission Units'!A127&amp;"-"&amp;'Table 3-A| Emission Units'!B127)</f>
        <v>0</v>
      </c>
      <c r="B185" s="309">
        <f>IF(OR(ISBLANK('Table 3-A| Emission Units'!C127),ISTEXT('Table 3-A| Emission Units'!C127)),0,'Table 3-A| Emission Units'!C127)</f>
        <v>0</v>
      </c>
      <c r="C185" s="310"/>
      <c r="D185" s="247"/>
      <c r="E185" s="311">
        <f t="shared" si="176"/>
        <v>0</v>
      </c>
      <c r="F185" s="310"/>
      <c r="G185" s="312"/>
      <c r="H185" s="313"/>
      <c r="I185" s="313"/>
      <c r="J185" s="313"/>
      <c r="K185" s="313"/>
      <c r="L185" s="313"/>
      <c r="M185" s="313"/>
      <c r="N185" s="313"/>
      <c r="O185" s="314"/>
      <c r="S185" s="657"/>
      <c r="T185" s="658"/>
      <c r="U185" s="658"/>
      <c r="V185" s="658"/>
      <c r="W185" s="658"/>
      <c r="X185" s="658"/>
      <c r="Y185" s="658"/>
      <c r="Z185" s="658"/>
      <c r="AA185" s="659"/>
    </row>
    <row r="186" spans="1:27" ht="18" customHeight="1" x14ac:dyDescent="0.25">
      <c r="A186" s="308">
        <f>IF(ISBLANK('Table 3-A| Emission Units'!A128),0,'Table 3-A| Emission Units'!A128&amp;"-"&amp;'Table 3-A| Emission Units'!B128)</f>
        <v>0</v>
      </c>
      <c r="B186" s="309">
        <f>IF(OR(ISBLANK('Table 3-A| Emission Units'!C128),ISTEXT('Table 3-A| Emission Units'!C128)),0,'Table 3-A| Emission Units'!C128)</f>
        <v>0</v>
      </c>
      <c r="C186" s="310"/>
      <c r="D186" s="247"/>
      <c r="E186" s="311">
        <f t="shared" si="176"/>
        <v>0</v>
      </c>
      <c r="F186" s="310"/>
      <c r="G186" s="312"/>
      <c r="H186" s="313"/>
      <c r="I186" s="313"/>
      <c r="J186" s="313"/>
      <c r="K186" s="313"/>
      <c r="L186" s="313"/>
      <c r="M186" s="313"/>
      <c r="N186" s="313"/>
      <c r="O186" s="314"/>
      <c r="S186" s="657"/>
      <c r="T186" s="658"/>
      <c r="U186" s="658"/>
      <c r="V186" s="658"/>
      <c r="W186" s="658"/>
      <c r="X186" s="658"/>
      <c r="Y186" s="658"/>
      <c r="Z186" s="658"/>
      <c r="AA186" s="659"/>
    </row>
    <row r="187" spans="1:27" ht="18" customHeight="1" x14ac:dyDescent="0.25">
      <c r="A187" s="308">
        <f>IF(ISBLANK('Table 3-A| Emission Units'!A129),0,'Table 3-A| Emission Units'!A129&amp;"-"&amp;'Table 3-A| Emission Units'!B129)</f>
        <v>0</v>
      </c>
      <c r="B187" s="309">
        <f>IF(OR(ISBLANK('Table 3-A| Emission Units'!C129),ISTEXT('Table 3-A| Emission Units'!C129)),0,'Table 3-A| Emission Units'!C129)</f>
        <v>0</v>
      </c>
      <c r="C187" s="310"/>
      <c r="D187" s="247"/>
      <c r="E187" s="311">
        <f t="shared" si="176"/>
        <v>0</v>
      </c>
      <c r="F187" s="310"/>
      <c r="G187" s="312"/>
      <c r="H187" s="313"/>
      <c r="I187" s="313"/>
      <c r="J187" s="313"/>
      <c r="K187" s="313"/>
      <c r="L187" s="313"/>
      <c r="M187" s="313"/>
      <c r="N187" s="313"/>
      <c r="O187" s="314"/>
      <c r="S187" s="657"/>
      <c r="T187" s="658"/>
      <c r="U187" s="658"/>
      <c r="V187" s="658"/>
      <c r="W187" s="658"/>
      <c r="X187" s="658"/>
      <c r="Y187" s="658"/>
      <c r="Z187" s="658"/>
      <c r="AA187" s="659"/>
    </row>
    <row r="188" spans="1:27" ht="18" customHeight="1" thickBot="1" x14ac:dyDescent="0.3">
      <c r="A188" s="315">
        <f>IF(ISBLANK('Table 3-A| Emission Units'!A130),0,'Table 3-A| Emission Units'!A130&amp;"-"&amp;'Table 3-A| Emission Units'!B130)</f>
        <v>0</v>
      </c>
      <c r="B188" s="316">
        <f>IF(OR(ISBLANK('Table 3-A| Emission Units'!C130),ISTEXT('Table 3-A| Emission Units'!C130)),0,'Table 3-A| Emission Units'!C130)</f>
        <v>0</v>
      </c>
      <c r="C188" s="317"/>
      <c r="D188" s="249"/>
      <c r="E188" s="318">
        <f t="shared" si="176"/>
        <v>0</v>
      </c>
      <c r="F188" s="317"/>
      <c r="G188" s="319"/>
      <c r="H188" s="320"/>
      <c r="I188" s="320"/>
      <c r="J188" s="320"/>
      <c r="K188" s="320"/>
      <c r="L188" s="320"/>
      <c r="M188" s="320"/>
      <c r="N188" s="320"/>
      <c r="O188" s="321"/>
      <c r="S188" s="660"/>
      <c r="T188" s="661"/>
      <c r="U188" s="661"/>
      <c r="V188" s="661"/>
      <c r="W188" s="661"/>
      <c r="X188" s="661"/>
      <c r="Y188" s="661"/>
      <c r="Z188" s="661"/>
      <c r="AA188" s="662"/>
    </row>
  </sheetData>
  <sheetProtection algorithmName="SHA-512" hashValue="YaFtyOiHl2/QoodaIjktS/PIe+h2MFNuFR7AHCkLMP0E6oVZqcUESx5LcAFI2S5kq54V4jtgqRK+y9jS+T0p4g==" saltValue="OCiJCn+evDQUsF3RipIc2g==" spinCount="100000" sheet="1" objects="1" scenarios="1"/>
  <mergeCells count="115">
    <mergeCell ref="S124:AA124"/>
    <mergeCell ref="S126:AA126"/>
    <mergeCell ref="S131:AA131"/>
    <mergeCell ref="S140:AA140"/>
    <mergeCell ref="S145:AA145"/>
    <mergeCell ref="AC166:AE166"/>
    <mergeCell ref="AC167:AE167"/>
    <mergeCell ref="P166:R171"/>
    <mergeCell ref="AC160:AE160"/>
    <mergeCell ref="AC161:AE161"/>
    <mergeCell ref="AC162:AE162"/>
    <mergeCell ref="AC164:AE164"/>
    <mergeCell ref="AC165:AE165"/>
    <mergeCell ref="S150:AA150"/>
    <mergeCell ref="S155:AA155"/>
    <mergeCell ref="S160:AA160"/>
    <mergeCell ref="AC154:AE154"/>
    <mergeCell ref="AC159:AE159"/>
    <mergeCell ref="AC150:AE150"/>
    <mergeCell ref="AC151:AE151"/>
    <mergeCell ref="AC153:AE153"/>
    <mergeCell ref="AD134:AO134"/>
    <mergeCell ref="AD124:AO124"/>
    <mergeCell ref="AD138:AO138"/>
    <mergeCell ref="B4:I5"/>
    <mergeCell ref="A4:A5"/>
    <mergeCell ref="B6:I6"/>
    <mergeCell ref="C15:I15"/>
    <mergeCell ref="C27:I27"/>
    <mergeCell ref="B22:H22"/>
    <mergeCell ref="C23:I23"/>
    <mergeCell ref="E9:I10"/>
    <mergeCell ref="C18:I18"/>
    <mergeCell ref="C16:I16"/>
    <mergeCell ref="C17:I17"/>
    <mergeCell ref="A9:A10"/>
    <mergeCell ref="B11:I11"/>
    <mergeCell ref="B9:B10"/>
    <mergeCell ref="C9:D10"/>
    <mergeCell ref="A94:O94"/>
    <mergeCell ref="AD120:AO120"/>
    <mergeCell ref="K30:O31"/>
    <mergeCell ref="C31:I31"/>
    <mergeCell ref="C30:I30"/>
    <mergeCell ref="C28:I28"/>
    <mergeCell ref="C29:I29"/>
    <mergeCell ref="C59:I59"/>
    <mergeCell ref="G92:H92"/>
    <mergeCell ref="M64:O64"/>
    <mergeCell ref="A63:O63"/>
    <mergeCell ref="B64:C64"/>
    <mergeCell ref="C43:I43"/>
    <mergeCell ref="C47:I47"/>
    <mergeCell ref="C51:I51"/>
    <mergeCell ref="AD128:AO128"/>
    <mergeCell ref="AD142:AO142"/>
    <mergeCell ref="B34:H34"/>
    <mergeCell ref="P34:T34"/>
    <mergeCell ref="C35:I35"/>
    <mergeCell ref="C39:I39"/>
    <mergeCell ref="D64:F64"/>
    <mergeCell ref="G64:I64"/>
    <mergeCell ref="J64:L64"/>
    <mergeCell ref="A83:O83"/>
    <mergeCell ref="A74:O74"/>
    <mergeCell ref="S121:AA121"/>
    <mergeCell ref="AD99:AF99"/>
    <mergeCell ref="AC98:AO98"/>
    <mergeCell ref="S100:AA100"/>
    <mergeCell ref="S107:AA107"/>
    <mergeCell ref="S114:AA114"/>
    <mergeCell ref="A97:O97"/>
    <mergeCell ref="A98:O98"/>
    <mergeCell ref="S98:AA98"/>
    <mergeCell ref="C55:I55"/>
    <mergeCell ref="A65:O65"/>
    <mergeCell ref="A62:O62"/>
    <mergeCell ref="N92:O92"/>
    <mergeCell ref="A165:O165"/>
    <mergeCell ref="A126:O126"/>
    <mergeCell ref="A131:O131"/>
    <mergeCell ref="A140:O140"/>
    <mergeCell ref="A145:O145"/>
    <mergeCell ref="A150:O150"/>
    <mergeCell ref="A100:O100"/>
    <mergeCell ref="A107:O107"/>
    <mergeCell ref="A114:O114"/>
    <mergeCell ref="A121:O121"/>
    <mergeCell ref="A124:O124"/>
    <mergeCell ref="A155:O155"/>
    <mergeCell ref="A160:O160"/>
    <mergeCell ref="A1:O1"/>
    <mergeCell ref="A96:O96"/>
    <mergeCell ref="N87:O87"/>
    <mergeCell ref="N88:O88"/>
    <mergeCell ref="N89:O89"/>
    <mergeCell ref="N90:O90"/>
    <mergeCell ref="N91:O91"/>
    <mergeCell ref="A2:O2"/>
    <mergeCell ref="B3:O3"/>
    <mergeCell ref="A84:O84"/>
    <mergeCell ref="E86:F86"/>
    <mergeCell ref="N86:O86"/>
    <mergeCell ref="A67:O67"/>
    <mergeCell ref="A76:O76"/>
    <mergeCell ref="A61:O61"/>
    <mergeCell ref="A95:O95"/>
    <mergeCell ref="C19:I19"/>
    <mergeCell ref="J13:O13"/>
    <mergeCell ref="J21:O21"/>
    <mergeCell ref="J25:O25"/>
    <mergeCell ref="K18:O19"/>
    <mergeCell ref="B14:H14"/>
    <mergeCell ref="B26:H26"/>
    <mergeCell ref="A93:O93"/>
  </mergeCells>
  <conditionalFormatting sqref="A101:O188">
    <cfRule type="expression" dxfId="232" priority="122">
      <formula>$A101=0</formula>
    </cfRule>
  </conditionalFormatting>
  <conditionalFormatting sqref="B68:B82 B101:B188">
    <cfRule type="expression" dxfId="231" priority="126">
      <formula>B68&gt;99999999</formula>
    </cfRule>
  </conditionalFormatting>
  <conditionalFormatting sqref="C68:C82 E68:E82 C101:C188 E101:E188">
    <cfRule type="cellIs" dxfId="230" priority="128" stopIfTrue="1" operator="greaterThanOrEqual">
      <formula>1000</formula>
    </cfRule>
    <cfRule type="cellIs" dxfId="229" priority="129" stopIfTrue="1" operator="equal">
      <formula>0</formula>
    </cfRule>
    <cfRule type="cellIs" dxfId="228" priority="141" stopIfTrue="1" operator="lessThan">
      <formula>1</formula>
    </cfRule>
  </conditionalFormatting>
  <conditionalFormatting sqref="C101:C188 E101:E188 C68:C82 E68:E82">
    <cfRule type="cellIs" dxfId="227" priority="127" stopIfTrue="1" operator="greaterThanOrEqual">
      <formula>1000000</formula>
    </cfRule>
  </conditionalFormatting>
  <conditionalFormatting sqref="C166:D188">
    <cfRule type="expression" dxfId="226" priority="125">
      <formula>ISBLANK(C166)</formula>
    </cfRule>
  </conditionalFormatting>
  <conditionalFormatting sqref="C16:O16 C28:O28">
    <cfRule type="expression" dxfId="225" priority="104">
      <formula>$A$122=0</formula>
    </cfRule>
  </conditionalFormatting>
  <conditionalFormatting sqref="C17:O17 C29:O29">
    <cfRule type="expression" dxfId="224" priority="103">
      <formula>$A$123=0</formula>
    </cfRule>
  </conditionalFormatting>
  <conditionalFormatting sqref="G68:O73 G77:O82 G101:O188">
    <cfRule type="cellIs" dxfId="223" priority="147" stopIfTrue="1" operator="greaterThanOrEqual">
      <formula>1000</formula>
    </cfRule>
    <cfRule type="cellIs" dxfId="222" priority="195" stopIfTrue="1" operator="equal">
      <formula>0</formula>
    </cfRule>
    <cfRule type="cellIs" dxfId="221" priority="741" stopIfTrue="1" operator="lessThan">
      <formula>1</formula>
    </cfRule>
  </conditionalFormatting>
  <conditionalFormatting sqref="G101:O188 G68:O73 G77:O82">
    <cfRule type="cellIs" dxfId="220" priority="143" stopIfTrue="1" operator="greaterThanOrEqual">
      <formula>1000000</formula>
    </cfRule>
  </conditionalFormatting>
  <conditionalFormatting sqref="J18:J19">
    <cfRule type="expression" dxfId="219" priority="117">
      <formula>ISBLANK(J18)</formula>
    </cfRule>
  </conditionalFormatting>
  <conditionalFormatting sqref="J30:J31">
    <cfRule type="expression" dxfId="218" priority="121">
      <formula>ISBLANK(J30)</formula>
    </cfRule>
  </conditionalFormatting>
  <conditionalFormatting sqref="J35">
    <cfRule type="expression" dxfId="217" priority="50">
      <formula>AND(NOT($J34=0),ISBLANK($J35))</formula>
    </cfRule>
  </conditionalFormatting>
  <conditionalFormatting sqref="J39">
    <cfRule type="expression" dxfId="216" priority="40">
      <formula>AND(NOT($J38=0),ISBLANK($J39))</formula>
    </cfRule>
  </conditionalFormatting>
  <conditionalFormatting sqref="J43">
    <cfRule type="expression" dxfId="215" priority="25">
      <formula>AND(NOT($J42=0),ISBLANK($J43))</formula>
    </cfRule>
  </conditionalFormatting>
  <conditionalFormatting sqref="J47">
    <cfRule type="expression" dxfId="214" priority="20">
      <formula>AND(NOT($J46=0),ISBLANK($J47))</formula>
    </cfRule>
  </conditionalFormatting>
  <conditionalFormatting sqref="J51">
    <cfRule type="expression" dxfId="213" priority="15">
      <formula>AND(NOT($J50=0),ISBLANK($J51))</formula>
    </cfRule>
  </conditionalFormatting>
  <conditionalFormatting sqref="J55">
    <cfRule type="expression" dxfId="212" priority="10">
      <formula>AND(NOT($J54=0),ISBLANK($J55))</formula>
    </cfRule>
  </conditionalFormatting>
  <conditionalFormatting sqref="J59">
    <cfRule type="expression" dxfId="211" priority="5">
      <formula>AND(NOT($J58=0),ISBLANK($J59))</formula>
    </cfRule>
  </conditionalFormatting>
  <conditionalFormatting sqref="J5:N5">
    <cfRule type="expression" dxfId="210" priority="112">
      <formula>ISTEXT(J5)</formula>
    </cfRule>
    <cfRule type="containsBlanks" dxfId="209" priority="742">
      <formula>LEN(TRIM(J5))=0</formula>
    </cfRule>
  </conditionalFormatting>
  <conditionalFormatting sqref="J10:N10">
    <cfRule type="expression" dxfId="208" priority="2">
      <formula>ISTEXT(J10)</formula>
    </cfRule>
    <cfRule type="containsBlanks" dxfId="207" priority="3">
      <formula>LEN(TRIM(J10))=0</formula>
    </cfRule>
  </conditionalFormatting>
  <conditionalFormatting sqref="J14:O17">
    <cfRule type="expression" dxfId="206" priority="114">
      <formula>J$14=0</formula>
    </cfRule>
  </conditionalFormatting>
  <conditionalFormatting sqref="J15:O17">
    <cfRule type="expression" dxfId="205" priority="115">
      <formula>AND(NOT(J$14=0),ISBLANK(J15))</formula>
    </cfRule>
  </conditionalFormatting>
  <conditionalFormatting sqref="J22:O23">
    <cfRule type="expression" dxfId="204" priority="106">
      <formula>J$22=0</formula>
    </cfRule>
  </conditionalFormatting>
  <conditionalFormatting sqref="J23:O23">
    <cfRule type="expression" dxfId="203" priority="107">
      <formula>AND(NOT(J$22=0),ISBLANK(J23))</formula>
    </cfRule>
  </conditionalFormatting>
  <conditionalFormatting sqref="J26:O29">
    <cfRule type="expression" dxfId="202" priority="118">
      <formula>J$26=0</formula>
    </cfRule>
  </conditionalFormatting>
  <conditionalFormatting sqref="J27:O29">
    <cfRule type="expression" dxfId="201" priority="119">
      <formula>AND(NOT(J$26=0),ISBLANK(J27))</formula>
    </cfRule>
  </conditionalFormatting>
  <conditionalFormatting sqref="J34:Y34 B35:Y35">
    <cfRule type="expression" dxfId="200" priority="46">
      <formula>$J$34=0</formula>
    </cfRule>
  </conditionalFormatting>
  <conditionalFormatting sqref="J38:Y38 B39:Y39">
    <cfRule type="expression" dxfId="199" priority="39">
      <formula>$J$38=0</formula>
    </cfRule>
  </conditionalFormatting>
  <conditionalFormatting sqref="J42:Y42 B43:Y43">
    <cfRule type="expression" dxfId="198" priority="24">
      <formula>$J$42=0</formula>
    </cfRule>
  </conditionalFormatting>
  <conditionalFormatting sqref="J46:Y46 B47:Y47">
    <cfRule type="expression" dxfId="197" priority="19">
      <formula>$J$46=0</formula>
    </cfRule>
  </conditionalFormatting>
  <conditionalFormatting sqref="J50:Y50 B51:Y51">
    <cfRule type="expression" dxfId="196" priority="14">
      <formula>$J$50=0</formula>
    </cfRule>
  </conditionalFormatting>
  <conditionalFormatting sqref="J54:Y54 B55:Y55">
    <cfRule type="expression" dxfId="195" priority="9">
      <formula>$J$54=0</formula>
    </cfRule>
  </conditionalFormatting>
  <conditionalFormatting sqref="J58:Y58 B59:Y59">
    <cfRule type="expression" dxfId="194" priority="4">
      <formula>$J$58=0</formula>
    </cfRule>
  </conditionalFormatting>
  <conditionalFormatting sqref="L34:O35">
    <cfRule type="expression" dxfId="193" priority="73">
      <formula>J$34=0</formula>
    </cfRule>
  </conditionalFormatting>
  <conditionalFormatting sqref="L35:O35">
    <cfRule type="expression" dxfId="192" priority="99">
      <formula>AND(NOT(L34=0),ISBLANK(L35))</formula>
    </cfRule>
  </conditionalFormatting>
  <conditionalFormatting sqref="L38:O39">
    <cfRule type="expression" dxfId="191" priority="43">
      <formula>L$38=0</formula>
    </cfRule>
  </conditionalFormatting>
  <conditionalFormatting sqref="L39:O39">
    <cfRule type="expression" dxfId="190" priority="48">
      <formula>AND(NOT(L$38=0),ISBLANK(L39))</formula>
    </cfRule>
  </conditionalFormatting>
  <conditionalFormatting sqref="L42:O43">
    <cfRule type="expression" dxfId="189" priority="26">
      <formula>L$42=0</formula>
    </cfRule>
  </conditionalFormatting>
  <conditionalFormatting sqref="L43:O43">
    <cfRule type="expression" dxfId="188" priority="28">
      <formula>AND(NOT(L$42=0),ISBLANK(L43))</formula>
    </cfRule>
  </conditionalFormatting>
  <conditionalFormatting sqref="L46:O47">
    <cfRule type="expression" dxfId="187" priority="21">
      <formula>L$46=0</formula>
    </cfRule>
  </conditionalFormatting>
  <conditionalFormatting sqref="L47:O47">
    <cfRule type="expression" dxfId="186" priority="23">
      <formula>AND(NOT(L$46=0),ISBLANK(L47))</formula>
    </cfRule>
  </conditionalFormatting>
  <conditionalFormatting sqref="L50:O51">
    <cfRule type="expression" dxfId="185" priority="16">
      <formula>L$50=0</formula>
    </cfRule>
  </conditionalFormatting>
  <conditionalFormatting sqref="L51:O51">
    <cfRule type="expression" dxfId="184" priority="18">
      <formula>AND(NOT(L$50=0),ISBLANK(L51))</formula>
    </cfRule>
  </conditionalFormatting>
  <conditionalFormatting sqref="L54:O55">
    <cfRule type="expression" dxfId="183" priority="11">
      <formula>L$54=0</formula>
    </cfRule>
  </conditionalFormatting>
  <conditionalFormatting sqref="L55:O55">
    <cfRule type="expression" dxfId="182" priority="13">
      <formula>AND(NOT(L$54=0),ISBLANK(L55))</formula>
    </cfRule>
  </conditionalFormatting>
  <conditionalFormatting sqref="L58:O59">
    <cfRule type="expression" dxfId="181" priority="6">
      <formula>L$58=0</formula>
    </cfRule>
  </conditionalFormatting>
  <conditionalFormatting sqref="L59:O59">
    <cfRule type="expression" dxfId="180" priority="8">
      <formula>AND(NOT(L$58=0),ISBLANK(L59))</formula>
    </cfRule>
  </conditionalFormatting>
  <conditionalFormatting sqref="L34:Y35">
    <cfRule type="expression" dxfId="179" priority="74">
      <formula>AND(NOT($L$34=0),$M$34=0,$N$34=0,$O$34=0)</formula>
    </cfRule>
  </conditionalFormatting>
  <conditionalFormatting sqref="L38:Y39">
    <cfRule type="expression" dxfId="178" priority="47">
      <formula>AND(NOT($L$38=0),$M$38=0,$N$38=0,$O$38=0)</formula>
    </cfRule>
  </conditionalFormatting>
  <conditionalFormatting sqref="L42:Y43">
    <cfRule type="expression" dxfId="177" priority="27">
      <formula>AND(NOT($L$42=0),$M$42=0,$N$42=0,$O$42=0)</formula>
    </cfRule>
  </conditionalFormatting>
  <conditionalFormatting sqref="L46:Y47">
    <cfRule type="expression" dxfId="176" priority="22">
      <formula>AND(NOT($L$46=0),$M$46=0,$N$46=0,$O$46=0)</formula>
    </cfRule>
  </conditionalFormatting>
  <conditionalFormatting sqref="L50:Y51">
    <cfRule type="expression" dxfId="175" priority="17">
      <formula>AND(NOT($L$50=0),$M$50=0,$N$50=0,$O$50=0)</formula>
    </cfRule>
  </conditionalFormatting>
  <conditionalFormatting sqref="L54:Y55">
    <cfRule type="expression" dxfId="174" priority="12">
      <formula>AND(NOT($L$54=0),$M$54=0,$N$54=0,$O$54=0)</formula>
    </cfRule>
  </conditionalFormatting>
  <conditionalFormatting sqref="L58:Y59">
    <cfRule type="expression" dxfId="173" priority="7">
      <formula>AND(NOT($L$58=0),$M$58=0,$N$58=0,$O$58=0)</formula>
    </cfRule>
  </conditionalFormatting>
  <conditionalFormatting sqref="P15">
    <cfRule type="cellIs" dxfId="172" priority="72" operator="equal">
      <formula>1</formula>
    </cfRule>
  </conditionalFormatting>
  <conditionalFormatting sqref="P23">
    <cfRule type="cellIs" dxfId="171" priority="71" operator="equal">
      <formula>1</formula>
    </cfRule>
  </conditionalFormatting>
  <conditionalFormatting sqref="P27">
    <cfRule type="cellIs" dxfId="170" priority="70" operator="equal">
      <formula>1</formula>
    </cfRule>
  </conditionalFormatting>
  <conditionalFormatting sqref="P35">
    <cfRule type="cellIs" dxfId="169" priority="69" operator="equal">
      <formula>1</formula>
    </cfRule>
  </conditionalFormatting>
  <conditionalFormatting sqref="P39">
    <cfRule type="cellIs" dxfId="168" priority="66" operator="equal">
      <formula>1</formula>
    </cfRule>
  </conditionalFormatting>
  <conditionalFormatting sqref="P43">
    <cfRule type="cellIs" dxfId="167" priority="63" operator="equal">
      <formula>1</formula>
    </cfRule>
  </conditionalFormatting>
  <conditionalFormatting sqref="P47">
    <cfRule type="cellIs" dxfId="166" priority="60" operator="equal">
      <formula>1</formula>
    </cfRule>
  </conditionalFormatting>
  <conditionalFormatting sqref="P51">
    <cfRule type="cellIs" dxfId="165" priority="57" operator="equal">
      <formula>1</formula>
    </cfRule>
  </conditionalFormatting>
  <conditionalFormatting sqref="P55">
    <cfRule type="cellIs" dxfId="164" priority="54" operator="equal">
      <formula>1</formula>
    </cfRule>
  </conditionalFormatting>
  <conditionalFormatting sqref="P59">
    <cfRule type="cellIs" dxfId="163" priority="51" operator="equal">
      <formula>1</formula>
    </cfRule>
  </conditionalFormatting>
  <conditionalFormatting sqref="P15:T15">
    <cfRule type="expression" dxfId="162" priority="111">
      <formula>OR($P$15&gt;1,$P$15&lt;1)</formula>
    </cfRule>
  </conditionalFormatting>
  <conditionalFormatting sqref="P23:T23">
    <cfRule type="expression" dxfId="161" priority="105">
      <formula>OR($P$23&gt;1,$P$23&lt;1)</formula>
    </cfRule>
  </conditionalFormatting>
  <conditionalFormatting sqref="P27:T27">
    <cfRule type="expression" dxfId="160" priority="108">
      <formula>OR($P$27&gt;1,$P$27&lt;1)</formula>
    </cfRule>
  </conditionalFormatting>
  <conditionalFormatting sqref="P35:T35">
    <cfRule type="expression" dxfId="159" priority="94">
      <formula>OR($P$35&gt;1,$P$35&lt;1)</formula>
    </cfRule>
  </conditionalFormatting>
  <conditionalFormatting sqref="P39:T39">
    <cfRule type="expression" dxfId="158" priority="86">
      <formula>OR($P$39&gt;1,$P$39&lt;1)</formula>
    </cfRule>
  </conditionalFormatting>
  <conditionalFormatting sqref="P43:T43">
    <cfRule type="expression" dxfId="157" priority="65">
      <formula>OR($P$43&gt;1,$P$43&lt;1)</formula>
    </cfRule>
  </conditionalFormatting>
  <conditionalFormatting sqref="P47:T47">
    <cfRule type="expression" dxfId="156" priority="62">
      <formula>OR($P$47&gt;1,$P$47&lt;1)</formula>
    </cfRule>
  </conditionalFormatting>
  <conditionalFormatting sqref="P51:T51">
    <cfRule type="expression" dxfId="155" priority="59">
      <formula>OR($P$51&gt;1,$P$51&lt;1)</formula>
    </cfRule>
  </conditionalFormatting>
  <conditionalFormatting sqref="P55:T55">
    <cfRule type="expression" dxfId="154" priority="56">
      <formula>OR($P$55&gt;1,$P$55&lt;1)</formula>
    </cfRule>
  </conditionalFormatting>
  <conditionalFormatting sqref="P59:T59">
    <cfRule type="expression" dxfId="153" priority="53">
      <formula>OR($P$59&gt;1,$P$59&lt;1)</formula>
    </cfRule>
  </conditionalFormatting>
  <conditionalFormatting sqref="P15:Y15">
    <cfRule type="expression" dxfId="152" priority="93">
      <formula>$Q$15=$AA$14</formula>
    </cfRule>
  </conditionalFormatting>
  <conditionalFormatting sqref="P23:Y23">
    <cfRule type="expression" dxfId="151" priority="91">
      <formula>$Q$23=$AA$14</formula>
    </cfRule>
  </conditionalFormatting>
  <conditionalFormatting sqref="P27:Y27">
    <cfRule type="expression" dxfId="150" priority="89">
      <formula>$Q$27=$AA$14</formula>
    </cfRule>
  </conditionalFormatting>
  <conditionalFormatting sqref="P35:Y35">
    <cfRule type="expression" dxfId="149" priority="87">
      <formula>$Q$35=$AA$14</formula>
    </cfRule>
  </conditionalFormatting>
  <conditionalFormatting sqref="P39:Y39">
    <cfRule type="expression" dxfId="148" priority="85">
      <formula>$Q$39=$AA$14</formula>
    </cfRule>
  </conditionalFormatting>
  <conditionalFormatting sqref="P43:Y43">
    <cfRule type="expression" dxfId="147" priority="64">
      <formula>$Q$43=$AA$14</formula>
    </cfRule>
  </conditionalFormatting>
  <conditionalFormatting sqref="P47:Y47">
    <cfRule type="expression" dxfId="146" priority="61">
      <formula>$Q$47=$AA$14</formula>
    </cfRule>
  </conditionalFormatting>
  <conditionalFormatting sqref="P51:Y51">
    <cfRule type="expression" dxfId="145" priority="58">
      <formula>$Q$51=$AA$14</formula>
    </cfRule>
  </conditionalFormatting>
  <conditionalFormatting sqref="P55:Y55">
    <cfRule type="expression" dxfId="144" priority="55">
      <formula>$Q$55=$AA$14</formula>
    </cfRule>
  </conditionalFormatting>
  <conditionalFormatting sqref="P59:Y59">
    <cfRule type="expression" dxfId="143" priority="52">
      <formula>$Q$59=$AA$14</formula>
    </cfRule>
  </conditionalFormatting>
  <conditionalFormatting sqref="S101:AA164">
    <cfRule type="cellIs" dxfId="142" priority="124" operator="equal">
      <formula>0</formula>
    </cfRule>
  </conditionalFormatting>
  <conditionalFormatting sqref="AG100:AO116">
    <cfRule type="cellIs" dxfId="141" priority="123" operator="equal">
      <formula>0</formula>
    </cfRule>
  </conditionalFormatting>
  <dataValidations count="1">
    <dataValidation type="list" errorStyle="warning" allowBlank="1" showInputMessage="1" showErrorMessage="1" errorTitle="Error" error="You must select an emission factor source or calculation method." prompt="Select the source of the emission factor or the calculation method used to determine emissions for this emission unit." sqref="F166:F188" xr:uid="{00000000-0002-0000-0900-000000000000}">
      <formula1>$T$86:$T$90</formula1>
    </dataValidation>
  </dataValidations>
  <printOptions horizontalCentered="1"/>
  <pageMargins left="0.5" right="0.5" top="0.5" bottom="0.5" header="0.3" footer="0.3"/>
  <pageSetup scale="69" fitToHeight="3" orientation="landscape" r:id="rId1"/>
  <headerFooter>
    <oddFooter>&amp;LRev. 7/2013&amp;C&amp;A&amp;RPage &amp;P</oddFooter>
  </headerFooter>
  <rowBreaks count="2" manualBreakCount="2">
    <brk id="130" max="14" man="1"/>
    <brk id="164" max="14" man="1"/>
  </rowBreaks>
  <ignoredErrors>
    <ignoredError sqref="G133:O139" formula="1"/>
    <ignoredError sqref="Q35 Q43 Q39 Q59 Q55 Q51 Q47" formulaRange="1"/>
  </ignoredErrors>
  <drawing r:id="rId2"/>
  <legacyDrawing r:id="rId3"/>
  <oleObjects>
    <mc:AlternateContent xmlns:mc="http://schemas.openxmlformats.org/markup-compatibility/2006">
      <mc:Choice Requires="x14">
        <oleObject progId="Equation.3" shapeId="39937" r:id="rId4">
          <objectPr defaultSize="0" autoPict="0" r:id="rId5">
            <anchor moveWithCells="1">
              <from>
                <xdr:col>28</xdr:col>
                <xdr:colOff>38100</xdr:colOff>
                <xdr:row>147</xdr:row>
                <xdr:rowOff>104775</xdr:rowOff>
              </from>
              <to>
                <xdr:col>30</xdr:col>
                <xdr:colOff>514350</xdr:colOff>
                <xdr:row>148</xdr:row>
                <xdr:rowOff>190500</xdr:rowOff>
              </to>
            </anchor>
          </objectPr>
        </oleObject>
      </mc:Choice>
      <mc:Fallback>
        <oleObject progId="Equation.3" shapeId="39937" r:id="rId4"/>
      </mc:Fallback>
    </mc:AlternateContent>
    <mc:AlternateContent xmlns:mc="http://schemas.openxmlformats.org/markup-compatibility/2006">
      <mc:Choice Requires="x14">
        <oleObject progId="Equation.3" shapeId="39938" r:id="rId6">
          <objectPr defaultSize="0" autoPict="0" r:id="rId7">
            <anchor moveWithCells="1">
              <from>
                <xdr:col>28</xdr:col>
                <xdr:colOff>47625</xdr:colOff>
                <xdr:row>156</xdr:row>
                <xdr:rowOff>0</xdr:rowOff>
              </from>
              <to>
                <xdr:col>30</xdr:col>
                <xdr:colOff>514350</xdr:colOff>
                <xdr:row>158</xdr:row>
                <xdr:rowOff>28575</xdr:rowOff>
              </to>
            </anchor>
          </objectPr>
        </oleObject>
      </mc:Choice>
      <mc:Fallback>
        <oleObject progId="Equation.3" shapeId="39938" r:id="rId6"/>
      </mc:Fallback>
    </mc:AlternateContent>
  </oleObjects>
  <extLst>
    <ext xmlns:x14="http://schemas.microsoft.com/office/spreadsheetml/2009/9/main" uri="{78C0D931-6437-407d-A8EE-F0AAD7539E65}">
      <x14:conditionalFormattings>
        <x14:conditionalFormatting xmlns:xm="http://schemas.microsoft.com/office/excel/2006/main">
          <x14:cfRule type="expression" priority="1" id="{045F8702-5A6A-4237-BE4A-41A769AEE6E7}">
            <xm:f>AND('Table 3-A| Emission Units'!$J$12=TRUE,'Table 3-A| Emission Units'!$K$12=TRUE)</xm:f>
            <x14:dxf>
              <font>
                <color theme="0" tint="-0.14996795556505021"/>
              </font>
              <fill>
                <patternFill>
                  <bgColor theme="0" tint="-0.14996795556505021"/>
                </patternFill>
              </fill>
              <border>
                <left/>
                <right/>
                <top/>
                <bottom/>
                <vertical/>
                <horizontal/>
              </border>
            </x14:dxf>
          </x14:cfRule>
          <xm:sqref>A9:N11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tabColor rgb="FF002060"/>
    <pageSetUpPr fitToPage="1"/>
  </sheetPr>
  <dimension ref="A1:N63"/>
  <sheetViews>
    <sheetView showGridLines="0" zoomScaleNormal="100" workbookViewId="0">
      <selection sqref="A1:K1"/>
    </sheetView>
  </sheetViews>
  <sheetFormatPr defaultRowHeight="14.25" x14ac:dyDescent="0.2"/>
  <cols>
    <col min="1" max="1" width="30.7109375" style="99" customWidth="1"/>
    <col min="2" max="2" width="21.7109375" style="99" customWidth="1"/>
    <col min="3" max="3" width="13.7109375" style="99" customWidth="1"/>
    <col min="4" max="4" width="19.7109375" style="99" customWidth="1"/>
    <col min="5" max="6" width="12.7109375" style="99" customWidth="1"/>
    <col min="7" max="8" width="11.7109375" style="99" customWidth="1"/>
    <col min="9" max="9" width="13.28515625" style="99" customWidth="1"/>
    <col min="10" max="10" width="13.28515625" style="113" customWidth="1"/>
    <col min="11" max="11" width="13.28515625" style="99" customWidth="1"/>
    <col min="12" max="14" width="9.140625" style="99" customWidth="1"/>
    <col min="15" max="16384" width="9.140625" style="99"/>
  </cols>
  <sheetData>
    <row r="1" spans="1:14" s="69" customFormat="1" ht="26.25" customHeight="1" thickBot="1" x14ac:dyDescent="0.3">
      <c r="A1" s="1122" t="s">
        <v>2113</v>
      </c>
      <c r="B1" s="1122"/>
      <c r="C1" s="1122"/>
      <c r="D1" s="1122"/>
      <c r="E1" s="1122"/>
      <c r="F1" s="1122"/>
      <c r="G1" s="1122"/>
      <c r="H1" s="1122"/>
      <c r="I1" s="1122"/>
      <c r="J1" s="1122"/>
      <c r="K1" s="1122"/>
      <c r="L1" s="79"/>
      <c r="M1" s="79"/>
      <c r="N1" s="79"/>
    </row>
    <row r="2" spans="1:14" s="164" customFormat="1" ht="35.1" customHeight="1" x14ac:dyDescent="0.25">
      <c r="A2" s="1172" t="s">
        <v>1894</v>
      </c>
      <c r="B2" s="1172"/>
      <c r="C2" s="1172"/>
      <c r="D2" s="1172"/>
      <c r="E2" s="1172"/>
      <c r="F2" s="1172"/>
      <c r="G2" s="1172"/>
      <c r="H2" s="1172"/>
      <c r="I2" s="1172"/>
      <c r="J2" s="1172"/>
      <c r="K2" s="1172"/>
      <c r="L2" s="167"/>
      <c r="M2" s="167"/>
    </row>
    <row r="3" spans="1:14" s="164" customFormat="1" ht="20.100000000000001" customHeight="1" x14ac:dyDescent="0.25">
      <c r="A3" s="165">
        <v>1</v>
      </c>
      <c r="B3" s="1173" t="s">
        <v>1540</v>
      </c>
      <c r="C3" s="1173"/>
      <c r="D3" s="1173"/>
      <c r="E3" s="1173"/>
      <c r="F3" s="1173"/>
      <c r="G3" s="1173"/>
      <c r="H3" s="1173"/>
      <c r="I3" s="1173"/>
      <c r="J3" s="1173"/>
      <c r="K3" s="1173"/>
      <c r="L3" s="168"/>
      <c r="M3" s="168"/>
    </row>
    <row r="4" spans="1:14" s="164" customFormat="1" ht="20.100000000000001" customHeight="1" x14ac:dyDescent="0.25">
      <c r="A4" s="165">
        <v>2</v>
      </c>
      <c r="B4" s="1173" t="s">
        <v>1541</v>
      </c>
      <c r="C4" s="1173"/>
      <c r="D4" s="1173"/>
      <c r="E4" s="1173"/>
      <c r="F4" s="1173"/>
      <c r="G4" s="1173"/>
      <c r="H4" s="1173"/>
      <c r="I4" s="1173"/>
      <c r="J4" s="1173"/>
      <c r="K4" s="1173"/>
      <c r="L4" s="168"/>
      <c r="M4" s="168"/>
    </row>
    <row r="5" spans="1:14" s="164" customFormat="1" ht="35.1" customHeight="1" x14ac:dyDescent="0.25">
      <c r="A5" s="165">
        <v>3</v>
      </c>
      <c r="B5" s="1173" t="s">
        <v>1895</v>
      </c>
      <c r="C5" s="1173"/>
      <c r="D5" s="1173"/>
      <c r="E5" s="1173"/>
      <c r="F5" s="1173"/>
      <c r="G5" s="1173"/>
      <c r="H5" s="1173"/>
      <c r="I5" s="1173"/>
      <c r="J5" s="1173"/>
      <c r="K5" s="1173"/>
      <c r="L5" s="168"/>
      <c r="M5" s="168"/>
    </row>
    <row r="6" spans="1:14" s="164" customFormat="1" ht="20.100000000000001" customHeight="1" x14ac:dyDescent="0.25">
      <c r="A6" s="165">
        <v>4</v>
      </c>
      <c r="B6" s="1173" t="s">
        <v>1896</v>
      </c>
      <c r="C6" s="1173"/>
      <c r="D6" s="1173"/>
      <c r="E6" s="1173"/>
      <c r="F6" s="1173"/>
      <c r="G6" s="1173"/>
      <c r="H6" s="1173"/>
      <c r="I6" s="1173"/>
      <c r="J6" s="1173"/>
      <c r="K6" s="1173"/>
      <c r="L6" s="168"/>
      <c r="M6" s="168"/>
    </row>
    <row r="7" spans="1:14" s="164" customFormat="1" ht="35.1" customHeight="1" x14ac:dyDescent="0.25">
      <c r="A7" s="165">
        <v>5</v>
      </c>
      <c r="B7" s="1173" t="s">
        <v>1897</v>
      </c>
      <c r="C7" s="1173"/>
      <c r="D7" s="1173"/>
      <c r="E7" s="1173"/>
      <c r="F7" s="1173"/>
      <c r="G7" s="1173"/>
      <c r="H7" s="1173"/>
      <c r="I7" s="1173"/>
      <c r="J7" s="1173"/>
      <c r="K7" s="1173"/>
      <c r="L7" s="168"/>
      <c r="M7" s="168"/>
    </row>
    <row r="8" spans="1:14" s="164" customFormat="1" ht="35.1" customHeight="1" x14ac:dyDescent="0.25">
      <c r="A8" s="165">
        <v>6</v>
      </c>
      <c r="B8" s="1173" t="s">
        <v>1553</v>
      </c>
      <c r="C8" s="1173"/>
      <c r="D8" s="1173"/>
      <c r="E8" s="1173"/>
      <c r="F8" s="1173"/>
      <c r="G8" s="1173"/>
      <c r="H8" s="1173"/>
      <c r="I8" s="1173"/>
      <c r="J8" s="1173"/>
      <c r="K8" s="1173"/>
      <c r="L8" s="168"/>
      <c r="M8" s="168"/>
    </row>
    <row r="9" spans="1:14" s="164" customFormat="1" ht="20.100000000000001" customHeight="1" x14ac:dyDescent="0.25">
      <c r="A9" s="165">
        <v>7</v>
      </c>
      <c r="B9" s="1173" t="s">
        <v>1542</v>
      </c>
      <c r="C9" s="1173"/>
      <c r="D9" s="1173"/>
      <c r="E9" s="1173"/>
      <c r="F9" s="1173"/>
      <c r="G9" s="1173"/>
      <c r="H9" s="1173"/>
      <c r="I9" s="1173"/>
      <c r="J9" s="1173"/>
      <c r="K9" s="1173"/>
      <c r="L9" s="168"/>
      <c r="M9" s="168"/>
    </row>
    <row r="10" spans="1:14" s="164" customFormat="1" ht="35.1" customHeight="1" x14ac:dyDescent="0.25">
      <c r="A10" s="165">
        <v>8</v>
      </c>
      <c r="B10" s="1173" t="s">
        <v>1808</v>
      </c>
      <c r="C10" s="1173"/>
      <c r="D10" s="1173"/>
      <c r="E10" s="1173"/>
      <c r="F10" s="1173"/>
      <c r="G10" s="1173"/>
      <c r="H10" s="1173"/>
      <c r="I10" s="1173"/>
      <c r="J10" s="1173"/>
      <c r="K10" s="1173"/>
      <c r="L10" s="168"/>
      <c r="M10" s="168"/>
    </row>
    <row r="11" spans="1:14" s="68" customFormat="1" ht="9" customHeight="1" thickBot="1" x14ac:dyDescent="0.3">
      <c r="A11" s="78"/>
      <c r="B11" s="78"/>
      <c r="C11" s="78"/>
      <c r="D11" s="78"/>
      <c r="E11" s="78"/>
      <c r="F11" s="78"/>
      <c r="G11" s="78"/>
      <c r="H11" s="78"/>
      <c r="I11" s="78"/>
      <c r="J11" s="78"/>
      <c r="K11" s="78"/>
      <c r="L11" s="78"/>
      <c r="M11" s="78"/>
    </row>
    <row r="12" spans="1:14" ht="30" customHeight="1" x14ac:dyDescent="0.2">
      <c r="A12" s="1230" t="s">
        <v>6</v>
      </c>
      <c r="B12" s="1232" t="s">
        <v>7</v>
      </c>
      <c r="C12" s="1228" t="s">
        <v>1893</v>
      </c>
      <c r="D12" s="1228" t="s">
        <v>8</v>
      </c>
      <c r="E12" s="503" t="s">
        <v>68</v>
      </c>
      <c r="F12" s="502" t="s">
        <v>9</v>
      </c>
      <c r="G12" s="1226" t="s">
        <v>19</v>
      </c>
      <c r="H12" s="1227"/>
      <c r="I12" s="501" t="s">
        <v>11</v>
      </c>
      <c r="J12" s="506" t="s">
        <v>12</v>
      </c>
      <c r="K12" s="98" t="s">
        <v>13</v>
      </c>
    </row>
    <row r="13" spans="1:14" ht="15" customHeight="1" thickBot="1" x14ac:dyDescent="0.25">
      <c r="A13" s="1231"/>
      <c r="B13" s="1233"/>
      <c r="C13" s="1229"/>
      <c r="D13" s="1229"/>
      <c r="E13" s="100" t="s">
        <v>14</v>
      </c>
      <c r="F13" s="101" t="s">
        <v>10</v>
      </c>
      <c r="G13" s="102" t="s">
        <v>16</v>
      </c>
      <c r="H13" s="100" t="s">
        <v>10</v>
      </c>
      <c r="I13" s="101" t="s">
        <v>15</v>
      </c>
      <c r="J13" s="103" t="s">
        <v>17</v>
      </c>
      <c r="K13" s="104" t="s">
        <v>15</v>
      </c>
    </row>
    <row r="14" spans="1:14" s="105" customFormat="1" ht="18" customHeight="1" x14ac:dyDescent="0.2">
      <c r="A14" s="331" t="s">
        <v>1543</v>
      </c>
      <c r="B14" s="332" t="s">
        <v>1544</v>
      </c>
      <c r="C14" s="510" t="s">
        <v>2186</v>
      </c>
      <c r="D14" s="332" t="s">
        <v>1545</v>
      </c>
      <c r="E14" s="333">
        <v>1000</v>
      </c>
      <c r="F14" s="334">
        <v>6.5</v>
      </c>
      <c r="G14" s="335">
        <v>0.25</v>
      </c>
      <c r="H14" s="512"/>
      <c r="I14" s="336">
        <f>IF(AND(ISBLANK(A14),ISBLANK(B14),ISBLANK(D14),ISNUMBER(E14)),"Missing Material Data",IF(AND(ISBLANK(A14),ISBLANK(B14),ISBLANK(D14)),"",IF(ISBLANK(A14),"Enter Material Name",IF(ISBLANK(B14),"Enter Manufacturer",IF(ISBLANK(D14),"Enter Purpose",IF(ISBLANK(E14),"Enter Throughput",IF(ISBLANK(F14),"Enter Density",IF(AND(NOT(ISBLANK(G14)),NOT(ISBLANK(H14))),"VOC Content Error",IF(AND(ISNUMBER(E14),ISNUMBER(F14),OR(ISNUMBER(G14),ISNUMBER(H14))),IF(G14&gt;0,E14*F14*G14,E14*H14),"Enter VOC Content")))))))))</f>
        <v>1625</v>
      </c>
      <c r="J14" s="337">
        <v>1</v>
      </c>
      <c r="K14" s="338">
        <f>IF(I14="","",IF(NOT(ISTEXT(I14)),IF(ISBLANK(J14),"Enter % Release",J14*I14),""))</f>
        <v>1625</v>
      </c>
      <c r="L14" s="99"/>
      <c r="M14" s="99"/>
      <c r="N14" s="99"/>
    </row>
    <row r="15" spans="1:14" s="105" customFormat="1" ht="18" customHeight="1" x14ac:dyDescent="0.2">
      <c r="A15" s="339" t="s">
        <v>1547</v>
      </c>
      <c r="B15" s="340" t="s">
        <v>1548</v>
      </c>
      <c r="C15" s="511" t="s">
        <v>2187</v>
      </c>
      <c r="D15" s="340" t="s">
        <v>1546</v>
      </c>
      <c r="E15" s="341">
        <v>5000</v>
      </c>
      <c r="F15" s="342">
        <v>7.4</v>
      </c>
      <c r="G15" s="513"/>
      <c r="H15" s="343">
        <v>3</v>
      </c>
      <c r="I15" s="344">
        <f>IF(AND(ISBLANK(A15),ISBLANK(B15),ISBLANK(D15),ISNUMBER(E15)),"Missing Material Data",IF(AND(ISBLANK(A15),ISBLANK(B15),ISBLANK(D15)),"",IF(ISBLANK(A15),"Enter Material Name",IF(ISBLANK(B15),"Enter Manufacturer",IF(ISBLANK(D15),"Enter Purpose",IF(ISBLANK(E15),"Enter Throughput",IF(ISBLANK(F15),"Enter Density",IF(AND(NOT(ISBLANK(G15)),NOT(ISBLANK(H15))),"VOC Content Error",IF(AND(ISNUMBER(E15),ISNUMBER(F15),OR(ISNUMBER(G15),ISNUMBER(H15))),IF(G15&gt;0,E15*F15*G15,E15*H15),"Enter VOC Content")))))))))</f>
        <v>15000</v>
      </c>
      <c r="J15" s="345">
        <v>1</v>
      </c>
      <c r="K15" s="346">
        <f>IF(I15="","",IF(NOT(ISTEXT(I15)),IF(ISBLANK(J15),"Enter % Release",J15*I15),""))</f>
        <v>15000</v>
      </c>
      <c r="L15" s="99"/>
      <c r="M15" s="99"/>
      <c r="N15" s="99"/>
    </row>
    <row r="16" spans="1:14" s="68" customFormat="1" ht="9" customHeight="1" thickBot="1" x14ac:dyDescent="0.3">
      <c r="A16" s="78"/>
      <c r="B16" s="78"/>
      <c r="C16" s="78"/>
      <c r="D16" s="78"/>
      <c r="E16" s="78"/>
      <c r="F16" s="78"/>
      <c r="G16" s="78"/>
      <c r="H16" s="78"/>
      <c r="I16" s="78"/>
      <c r="J16" s="78"/>
      <c r="K16" s="78"/>
      <c r="L16" s="78"/>
      <c r="M16" s="78"/>
    </row>
    <row r="17" spans="1:14" s="68" customFormat="1" ht="27.75" customHeight="1" thickBot="1" x14ac:dyDescent="0.3">
      <c r="A17" s="1140" t="s">
        <v>1470</v>
      </c>
      <c r="B17" s="1087"/>
      <c r="C17" s="1087"/>
      <c r="D17" s="1087"/>
      <c r="E17" s="1087"/>
      <c r="F17" s="1087"/>
      <c r="G17" s="1087"/>
      <c r="H17" s="1087"/>
      <c r="I17" s="1087"/>
      <c r="J17" s="1087"/>
      <c r="K17" s="1141"/>
    </row>
    <row r="18" spans="1:14" s="68" customFormat="1" ht="9" customHeight="1" thickBot="1" x14ac:dyDescent="0.3">
      <c r="A18" s="78"/>
      <c r="B18" s="78"/>
      <c r="C18" s="78"/>
      <c r="D18" s="78"/>
      <c r="E18" s="78"/>
      <c r="F18" s="78"/>
      <c r="G18" s="78"/>
      <c r="H18" s="78"/>
      <c r="I18" s="78"/>
      <c r="J18" s="78"/>
      <c r="K18" s="78"/>
      <c r="L18" s="78"/>
      <c r="M18" s="78"/>
    </row>
    <row r="19" spans="1:14" s="68" customFormat="1" ht="18" customHeight="1" thickBot="1" x14ac:dyDescent="0.3">
      <c r="A19" s="497" t="s">
        <v>1552</v>
      </c>
      <c r="B19" s="118"/>
      <c r="C19" s="68" t="s">
        <v>1557</v>
      </c>
      <c r="D19" s="78"/>
      <c r="E19" s="78"/>
      <c r="F19" s="78"/>
      <c r="H19" s="497" t="s">
        <v>1554</v>
      </c>
      <c r="I19" s="498"/>
      <c r="J19" s="117">
        <f>B19*8.338</f>
        <v>0</v>
      </c>
    </row>
    <row r="20" spans="1:14" s="68" customFormat="1" ht="18" customHeight="1" thickBot="1" x14ac:dyDescent="0.3">
      <c r="A20" s="497" t="s">
        <v>1555</v>
      </c>
      <c r="B20" s="118"/>
      <c r="C20" s="68" t="s">
        <v>1558</v>
      </c>
      <c r="D20" s="78"/>
      <c r="E20" s="118"/>
      <c r="F20" s="68" t="s">
        <v>1556</v>
      </c>
      <c r="H20" s="497" t="s">
        <v>1559</v>
      </c>
      <c r="I20" s="498"/>
      <c r="J20" s="117">
        <f>IFERROR(B20/E20,0)</f>
        <v>0</v>
      </c>
    </row>
    <row r="21" spans="1:14" s="68" customFormat="1" ht="18" customHeight="1" thickBot="1" x14ac:dyDescent="0.3">
      <c r="A21" s="497" t="s">
        <v>1560</v>
      </c>
      <c r="B21" s="119"/>
      <c r="C21" s="68" t="s">
        <v>1561</v>
      </c>
      <c r="D21" s="78"/>
      <c r="E21" s="118"/>
      <c r="F21" s="68" t="s">
        <v>1562</v>
      </c>
      <c r="H21" s="497" t="s">
        <v>1559</v>
      </c>
      <c r="I21" s="498"/>
      <c r="J21" s="117">
        <f>B21*E21*0.0078125</f>
        <v>0</v>
      </c>
    </row>
    <row r="22" spans="1:14" s="68" customFormat="1" ht="35.1" customHeight="1" thickBot="1" x14ac:dyDescent="0.3">
      <c r="A22" s="1099"/>
      <c r="B22" s="1099"/>
      <c r="C22" s="1099"/>
      <c r="D22" s="1099"/>
      <c r="E22" s="1099"/>
      <c r="F22" s="1099"/>
      <c r="G22" s="1099"/>
      <c r="H22" s="1099"/>
      <c r="I22" s="1099"/>
      <c r="J22" s="1099"/>
      <c r="K22" s="1099"/>
      <c r="L22" s="85"/>
      <c r="M22" s="85"/>
      <c r="N22" s="85"/>
    </row>
    <row r="23" spans="1:14" s="70" customFormat="1" ht="19.5" thickBot="1" x14ac:dyDescent="0.3">
      <c r="A23" s="1087" t="s">
        <v>1449</v>
      </c>
      <c r="B23" s="1087"/>
      <c r="C23" s="1087"/>
      <c r="D23" s="1087"/>
      <c r="E23" s="1087"/>
      <c r="F23" s="1087"/>
      <c r="G23" s="1087"/>
      <c r="H23" s="1087"/>
      <c r="I23" s="1087"/>
      <c r="J23" s="1087"/>
      <c r="K23" s="1087"/>
      <c r="L23" s="90"/>
      <c r="M23" s="90"/>
      <c r="N23" s="90"/>
    </row>
    <row r="24" spans="1:14" ht="60" customHeight="1" x14ac:dyDescent="0.2">
      <c r="A24" s="1243"/>
      <c r="B24" s="1243"/>
      <c r="C24" s="1243"/>
      <c r="D24" s="1243"/>
      <c r="E24" s="1243"/>
      <c r="F24" s="1243"/>
      <c r="G24" s="1243"/>
      <c r="H24" s="1243"/>
      <c r="I24" s="1243"/>
      <c r="J24" s="1243"/>
      <c r="K24" s="1243"/>
    </row>
    <row r="25" spans="1:14" ht="24.95" customHeight="1" x14ac:dyDescent="0.2">
      <c r="A25" s="1169" t="s">
        <v>1431</v>
      </c>
      <c r="B25" s="1169"/>
      <c r="C25" s="1169"/>
      <c r="D25" s="1169"/>
      <c r="E25" s="1169"/>
      <c r="F25" s="1169"/>
      <c r="G25" s="1169"/>
      <c r="H25" s="1169"/>
      <c r="I25" s="1169"/>
      <c r="J25" s="1169"/>
      <c r="K25" s="1169"/>
      <c r="L25" s="111"/>
      <c r="M25" s="111"/>
      <c r="N25" s="111"/>
    </row>
    <row r="26" spans="1:14" ht="24.95" customHeight="1" x14ac:dyDescent="0.2">
      <c r="A26" s="884" t="s">
        <v>1827</v>
      </c>
      <c r="B26" s="884"/>
      <c r="C26" s="884"/>
      <c r="D26" s="884"/>
      <c r="E26" s="884"/>
      <c r="F26" s="884"/>
      <c r="G26" s="884"/>
      <c r="H26" s="884"/>
      <c r="I26" s="884"/>
      <c r="J26" s="884"/>
      <c r="K26" s="884"/>
    </row>
    <row r="27" spans="1:14" ht="20.100000000000001" customHeight="1" thickBot="1" x14ac:dyDescent="0.25">
      <c r="A27" s="1242" t="s">
        <v>18</v>
      </c>
      <c r="B27" s="1242"/>
      <c r="C27" s="1242"/>
      <c r="D27" s="1242"/>
      <c r="E27" s="1242"/>
      <c r="F27" s="1242"/>
      <c r="G27" s="1242"/>
      <c r="H27" s="1242"/>
      <c r="I27" s="1242"/>
      <c r="J27" s="1242"/>
      <c r="K27" s="1242"/>
    </row>
    <row r="28" spans="1:14" ht="30" customHeight="1" x14ac:dyDescent="0.2">
      <c r="A28" s="1240" t="s">
        <v>6</v>
      </c>
      <c r="B28" s="1236" t="s">
        <v>7</v>
      </c>
      <c r="C28" s="1238" t="s">
        <v>1893</v>
      </c>
      <c r="D28" s="1238" t="s">
        <v>8</v>
      </c>
      <c r="E28" s="727" t="s">
        <v>68</v>
      </c>
      <c r="F28" s="728" t="s">
        <v>9</v>
      </c>
      <c r="G28" s="1234" t="s">
        <v>19</v>
      </c>
      <c r="H28" s="1235"/>
      <c r="I28" s="729" t="s">
        <v>11</v>
      </c>
      <c r="J28" s="730" t="s">
        <v>12</v>
      </c>
      <c r="K28" s="710" t="s">
        <v>13</v>
      </c>
    </row>
    <row r="29" spans="1:14" ht="15.75" customHeight="1" thickBot="1" x14ac:dyDescent="0.25">
      <c r="A29" s="1241"/>
      <c r="B29" s="1237"/>
      <c r="C29" s="1239"/>
      <c r="D29" s="1239"/>
      <c r="E29" s="731" t="s">
        <v>14</v>
      </c>
      <c r="F29" s="732" t="s">
        <v>10</v>
      </c>
      <c r="G29" s="733" t="s">
        <v>16</v>
      </c>
      <c r="H29" s="731" t="s">
        <v>10</v>
      </c>
      <c r="I29" s="732" t="s">
        <v>15</v>
      </c>
      <c r="J29" s="734" t="s">
        <v>17</v>
      </c>
      <c r="K29" s="735" t="s">
        <v>15</v>
      </c>
    </row>
    <row r="30" spans="1:14" s="105" customFormat="1" ht="18" customHeight="1" x14ac:dyDescent="0.2">
      <c r="A30" s="347"/>
      <c r="B30" s="348"/>
      <c r="C30" s="507"/>
      <c r="D30" s="348"/>
      <c r="E30" s="349"/>
      <c r="F30" s="350"/>
      <c r="G30" s="351"/>
      <c r="H30" s="352"/>
      <c r="I30" s="353" t="str">
        <f>IF(AND(ISNUMBER(E30),ISNUMBER(F30),OR(ISNUMBER(G30),ISNUMBER(H30))),IF(G30&gt;0,E30*F30*G30,E30*H30),"")</f>
        <v/>
      </c>
      <c r="J30" s="354"/>
      <c r="K30" s="355" t="str">
        <f>IF(I30="","",IF(ISBLANK(J30),"",J30*I30))</f>
        <v/>
      </c>
      <c r="L30" s="99"/>
      <c r="M30" s="99"/>
      <c r="N30" s="99"/>
    </row>
    <row r="31" spans="1:14" s="105" customFormat="1" ht="18" customHeight="1" x14ac:dyDescent="0.2">
      <c r="A31" s="356"/>
      <c r="B31" s="357"/>
      <c r="C31" s="508"/>
      <c r="D31" s="357"/>
      <c r="E31" s="358"/>
      <c r="F31" s="359"/>
      <c r="G31" s="360"/>
      <c r="H31" s="361"/>
      <c r="I31" s="362" t="str">
        <f t="shared" ref="I31:I62" si="0">IF(AND(ISNUMBER(E31),ISNUMBER(F31),OR(ISNUMBER(G31),ISNUMBER(H31))),IF(G31&gt;0,E31*F31*G31,E31*H31),"")</f>
        <v/>
      </c>
      <c r="J31" s="363"/>
      <c r="K31" s="364" t="str">
        <f t="shared" ref="K31:K62" si="1">IF(I31="","",IF(ISBLANK(J31),"",J31*I31))</f>
        <v/>
      </c>
      <c r="L31" s="99"/>
      <c r="M31" s="99"/>
      <c r="N31" s="99"/>
    </row>
    <row r="32" spans="1:14" s="105" customFormat="1" ht="18" customHeight="1" x14ac:dyDescent="0.2">
      <c r="A32" s="356"/>
      <c r="B32" s="357"/>
      <c r="C32" s="508"/>
      <c r="D32" s="357"/>
      <c r="E32" s="358"/>
      <c r="F32" s="359"/>
      <c r="G32" s="360"/>
      <c r="H32" s="361"/>
      <c r="I32" s="362" t="str">
        <f t="shared" si="0"/>
        <v/>
      </c>
      <c r="J32" s="363"/>
      <c r="K32" s="364" t="str">
        <f t="shared" si="1"/>
        <v/>
      </c>
      <c r="L32" s="99"/>
      <c r="M32" s="99"/>
      <c r="N32" s="99"/>
    </row>
    <row r="33" spans="1:14" s="105" customFormat="1" ht="18" customHeight="1" x14ac:dyDescent="0.2">
      <c r="A33" s="356"/>
      <c r="B33" s="357"/>
      <c r="C33" s="508"/>
      <c r="D33" s="357"/>
      <c r="E33" s="358"/>
      <c r="F33" s="359"/>
      <c r="G33" s="360"/>
      <c r="H33" s="361"/>
      <c r="I33" s="362" t="str">
        <f t="shared" si="0"/>
        <v/>
      </c>
      <c r="J33" s="363"/>
      <c r="K33" s="364" t="str">
        <f t="shared" si="1"/>
        <v/>
      </c>
      <c r="L33" s="99"/>
      <c r="M33" s="99"/>
      <c r="N33" s="99"/>
    </row>
    <row r="34" spans="1:14" s="105" customFormat="1" ht="18" customHeight="1" x14ac:dyDescent="0.2">
      <c r="A34" s="356"/>
      <c r="B34" s="357"/>
      <c r="C34" s="508"/>
      <c r="D34" s="357"/>
      <c r="E34" s="358"/>
      <c r="F34" s="359"/>
      <c r="G34" s="360"/>
      <c r="H34" s="361"/>
      <c r="I34" s="362" t="str">
        <f t="shared" si="0"/>
        <v/>
      </c>
      <c r="J34" s="363"/>
      <c r="K34" s="364" t="str">
        <f t="shared" si="1"/>
        <v/>
      </c>
    </row>
    <row r="35" spans="1:14" s="105" customFormat="1" ht="18" customHeight="1" x14ac:dyDescent="0.2">
      <c r="A35" s="356"/>
      <c r="B35" s="357"/>
      <c r="C35" s="508"/>
      <c r="D35" s="357"/>
      <c r="E35" s="358"/>
      <c r="F35" s="359"/>
      <c r="G35" s="360"/>
      <c r="H35" s="361"/>
      <c r="I35" s="362" t="str">
        <f t="shared" si="0"/>
        <v/>
      </c>
      <c r="J35" s="363"/>
      <c r="K35" s="364" t="str">
        <f t="shared" si="1"/>
        <v/>
      </c>
    </row>
    <row r="36" spans="1:14" s="105" customFormat="1" ht="18" customHeight="1" x14ac:dyDescent="0.2">
      <c r="A36" s="356"/>
      <c r="B36" s="357"/>
      <c r="C36" s="508"/>
      <c r="D36" s="357"/>
      <c r="E36" s="358"/>
      <c r="F36" s="359"/>
      <c r="G36" s="360"/>
      <c r="H36" s="361"/>
      <c r="I36" s="362" t="str">
        <f t="shared" si="0"/>
        <v/>
      </c>
      <c r="J36" s="363"/>
      <c r="K36" s="364" t="str">
        <f t="shared" si="1"/>
        <v/>
      </c>
    </row>
    <row r="37" spans="1:14" s="105" customFormat="1" ht="18" customHeight="1" x14ac:dyDescent="0.2">
      <c r="A37" s="356"/>
      <c r="B37" s="357"/>
      <c r="C37" s="508"/>
      <c r="D37" s="357"/>
      <c r="E37" s="358"/>
      <c r="F37" s="359"/>
      <c r="G37" s="360"/>
      <c r="H37" s="361"/>
      <c r="I37" s="362" t="str">
        <f t="shared" si="0"/>
        <v/>
      </c>
      <c r="J37" s="363"/>
      <c r="K37" s="364" t="str">
        <f t="shared" si="1"/>
        <v/>
      </c>
    </row>
    <row r="38" spans="1:14" s="105" customFormat="1" ht="18" customHeight="1" x14ac:dyDescent="0.2">
      <c r="A38" s="356"/>
      <c r="B38" s="357"/>
      <c r="C38" s="508"/>
      <c r="D38" s="357"/>
      <c r="E38" s="358"/>
      <c r="F38" s="359"/>
      <c r="G38" s="360"/>
      <c r="H38" s="361"/>
      <c r="I38" s="362" t="str">
        <f t="shared" si="0"/>
        <v/>
      </c>
      <c r="J38" s="363"/>
      <c r="K38" s="364" t="str">
        <f t="shared" si="1"/>
        <v/>
      </c>
    </row>
    <row r="39" spans="1:14" s="105" customFormat="1" ht="18" customHeight="1" x14ac:dyDescent="0.2">
      <c r="A39" s="356"/>
      <c r="B39" s="357"/>
      <c r="C39" s="508"/>
      <c r="D39" s="357"/>
      <c r="E39" s="358"/>
      <c r="F39" s="359"/>
      <c r="G39" s="360"/>
      <c r="H39" s="361"/>
      <c r="I39" s="362" t="str">
        <f t="shared" si="0"/>
        <v/>
      </c>
      <c r="J39" s="363"/>
      <c r="K39" s="364" t="str">
        <f t="shared" si="1"/>
        <v/>
      </c>
    </row>
    <row r="40" spans="1:14" s="105" customFormat="1" ht="18" customHeight="1" x14ac:dyDescent="0.2">
      <c r="A40" s="356"/>
      <c r="B40" s="357"/>
      <c r="C40" s="508"/>
      <c r="D40" s="357"/>
      <c r="E40" s="358"/>
      <c r="F40" s="359"/>
      <c r="G40" s="360"/>
      <c r="H40" s="361"/>
      <c r="I40" s="362" t="str">
        <f t="shared" si="0"/>
        <v/>
      </c>
      <c r="J40" s="363"/>
      <c r="K40" s="364" t="str">
        <f t="shared" si="1"/>
        <v/>
      </c>
    </row>
    <row r="41" spans="1:14" s="105" customFormat="1" ht="18" customHeight="1" x14ac:dyDescent="0.2">
      <c r="A41" s="356"/>
      <c r="B41" s="357"/>
      <c r="C41" s="508"/>
      <c r="D41" s="357"/>
      <c r="E41" s="358"/>
      <c r="F41" s="359"/>
      <c r="G41" s="360"/>
      <c r="H41" s="361"/>
      <c r="I41" s="362" t="str">
        <f t="shared" si="0"/>
        <v/>
      </c>
      <c r="J41" s="363"/>
      <c r="K41" s="364" t="str">
        <f t="shared" si="1"/>
        <v/>
      </c>
    </row>
    <row r="42" spans="1:14" s="105" customFormat="1" ht="18" customHeight="1" x14ac:dyDescent="0.2">
      <c r="A42" s="356"/>
      <c r="B42" s="357"/>
      <c r="C42" s="508"/>
      <c r="D42" s="357"/>
      <c r="E42" s="358"/>
      <c r="F42" s="359"/>
      <c r="G42" s="360"/>
      <c r="H42" s="361"/>
      <c r="I42" s="362" t="str">
        <f t="shared" si="0"/>
        <v/>
      </c>
      <c r="J42" s="363"/>
      <c r="K42" s="364" t="str">
        <f t="shared" si="1"/>
        <v/>
      </c>
    </row>
    <row r="43" spans="1:14" s="105" customFormat="1" ht="18" customHeight="1" x14ac:dyDescent="0.2">
      <c r="A43" s="356"/>
      <c r="B43" s="357"/>
      <c r="C43" s="508"/>
      <c r="D43" s="357"/>
      <c r="E43" s="358"/>
      <c r="F43" s="359"/>
      <c r="G43" s="360"/>
      <c r="H43" s="361"/>
      <c r="I43" s="362" t="str">
        <f t="shared" si="0"/>
        <v/>
      </c>
      <c r="J43" s="363"/>
      <c r="K43" s="364" t="str">
        <f t="shared" si="1"/>
        <v/>
      </c>
    </row>
    <row r="44" spans="1:14" s="105" customFormat="1" ht="18" customHeight="1" x14ac:dyDescent="0.2">
      <c r="A44" s="356"/>
      <c r="B44" s="357"/>
      <c r="C44" s="508"/>
      <c r="D44" s="357"/>
      <c r="E44" s="358"/>
      <c r="F44" s="359"/>
      <c r="G44" s="360"/>
      <c r="H44" s="361"/>
      <c r="I44" s="362" t="str">
        <f t="shared" si="0"/>
        <v/>
      </c>
      <c r="J44" s="363"/>
      <c r="K44" s="364" t="str">
        <f t="shared" si="1"/>
        <v/>
      </c>
    </row>
    <row r="45" spans="1:14" s="105" customFormat="1" ht="18" customHeight="1" x14ac:dyDescent="0.2">
      <c r="A45" s="356"/>
      <c r="B45" s="357"/>
      <c r="C45" s="508"/>
      <c r="D45" s="357"/>
      <c r="E45" s="358"/>
      <c r="F45" s="359"/>
      <c r="G45" s="360"/>
      <c r="H45" s="361"/>
      <c r="I45" s="362" t="str">
        <f t="shared" si="0"/>
        <v/>
      </c>
      <c r="J45" s="363"/>
      <c r="K45" s="364" t="str">
        <f t="shared" si="1"/>
        <v/>
      </c>
    </row>
    <row r="46" spans="1:14" s="105" customFormat="1" ht="18" customHeight="1" x14ac:dyDescent="0.2">
      <c r="A46" s="356"/>
      <c r="B46" s="357"/>
      <c r="C46" s="508"/>
      <c r="D46" s="357"/>
      <c r="E46" s="358"/>
      <c r="F46" s="359"/>
      <c r="G46" s="360"/>
      <c r="H46" s="361"/>
      <c r="I46" s="362" t="str">
        <f t="shared" si="0"/>
        <v/>
      </c>
      <c r="J46" s="363"/>
      <c r="K46" s="364" t="str">
        <f t="shared" si="1"/>
        <v/>
      </c>
    </row>
    <row r="47" spans="1:14" s="105" customFormat="1" ht="18" customHeight="1" x14ac:dyDescent="0.2">
      <c r="A47" s="356"/>
      <c r="B47" s="357"/>
      <c r="C47" s="508"/>
      <c r="D47" s="357"/>
      <c r="E47" s="358"/>
      <c r="F47" s="359"/>
      <c r="G47" s="360"/>
      <c r="H47" s="361"/>
      <c r="I47" s="362" t="str">
        <f t="shared" si="0"/>
        <v/>
      </c>
      <c r="J47" s="363"/>
      <c r="K47" s="364" t="str">
        <f t="shared" si="1"/>
        <v/>
      </c>
    </row>
    <row r="48" spans="1:14" s="105" customFormat="1" ht="18" customHeight="1" x14ac:dyDescent="0.2">
      <c r="A48" s="356"/>
      <c r="B48" s="357"/>
      <c r="C48" s="508"/>
      <c r="D48" s="357"/>
      <c r="E48" s="358"/>
      <c r="F48" s="359"/>
      <c r="G48" s="360"/>
      <c r="H48" s="361"/>
      <c r="I48" s="362" t="str">
        <f t="shared" si="0"/>
        <v/>
      </c>
      <c r="J48" s="363"/>
      <c r="K48" s="364" t="str">
        <f t="shared" si="1"/>
        <v/>
      </c>
    </row>
    <row r="49" spans="1:11" s="105" customFormat="1" ht="18" customHeight="1" x14ac:dyDescent="0.2">
      <c r="A49" s="356"/>
      <c r="B49" s="357"/>
      <c r="C49" s="508"/>
      <c r="D49" s="357"/>
      <c r="E49" s="358"/>
      <c r="F49" s="359"/>
      <c r="G49" s="360"/>
      <c r="H49" s="361"/>
      <c r="I49" s="362" t="str">
        <f t="shared" si="0"/>
        <v/>
      </c>
      <c r="J49" s="363"/>
      <c r="K49" s="364" t="str">
        <f t="shared" si="1"/>
        <v/>
      </c>
    </row>
    <row r="50" spans="1:11" s="105" customFormat="1" ht="18" customHeight="1" x14ac:dyDescent="0.2">
      <c r="A50" s="356"/>
      <c r="B50" s="357"/>
      <c r="C50" s="508"/>
      <c r="D50" s="357"/>
      <c r="E50" s="358"/>
      <c r="F50" s="359"/>
      <c r="G50" s="360"/>
      <c r="H50" s="361"/>
      <c r="I50" s="362" t="str">
        <f t="shared" si="0"/>
        <v/>
      </c>
      <c r="J50" s="363"/>
      <c r="K50" s="364" t="str">
        <f t="shared" si="1"/>
        <v/>
      </c>
    </row>
    <row r="51" spans="1:11" s="105" customFormat="1" ht="18" customHeight="1" x14ac:dyDescent="0.2">
      <c r="A51" s="356"/>
      <c r="B51" s="357"/>
      <c r="C51" s="508"/>
      <c r="D51" s="357"/>
      <c r="E51" s="358"/>
      <c r="F51" s="359"/>
      <c r="G51" s="360"/>
      <c r="H51" s="361"/>
      <c r="I51" s="362" t="str">
        <f t="shared" si="0"/>
        <v/>
      </c>
      <c r="J51" s="363"/>
      <c r="K51" s="364" t="str">
        <f t="shared" si="1"/>
        <v/>
      </c>
    </row>
    <row r="52" spans="1:11" s="105" customFormat="1" ht="18" customHeight="1" x14ac:dyDescent="0.2">
      <c r="A52" s="356"/>
      <c r="B52" s="357"/>
      <c r="C52" s="508"/>
      <c r="D52" s="357"/>
      <c r="E52" s="358"/>
      <c r="F52" s="359"/>
      <c r="G52" s="360"/>
      <c r="H52" s="361"/>
      <c r="I52" s="362" t="str">
        <f t="shared" si="0"/>
        <v/>
      </c>
      <c r="J52" s="363"/>
      <c r="K52" s="364" t="str">
        <f t="shared" si="1"/>
        <v/>
      </c>
    </row>
    <row r="53" spans="1:11" s="105" customFormat="1" ht="18" customHeight="1" x14ac:dyDescent="0.2">
      <c r="A53" s="356"/>
      <c r="B53" s="357"/>
      <c r="C53" s="508"/>
      <c r="D53" s="357"/>
      <c r="E53" s="358"/>
      <c r="F53" s="359"/>
      <c r="G53" s="360"/>
      <c r="H53" s="361"/>
      <c r="I53" s="362" t="str">
        <f t="shared" si="0"/>
        <v/>
      </c>
      <c r="J53" s="363"/>
      <c r="K53" s="364" t="str">
        <f t="shared" si="1"/>
        <v/>
      </c>
    </row>
    <row r="54" spans="1:11" s="105" customFormat="1" ht="18" customHeight="1" x14ac:dyDescent="0.2">
      <c r="A54" s="356"/>
      <c r="B54" s="357"/>
      <c r="C54" s="508"/>
      <c r="D54" s="357"/>
      <c r="E54" s="358"/>
      <c r="F54" s="359"/>
      <c r="G54" s="360"/>
      <c r="H54" s="361"/>
      <c r="I54" s="362" t="str">
        <f t="shared" si="0"/>
        <v/>
      </c>
      <c r="J54" s="363"/>
      <c r="K54" s="364" t="str">
        <f t="shared" si="1"/>
        <v/>
      </c>
    </row>
    <row r="55" spans="1:11" s="105" customFormat="1" ht="18" customHeight="1" x14ac:dyDescent="0.2">
      <c r="A55" s="356"/>
      <c r="B55" s="357"/>
      <c r="C55" s="508"/>
      <c r="D55" s="357"/>
      <c r="E55" s="358"/>
      <c r="F55" s="359"/>
      <c r="G55" s="360"/>
      <c r="H55" s="361"/>
      <c r="I55" s="362" t="str">
        <f t="shared" si="0"/>
        <v/>
      </c>
      <c r="J55" s="363"/>
      <c r="K55" s="364" t="str">
        <f t="shared" si="1"/>
        <v/>
      </c>
    </row>
    <row r="56" spans="1:11" s="105" customFormat="1" ht="18" customHeight="1" x14ac:dyDescent="0.2">
      <c r="A56" s="356"/>
      <c r="B56" s="357"/>
      <c r="C56" s="508"/>
      <c r="D56" s="357"/>
      <c r="E56" s="358"/>
      <c r="F56" s="359"/>
      <c r="G56" s="360"/>
      <c r="H56" s="361"/>
      <c r="I56" s="362" t="str">
        <f t="shared" si="0"/>
        <v/>
      </c>
      <c r="J56" s="363"/>
      <c r="K56" s="364" t="str">
        <f t="shared" si="1"/>
        <v/>
      </c>
    </row>
    <row r="57" spans="1:11" s="105" customFormat="1" ht="18" customHeight="1" x14ac:dyDescent="0.2">
      <c r="A57" s="356"/>
      <c r="B57" s="357"/>
      <c r="C57" s="508"/>
      <c r="D57" s="357"/>
      <c r="E57" s="358"/>
      <c r="F57" s="359"/>
      <c r="G57" s="360"/>
      <c r="H57" s="361"/>
      <c r="I57" s="362" t="str">
        <f t="shared" si="0"/>
        <v/>
      </c>
      <c r="J57" s="363"/>
      <c r="K57" s="364" t="str">
        <f t="shared" si="1"/>
        <v/>
      </c>
    </row>
    <row r="58" spans="1:11" s="105" customFormat="1" ht="18" customHeight="1" x14ac:dyDescent="0.2">
      <c r="A58" s="356"/>
      <c r="B58" s="357"/>
      <c r="C58" s="508"/>
      <c r="D58" s="357"/>
      <c r="E58" s="358"/>
      <c r="F58" s="359"/>
      <c r="G58" s="360"/>
      <c r="H58" s="361"/>
      <c r="I58" s="362" t="str">
        <f t="shared" si="0"/>
        <v/>
      </c>
      <c r="J58" s="363"/>
      <c r="K58" s="364" t="str">
        <f t="shared" si="1"/>
        <v/>
      </c>
    </row>
    <row r="59" spans="1:11" s="105" customFormat="1" ht="18" customHeight="1" x14ac:dyDescent="0.2">
      <c r="A59" s="356"/>
      <c r="B59" s="357"/>
      <c r="C59" s="508"/>
      <c r="D59" s="357"/>
      <c r="E59" s="358"/>
      <c r="F59" s="359"/>
      <c r="G59" s="360"/>
      <c r="H59" s="361"/>
      <c r="I59" s="362" t="str">
        <f t="shared" si="0"/>
        <v/>
      </c>
      <c r="J59" s="363"/>
      <c r="K59" s="364" t="str">
        <f t="shared" si="1"/>
        <v/>
      </c>
    </row>
    <row r="60" spans="1:11" s="105" customFormat="1" ht="18" customHeight="1" x14ac:dyDescent="0.2">
      <c r="A60" s="356"/>
      <c r="B60" s="357"/>
      <c r="C60" s="508"/>
      <c r="D60" s="357"/>
      <c r="E60" s="358"/>
      <c r="F60" s="359"/>
      <c r="G60" s="360"/>
      <c r="H60" s="361"/>
      <c r="I60" s="362" t="str">
        <f t="shared" si="0"/>
        <v/>
      </c>
      <c r="J60" s="363"/>
      <c r="K60" s="364" t="str">
        <f t="shared" si="1"/>
        <v/>
      </c>
    </row>
    <row r="61" spans="1:11" s="105" customFormat="1" ht="18" customHeight="1" x14ac:dyDescent="0.2">
      <c r="A61" s="356"/>
      <c r="B61" s="357"/>
      <c r="C61" s="508"/>
      <c r="D61" s="357"/>
      <c r="E61" s="358"/>
      <c r="F61" s="359"/>
      <c r="G61" s="360"/>
      <c r="H61" s="361"/>
      <c r="I61" s="362" t="str">
        <f t="shared" si="0"/>
        <v/>
      </c>
      <c r="J61" s="363"/>
      <c r="K61" s="364" t="str">
        <f t="shared" si="1"/>
        <v/>
      </c>
    </row>
    <row r="62" spans="1:11" s="105" customFormat="1" ht="18" customHeight="1" thickBot="1" x14ac:dyDescent="0.25">
      <c r="A62" s="365"/>
      <c r="B62" s="366"/>
      <c r="C62" s="509"/>
      <c r="D62" s="366"/>
      <c r="E62" s="367"/>
      <c r="F62" s="368"/>
      <c r="G62" s="369"/>
      <c r="H62" s="370"/>
      <c r="I62" s="371" t="str">
        <f t="shared" si="0"/>
        <v/>
      </c>
      <c r="J62" s="372"/>
      <c r="K62" s="373" t="str">
        <f t="shared" si="1"/>
        <v/>
      </c>
    </row>
    <row r="63" spans="1:11" x14ac:dyDescent="0.2">
      <c r="A63" s="112"/>
    </row>
  </sheetData>
  <sheetProtection algorithmName="SHA-512" hashValue="eZ7ZiRWykqMSrMiX0QSU6w7KkB/OuPLy/hwdBX2114MpZEykzPia6CWXGyGBUs6i0rOqcN9fJMdjRAcKYHTDGw==" saltValue="l36w6hbaRZDCR9gxUBv1RQ==" spinCount="100000" sheet="1" objects="1" scenarios="1"/>
  <mergeCells count="27">
    <mergeCell ref="A17:K17"/>
    <mergeCell ref="A22:K22"/>
    <mergeCell ref="A23:K23"/>
    <mergeCell ref="A24:K24"/>
    <mergeCell ref="A25:K25"/>
    <mergeCell ref="G28:H28"/>
    <mergeCell ref="B28:B29"/>
    <mergeCell ref="D28:D29"/>
    <mergeCell ref="A28:A29"/>
    <mergeCell ref="A26:K26"/>
    <mergeCell ref="A27:K27"/>
    <mergeCell ref="C28:C29"/>
    <mergeCell ref="A1:K1"/>
    <mergeCell ref="G12:H12"/>
    <mergeCell ref="D12:D13"/>
    <mergeCell ref="A2:K2"/>
    <mergeCell ref="A12:A13"/>
    <mergeCell ref="B12:B13"/>
    <mergeCell ref="C12:C13"/>
    <mergeCell ref="B8:K8"/>
    <mergeCell ref="B9:K9"/>
    <mergeCell ref="B10:K10"/>
    <mergeCell ref="B3:K3"/>
    <mergeCell ref="B4:K4"/>
    <mergeCell ref="B5:K5"/>
    <mergeCell ref="B6:K6"/>
    <mergeCell ref="B7:K7"/>
  </mergeCells>
  <conditionalFormatting sqref="B30:K62">
    <cfRule type="expression" dxfId="140" priority="13">
      <formula>AND(NOT(ISBLANK($A30)),ISBLANK(B30))</formula>
    </cfRule>
  </conditionalFormatting>
  <conditionalFormatting sqref="E30:H62 J30:J62">
    <cfRule type="expression" dxfId="139" priority="15">
      <formula>ISTEXT(E30)</formula>
    </cfRule>
  </conditionalFormatting>
  <conditionalFormatting sqref="G30:G62">
    <cfRule type="expression" dxfId="138" priority="12">
      <formula>AND(NOT(ISBLANK(H30)),ISBLANK(G30))</formula>
    </cfRule>
  </conditionalFormatting>
  <conditionalFormatting sqref="H30:H62">
    <cfRule type="expression" dxfId="137" priority="1">
      <formula>AND(NOT(ISBLANK(G30)),ISBLANK(H30))</formula>
    </cfRule>
  </conditionalFormatting>
  <printOptions horizontalCentered="1"/>
  <pageMargins left="0.5" right="0.5" top="0.5" bottom="0.5" header="0.3" footer="0.3"/>
  <pageSetup scale="73" fitToHeight="0" orientation="landscape" r:id="rId1"/>
  <headerFooter>
    <oddFooter>&amp;LRev. 2/2014&amp;C&amp;A&amp;RPage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002060"/>
    <pageSetUpPr fitToPage="1"/>
  </sheetPr>
  <dimension ref="A1:AE287"/>
  <sheetViews>
    <sheetView showGridLines="0" zoomScaleNormal="100" workbookViewId="0">
      <selection sqref="A1:L1"/>
    </sheetView>
  </sheetViews>
  <sheetFormatPr defaultRowHeight="14.25" x14ac:dyDescent="0.2"/>
  <cols>
    <col min="1" max="1" width="24.7109375" style="99" customWidth="1"/>
    <col min="2" max="2" width="22.7109375" style="99" customWidth="1"/>
    <col min="3" max="3" width="11.7109375" style="99" customWidth="1"/>
    <col min="4" max="6" width="12.7109375" style="99" customWidth="1"/>
    <col min="7" max="8" width="13.28515625" style="99" customWidth="1"/>
    <col min="9" max="9" width="11.7109375" style="141" customWidth="1"/>
    <col min="10" max="10" width="13.7109375" style="99" customWidth="1"/>
    <col min="11" max="11" width="11.7109375" style="113" customWidth="1"/>
    <col min="12" max="12" width="13.7109375" style="99" customWidth="1"/>
    <col min="13" max="14" width="9.140625" style="99" customWidth="1"/>
    <col min="15" max="15" width="9.140625" style="99"/>
    <col min="16" max="16" width="19.85546875" style="99" customWidth="1"/>
    <col min="17" max="17" width="20.7109375" style="144" customWidth="1"/>
    <col min="18" max="18" width="9.140625" style="99"/>
    <col min="19" max="19" width="13.7109375" style="99" customWidth="1"/>
    <col min="20" max="16384" width="9.140625" style="99"/>
  </cols>
  <sheetData>
    <row r="1" spans="1:17" s="69" customFormat="1" ht="26.25" customHeight="1" thickBot="1" x14ac:dyDescent="0.3">
      <c r="A1" s="1122" t="s">
        <v>2112</v>
      </c>
      <c r="B1" s="1122"/>
      <c r="C1" s="1122"/>
      <c r="D1" s="1122"/>
      <c r="E1" s="1122"/>
      <c r="F1" s="1122"/>
      <c r="G1" s="1122"/>
      <c r="H1" s="1122"/>
      <c r="I1" s="1122"/>
      <c r="J1" s="1122"/>
      <c r="K1" s="1122"/>
      <c r="L1" s="1122"/>
      <c r="M1" s="79"/>
      <c r="N1" s="79"/>
      <c r="Q1" s="143"/>
    </row>
    <row r="2" spans="1:17" s="164" customFormat="1" ht="35.1" customHeight="1" x14ac:dyDescent="0.25">
      <c r="A2" s="1172" t="s">
        <v>1841</v>
      </c>
      <c r="B2" s="1172"/>
      <c r="C2" s="1172"/>
      <c r="D2" s="1172"/>
      <c r="E2" s="1172"/>
      <c r="F2" s="1172"/>
      <c r="G2" s="1172"/>
      <c r="H2" s="1172"/>
      <c r="I2" s="1172"/>
      <c r="J2" s="1172"/>
      <c r="K2" s="1172"/>
      <c r="L2" s="1172"/>
      <c r="M2" s="167"/>
      <c r="N2" s="167"/>
      <c r="Q2" s="169"/>
    </row>
    <row r="3" spans="1:17" s="164" customFormat="1" ht="35.1" customHeight="1" x14ac:dyDescent="0.25">
      <c r="A3" s="165">
        <v>1</v>
      </c>
      <c r="B3" s="1173" t="s">
        <v>1563</v>
      </c>
      <c r="C3" s="1173"/>
      <c r="D3" s="1173"/>
      <c r="E3" s="1173"/>
      <c r="F3" s="1173"/>
      <c r="G3" s="1173"/>
      <c r="H3" s="1173"/>
      <c r="I3" s="1173"/>
      <c r="J3" s="1173"/>
      <c r="K3" s="1173"/>
      <c r="L3" s="1173"/>
      <c r="M3" s="168"/>
      <c r="N3" s="168"/>
      <c r="Q3" s="169"/>
    </row>
    <row r="4" spans="1:17" s="164" customFormat="1" ht="20.100000000000001" customHeight="1" x14ac:dyDescent="0.25">
      <c r="A4" s="165">
        <v>2</v>
      </c>
      <c r="B4" s="1173" t="s">
        <v>1549</v>
      </c>
      <c r="C4" s="1173"/>
      <c r="D4" s="1173"/>
      <c r="E4" s="1173"/>
      <c r="F4" s="1173"/>
      <c r="G4" s="1173"/>
      <c r="H4" s="1173"/>
      <c r="I4" s="1173"/>
      <c r="J4" s="1173"/>
      <c r="K4" s="1173"/>
      <c r="L4" s="1173"/>
      <c r="M4" s="168"/>
      <c r="N4" s="168"/>
      <c r="Q4" s="169"/>
    </row>
    <row r="5" spans="1:17" s="164" customFormat="1" ht="35.1" customHeight="1" x14ac:dyDescent="0.25">
      <c r="A5" s="165">
        <v>3</v>
      </c>
      <c r="B5" s="1173" t="s">
        <v>1551</v>
      </c>
      <c r="C5" s="1173"/>
      <c r="D5" s="1173"/>
      <c r="E5" s="1173"/>
      <c r="F5" s="1173"/>
      <c r="G5" s="1173"/>
      <c r="H5" s="1173"/>
      <c r="I5" s="1173"/>
      <c r="J5" s="1173"/>
      <c r="K5" s="1173"/>
      <c r="L5" s="1173"/>
      <c r="M5" s="168"/>
      <c r="N5" s="168"/>
      <c r="Q5" s="169"/>
    </row>
    <row r="6" spans="1:17" s="164" customFormat="1" ht="35.1" customHeight="1" x14ac:dyDescent="0.25">
      <c r="A6" s="165">
        <v>4</v>
      </c>
      <c r="B6" s="1173" t="s">
        <v>1910</v>
      </c>
      <c r="C6" s="1173"/>
      <c r="D6" s="1173"/>
      <c r="E6" s="1173"/>
      <c r="F6" s="1173"/>
      <c r="G6" s="1173"/>
      <c r="H6" s="1173"/>
      <c r="I6" s="1173"/>
      <c r="J6" s="1173"/>
      <c r="K6" s="1173"/>
      <c r="L6" s="1173"/>
      <c r="M6" s="168"/>
      <c r="N6" s="168"/>
      <c r="Q6" s="169"/>
    </row>
    <row r="7" spans="1:17" s="164" customFormat="1" ht="50.1" customHeight="1" x14ac:dyDescent="0.25">
      <c r="A7" s="165">
        <v>5</v>
      </c>
      <c r="B7" s="1173" t="s">
        <v>1904</v>
      </c>
      <c r="C7" s="1173"/>
      <c r="D7" s="1173"/>
      <c r="E7" s="1173"/>
      <c r="F7" s="1173"/>
      <c r="G7" s="1173"/>
      <c r="H7" s="1173"/>
      <c r="I7" s="1173"/>
      <c r="J7" s="1173"/>
      <c r="K7" s="1173"/>
      <c r="L7" s="1173"/>
      <c r="M7" s="168"/>
      <c r="N7" s="168"/>
      <c r="Q7" s="169"/>
    </row>
    <row r="8" spans="1:17" s="164" customFormat="1" ht="20.100000000000001" customHeight="1" x14ac:dyDescent="0.25">
      <c r="A8" s="165">
        <v>6</v>
      </c>
      <c r="B8" s="1173" t="s">
        <v>1905</v>
      </c>
      <c r="C8" s="1173"/>
      <c r="D8" s="1173"/>
      <c r="E8" s="1173"/>
      <c r="F8" s="1173"/>
      <c r="G8" s="1173"/>
      <c r="H8" s="1173"/>
      <c r="I8" s="1173"/>
      <c r="J8" s="1173"/>
      <c r="K8" s="1173"/>
      <c r="L8" s="1173"/>
      <c r="M8" s="168"/>
      <c r="N8" s="168"/>
      <c r="Q8" s="169"/>
    </row>
    <row r="9" spans="1:17" s="164" customFormat="1" ht="35.1" customHeight="1" x14ac:dyDescent="0.25">
      <c r="A9" s="165">
        <v>7</v>
      </c>
      <c r="B9" s="1173" t="s">
        <v>1906</v>
      </c>
      <c r="C9" s="1173"/>
      <c r="D9" s="1173"/>
      <c r="E9" s="1173"/>
      <c r="F9" s="1173"/>
      <c r="G9" s="1173"/>
      <c r="H9" s="1173"/>
      <c r="I9" s="1173"/>
      <c r="J9" s="1173"/>
      <c r="K9" s="1173"/>
      <c r="L9" s="1173"/>
      <c r="M9" s="168"/>
      <c r="N9" s="168"/>
      <c r="Q9" s="169"/>
    </row>
    <row r="10" spans="1:17" s="164" customFormat="1" ht="35.1" customHeight="1" x14ac:dyDescent="0.25">
      <c r="A10" s="165">
        <v>8</v>
      </c>
      <c r="B10" s="1173" t="s">
        <v>1907</v>
      </c>
      <c r="C10" s="1173"/>
      <c r="D10" s="1173"/>
      <c r="E10" s="1173"/>
      <c r="F10" s="1173"/>
      <c r="G10" s="1173"/>
      <c r="H10" s="1173"/>
      <c r="I10" s="1173"/>
      <c r="J10" s="1173"/>
      <c r="K10" s="1173"/>
      <c r="L10" s="1173"/>
      <c r="M10" s="168"/>
      <c r="N10" s="168"/>
      <c r="Q10" s="169"/>
    </row>
    <row r="11" spans="1:17" s="164" customFormat="1" ht="50.1" customHeight="1" x14ac:dyDescent="0.25">
      <c r="A11" s="165">
        <v>9</v>
      </c>
      <c r="B11" s="1173" t="s">
        <v>1908</v>
      </c>
      <c r="C11" s="1173"/>
      <c r="D11" s="1173"/>
      <c r="E11" s="1173"/>
      <c r="F11" s="1173"/>
      <c r="G11" s="1173"/>
      <c r="H11" s="1173"/>
      <c r="I11" s="1173"/>
      <c r="J11" s="1173"/>
      <c r="K11" s="1173"/>
      <c r="L11" s="1173"/>
      <c r="M11" s="168"/>
      <c r="N11" s="168"/>
      <c r="Q11" s="169"/>
    </row>
    <row r="12" spans="1:17" s="164" customFormat="1" ht="35.1" customHeight="1" x14ac:dyDescent="0.25">
      <c r="A12" s="165">
        <v>10</v>
      </c>
      <c r="B12" s="1173" t="s">
        <v>1909</v>
      </c>
      <c r="C12" s="1173"/>
      <c r="D12" s="1173"/>
      <c r="E12" s="1173"/>
      <c r="F12" s="1173"/>
      <c r="G12" s="1173"/>
      <c r="H12" s="1173"/>
      <c r="I12" s="1173"/>
      <c r="J12" s="1173"/>
      <c r="K12" s="1173"/>
      <c r="L12" s="1173"/>
      <c r="M12" s="168"/>
      <c r="N12" s="168"/>
      <c r="Q12" s="169"/>
    </row>
    <row r="13" spans="1:17" s="172" customFormat="1" ht="20.100000000000001" customHeight="1" x14ac:dyDescent="0.25">
      <c r="A13" s="478">
        <v>11</v>
      </c>
      <c r="B13" s="1173" t="s">
        <v>1654</v>
      </c>
      <c r="C13" s="1173"/>
      <c r="D13" s="1173"/>
      <c r="E13" s="1173"/>
      <c r="F13" s="1173"/>
      <c r="G13" s="1173"/>
      <c r="H13" s="1173"/>
      <c r="I13" s="1173"/>
      <c r="J13" s="1173"/>
      <c r="K13" s="1173"/>
      <c r="L13" s="1173"/>
      <c r="M13" s="505"/>
      <c r="N13" s="505"/>
      <c r="Q13" s="514"/>
    </row>
    <row r="14" spans="1:17" s="164" customFormat="1" ht="30" customHeight="1" x14ac:dyDescent="0.25">
      <c r="A14" s="1244" t="s">
        <v>1807</v>
      </c>
      <c r="B14" s="1244"/>
      <c r="C14" s="1244"/>
      <c r="D14" s="1244"/>
      <c r="E14" s="1244"/>
      <c r="F14" s="1244"/>
      <c r="G14" s="1244"/>
      <c r="H14" s="1244"/>
      <c r="I14" s="1244"/>
      <c r="J14" s="1244"/>
      <c r="K14" s="1244"/>
      <c r="L14" s="1244"/>
      <c r="M14" s="173"/>
      <c r="N14" s="173"/>
      <c r="Q14" s="169"/>
    </row>
    <row r="15" spans="1:17" s="68" customFormat="1" ht="9" customHeight="1" thickBot="1" x14ac:dyDescent="0.3">
      <c r="A15" s="78"/>
      <c r="B15" s="78"/>
      <c r="C15" s="78"/>
      <c r="D15" s="78"/>
      <c r="E15" s="78"/>
      <c r="F15" s="78"/>
      <c r="G15" s="78"/>
      <c r="H15" s="78"/>
      <c r="I15" s="537"/>
      <c r="J15" s="78"/>
      <c r="K15" s="78"/>
      <c r="L15" s="78"/>
      <c r="M15" s="78"/>
      <c r="Q15" s="66"/>
    </row>
    <row r="16" spans="1:17" ht="30" customHeight="1" x14ac:dyDescent="0.2">
      <c r="A16" s="1230" t="s">
        <v>6</v>
      </c>
      <c r="B16" s="1232" t="s">
        <v>20</v>
      </c>
      <c r="C16" s="1228" t="s">
        <v>1432</v>
      </c>
      <c r="D16" s="1228" t="s">
        <v>1893</v>
      </c>
      <c r="E16" s="1228" t="s">
        <v>1639</v>
      </c>
      <c r="F16" s="1228" t="s">
        <v>1582</v>
      </c>
      <c r="G16" s="1228" t="s">
        <v>1646</v>
      </c>
      <c r="H16" s="1228" t="s">
        <v>1640</v>
      </c>
      <c r="I16" s="538" t="s">
        <v>9</v>
      </c>
      <c r="J16" s="502" t="s">
        <v>1911</v>
      </c>
      <c r="K16" s="506" t="s">
        <v>12</v>
      </c>
      <c r="L16" s="98" t="s">
        <v>21</v>
      </c>
    </row>
    <row r="17" spans="1:17" ht="15" customHeight="1" thickBot="1" x14ac:dyDescent="0.25">
      <c r="A17" s="1231"/>
      <c r="B17" s="1233"/>
      <c r="C17" s="1229"/>
      <c r="D17" s="1229"/>
      <c r="E17" s="1229"/>
      <c r="F17" s="1229"/>
      <c r="G17" s="1229"/>
      <c r="H17" s="1229"/>
      <c r="I17" s="539" t="s">
        <v>10</v>
      </c>
      <c r="J17" s="114" t="s">
        <v>15</v>
      </c>
      <c r="K17" s="115" t="s">
        <v>17</v>
      </c>
      <c r="L17" s="116" t="s">
        <v>15</v>
      </c>
    </row>
    <row r="18" spans="1:17" ht="18" customHeight="1" x14ac:dyDescent="0.2">
      <c r="A18" s="518" t="s">
        <v>1543</v>
      </c>
      <c r="B18" s="519" t="s">
        <v>1550</v>
      </c>
      <c r="C18" s="520">
        <v>1330207</v>
      </c>
      <c r="D18" s="521" t="s">
        <v>2186</v>
      </c>
      <c r="E18" s="522">
        <v>1000</v>
      </c>
      <c r="F18" s="333" t="s">
        <v>1643</v>
      </c>
      <c r="G18" s="523">
        <v>15</v>
      </c>
      <c r="H18" s="524" t="s">
        <v>1644</v>
      </c>
      <c r="I18" s="540">
        <v>10</v>
      </c>
      <c r="J18" s="336">
        <v>1500</v>
      </c>
      <c r="K18" s="337">
        <v>1</v>
      </c>
      <c r="L18" s="525">
        <v>1500</v>
      </c>
    </row>
    <row r="19" spans="1:17" ht="18" customHeight="1" x14ac:dyDescent="0.2">
      <c r="A19" s="526"/>
      <c r="B19" s="527" t="s">
        <v>1</v>
      </c>
      <c r="C19" s="528">
        <v>108883</v>
      </c>
      <c r="D19" s="529"/>
      <c r="E19" s="534"/>
      <c r="F19" s="535"/>
      <c r="G19" s="530">
        <v>5</v>
      </c>
      <c r="H19" s="343" t="s">
        <v>1644</v>
      </c>
      <c r="I19" s="541"/>
      <c r="J19" s="344">
        <v>500</v>
      </c>
      <c r="K19" s="536"/>
      <c r="L19" s="531">
        <v>500</v>
      </c>
    </row>
    <row r="20" spans="1:17" ht="18" customHeight="1" x14ac:dyDescent="0.2">
      <c r="A20" s="526"/>
      <c r="B20" s="527" t="s">
        <v>109</v>
      </c>
      <c r="C20" s="528">
        <v>75092</v>
      </c>
      <c r="D20" s="529"/>
      <c r="E20" s="534"/>
      <c r="F20" s="535"/>
      <c r="G20" s="530">
        <v>3</v>
      </c>
      <c r="H20" s="343" t="s">
        <v>1644</v>
      </c>
      <c r="I20" s="541"/>
      <c r="J20" s="344">
        <v>300</v>
      </c>
      <c r="K20" s="536"/>
      <c r="L20" s="531">
        <v>300</v>
      </c>
    </row>
    <row r="21" spans="1:17" ht="18" customHeight="1" x14ac:dyDescent="0.2">
      <c r="A21" s="526" t="s">
        <v>1547</v>
      </c>
      <c r="B21" s="527" t="s">
        <v>188</v>
      </c>
      <c r="C21" s="528">
        <v>110543</v>
      </c>
      <c r="D21" s="532" t="s">
        <v>2187</v>
      </c>
      <c r="E21" s="533">
        <v>5000</v>
      </c>
      <c r="F21" s="341" t="s">
        <v>1643</v>
      </c>
      <c r="G21" s="530">
        <v>1</v>
      </c>
      <c r="H21" s="343" t="s">
        <v>1645</v>
      </c>
      <c r="I21" s="541"/>
      <c r="J21" s="344">
        <v>5000</v>
      </c>
      <c r="K21" s="345">
        <v>1</v>
      </c>
      <c r="L21" s="531">
        <v>5000</v>
      </c>
    </row>
    <row r="22" spans="1:17" ht="18" customHeight="1" x14ac:dyDescent="0.2">
      <c r="A22" s="526"/>
      <c r="B22" s="527" t="s">
        <v>95</v>
      </c>
      <c r="C22" s="528">
        <v>67561</v>
      </c>
      <c r="D22" s="529"/>
      <c r="E22" s="534"/>
      <c r="F22" s="535"/>
      <c r="G22" s="530">
        <v>0.5</v>
      </c>
      <c r="H22" s="343" t="s">
        <v>1645</v>
      </c>
      <c r="I22" s="541"/>
      <c r="J22" s="344">
        <v>2500</v>
      </c>
      <c r="K22" s="536"/>
      <c r="L22" s="531">
        <v>2500</v>
      </c>
    </row>
    <row r="23" spans="1:17" ht="18" customHeight="1" x14ac:dyDescent="0.2">
      <c r="A23" s="526"/>
      <c r="B23" s="527" t="s">
        <v>156</v>
      </c>
      <c r="C23" s="528">
        <v>98828</v>
      </c>
      <c r="D23" s="529"/>
      <c r="E23" s="534"/>
      <c r="F23" s="535"/>
      <c r="G23" s="530">
        <v>0.5</v>
      </c>
      <c r="H23" s="343" t="s">
        <v>1645</v>
      </c>
      <c r="I23" s="541"/>
      <c r="J23" s="344">
        <v>2500</v>
      </c>
      <c r="K23" s="536"/>
      <c r="L23" s="531">
        <v>2500</v>
      </c>
    </row>
    <row r="24" spans="1:17" ht="18" customHeight="1" x14ac:dyDescent="0.2">
      <c r="A24" s="526"/>
      <c r="B24" s="527" t="s">
        <v>160</v>
      </c>
      <c r="C24" s="528">
        <v>100414</v>
      </c>
      <c r="D24" s="529"/>
      <c r="E24" s="534"/>
      <c r="F24" s="535"/>
      <c r="G24" s="530">
        <v>0.25</v>
      </c>
      <c r="H24" s="343" t="s">
        <v>1645</v>
      </c>
      <c r="I24" s="541"/>
      <c r="J24" s="344">
        <v>1250</v>
      </c>
      <c r="K24" s="536"/>
      <c r="L24" s="531">
        <v>1250</v>
      </c>
    </row>
    <row r="25" spans="1:17" s="68" customFormat="1" ht="9" customHeight="1" thickBot="1" x14ac:dyDescent="0.3">
      <c r="A25" s="78"/>
      <c r="B25" s="78"/>
      <c r="C25" s="78"/>
      <c r="D25" s="78"/>
      <c r="E25" s="78"/>
      <c r="F25" s="78"/>
      <c r="G25" s="78"/>
      <c r="H25" s="78"/>
      <c r="I25" s="537"/>
      <c r="J25" s="78"/>
      <c r="K25" s="78"/>
      <c r="L25" s="78"/>
      <c r="M25" s="78"/>
      <c r="Q25" s="66"/>
    </row>
    <row r="26" spans="1:17" s="68" customFormat="1" ht="27.75" customHeight="1" thickBot="1" x14ac:dyDescent="0.3">
      <c r="A26" s="1140" t="s">
        <v>1470</v>
      </c>
      <c r="B26" s="1087"/>
      <c r="C26" s="1087"/>
      <c r="D26" s="1087"/>
      <c r="E26" s="1087"/>
      <c r="F26" s="1087"/>
      <c r="G26" s="1087"/>
      <c r="H26" s="1087"/>
      <c r="I26" s="1087"/>
      <c r="J26" s="1087"/>
      <c r="K26" s="1087"/>
      <c r="L26" s="1141"/>
      <c r="Q26" s="66"/>
    </row>
    <row r="27" spans="1:17" s="68" customFormat="1" ht="9" customHeight="1" thickBot="1" x14ac:dyDescent="0.3">
      <c r="A27" s="78"/>
      <c r="B27" s="78"/>
      <c r="C27" s="78"/>
      <c r="D27" s="78"/>
      <c r="E27" s="78"/>
      <c r="F27" s="78"/>
      <c r="G27" s="78"/>
      <c r="H27" s="78"/>
      <c r="I27" s="537"/>
      <c r="J27" s="78"/>
      <c r="K27" s="78"/>
      <c r="L27" s="78"/>
      <c r="M27" s="78"/>
      <c r="Q27" s="66"/>
    </row>
    <row r="28" spans="1:17" s="68" customFormat="1" ht="18" customHeight="1" thickBot="1" x14ac:dyDescent="0.3">
      <c r="A28" s="497" t="s">
        <v>1552</v>
      </c>
      <c r="B28" s="118"/>
      <c r="C28" s="68" t="s">
        <v>1557</v>
      </c>
      <c r="E28" s="78"/>
      <c r="F28" s="78"/>
      <c r="G28" s="78"/>
      <c r="I28" s="542"/>
      <c r="J28" s="497" t="s">
        <v>1554</v>
      </c>
      <c r="K28" s="498"/>
      <c r="L28" s="117">
        <f>B28*8.338</f>
        <v>0</v>
      </c>
      <c r="Q28" s="66"/>
    </row>
    <row r="29" spans="1:17" s="68" customFormat="1" ht="18" customHeight="1" thickBot="1" x14ac:dyDescent="0.3">
      <c r="A29" s="497" t="s">
        <v>1560</v>
      </c>
      <c r="B29" s="119"/>
      <c r="C29" s="68" t="s">
        <v>1561</v>
      </c>
      <c r="E29" s="78"/>
      <c r="G29" s="118"/>
      <c r="H29" s="68" t="s">
        <v>1562</v>
      </c>
      <c r="I29" s="542"/>
      <c r="J29" s="497" t="s">
        <v>1559</v>
      </c>
      <c r="K29" s="498"/>
      <c r="L29" s="117">
        <f>B29*G29*0.0078125</f>
        <v>0</v>
      </c>
      <c r="Q29" s="66"/>
    </row>
    <row r="30" spans="1:17" s="68" customFormat="1" ht="35.1" customHeight="1" thickBot="1" x14ac:dyDescent="0.3">
      <c r="A30" s="85"/>
      <c r="B30" s="85"/>
      <c r="C30" s="85"/>
      <c r="D30" s="85"/>
      <c r="E30" s="85"/>
      <c r="F30" s="85"/>
      <c r="G30" s="85"/>
      <c r="H30" s="85"/>
      <c r="I30" s="543"/>
      <c r="J30" s="85"/>
      <c r="K30" s="85"/>
      <c r="L30" s="85"/>
      <c r="M30" s="85"/>
      <c r="N30" s="85"/>
      <c r="Q30" s="66"/>
    </row>
    <row r="31" spans="1:17" s="70" customFormat="1" ht="19.5" thickBot="1" x14ac:dyDescent="0.3">
      <c r="A31" s="1087" t="s">
        <v>1449</v>
      </c>
      <c r="B31" s="1087"/>
      <c r="C31" s="1087"/>
      <c r="D31" s="1087"/>
      <c r="E31" s="1087"/>
      <c r="F31" s="1087"/>
      <c r="G31" s="1087"/>
      <c r="H31" s="1087"/>
      <c r="I31" s="1087"/>
      <c r="J31" s="1087"/>
      <c r="K31" s="1087"/>
      <c r="L31" s="1087"/>
      <c r="M31" s="90"/>
      <c r="N31" s="90"/>
      <c r="Q31" s="145"/>
    </row>
    <row r="32" spans="1:17" ht="60" customHeight="1" x14ac:dyDescent="0.2">
      <c r="A32" s="504"/>
      <c r="B32" s="504"/>
      <c r="C32" s="504"/>
      <c r="D32" s="504"/>
      <c r="E32" s="504"/>
      <c r="F32" s="504"/>
      <c r="G32" s="504"/>
      <c r="H32" s="504"/>
      <c r="I32" s="544"/>
      <c r="J32" s="504"/>
      <c r="K32" s="504"/>
      <c r="L32" s="504"/>
    </row>
    <row r="33" spans="1:31" s="48" customFormat="1" ht="30" customHeight="1" x14ac:dyDescent="0.25">
      <c r="A33" s="1169" t="s">
        <v>1431</v>
      </c>
      <c r="B33" s="1169"/>
      <c r="C33" s="1169"/>
      <c r="D33" s="1169"/>
      <c r="E33" s="1169"/>
      <c r="F33" s="1169"/>
      <c r="G33" s="1169"/>
      <c r="H33" s="1169"/>
      <c r="I33" s="1246" t="s">
        <v>254</v>
      </c>
      <c r="J33" s="1246"/>
      <c r="K33" s="1246"/>
      <c r="L33" s="1246"/>
      <c r="Q33" s="124"/>
      <c r="R33" s="142" t="b">
        <f>AND(NOT(ISBLANK(A38)),NOT(ISBLANK(B38)),NOT(ISBLANK(C38)),NOT(ISBLANK(E38)),NOT(ISBLANK(F38)),NOT(ISBLANK(G38)),NOT(ISBLANK(H38)),ISBLANK(I38))</f>
        <v>0</v>
      </c>
    </row>
    <row r="34" spans="1:31" s="48" customFormat="1" ht="24.95" customHeight="1" x14ac:dyDescent="0.25">
      <c r="A34" s="884" t="s">
        <v>1826</v>
      </c>
      <c r="B34" s="884"/>
      <c r="C34" s="884"/>
      <c r="D34" s="884"/>
      <c r="E34" s="884"/>
      <c r="F34" s="884"/>
      <c r="G34" s="884"/>
      <c r="H34" s="884"/>
      <c r="I34" s="884"/>
      <c r="J34" s="884"/>
      <c r="K34" s="884"/>
      <c r="L34" s="884"/>
      <c r="Q34" s="124"/>
      <c r="R34" s="142"/>
    </row>
    <row r="35" spans="1:31" ht="20.100000000000001" customHeight="1" thickBot="1" x14ac:dyDescent="0.25">
      <c r="A35" s="1245" t="s">
        <v>67</v>
      </c>
      <c r="B35" s="1245"/>
      <c r="C35" s="1245"/>
      <c r="D35" s="1245"/>
      <c r="E35" s="1245"/>
      <c r="F35" s="1245"/>
      <c r="G35" s="1245"/>
      <c r="H35" s="1245"/>
      <c r="I35" s="1245"/>
      <c r="J35" s="1245"/>
      <c r="K35" s="1245"/>
      <c r="L35" s="1245"/>
    </row>
    <row r="36" spans="1:31" ht="30" customHeight="1" x14ac:dyDescent="0.25">
      <c r="A36" s="1247" t="s">
        <v>6</v>
      </c>
      <c r="B36" s="1249" t="s">
        <v>20</v>
      </c>
      <c r="C36" s="1251" t="s">
        <v>1432</v>
      </c>
      <c r="D36" s="1238" t="s">
        <v>1893</v>
      </c>
      <c r="E36" s="1251" t="s">
        <v>1639</v>
      </c>
      <c r="F36" s="1253" t="s">
        <v>1582</v>
      </c>
      <c r="G36" s="1251" t="s">
        <v>1646</v>
      </c>
      <c r="H36" s="1253" t="s">
        <v>1640</v>
      </c>
      <c r="I36" s="736" t="s">
        <v>9</v>
      </c>
      <c r="J36" s="737" t="s">
        <v>22</v>
      </c>
      <c r="K36" s="738" t="s">
        <v>12</v>
      </c>
      <c r="L36" s="739" t="s">
        <v>21</v>
      </c>
      <c r="P36" s="99" t="s">
        <v>68</v>
      </c>
      <c r="Q36" s="144" t="s">
        <v>1582</v>
      </c>
      <c r="R36" s="99" t="s">
        <v>1647</v>
      </c>
      <c r="S36" s="99" t="s">
        <v>1648</v>
      </c>
      <c r="AC36" s="491" t="s">
        <v>1869</v>
      </c>
      <c r="AD36" s="491"/>
      <c r="AE36" s="491"/>
    </row>
    <row r="37" spans="1:31" ht="15.75" customHeight="1" thickBot="1" x14ac:dyDescent="0.25">
      <c r="A37" s="1248"/>
      <c r="B37" s="1250"/>
      <c r="C37" s="1252"/>
      <c r="D37" s="1239"/>
      <c r="E37" s="1252"/>
      <c r="F37" s="1254"/>
      <c r="G37" s="1252"/>
      <c r="H37" s="1254"/>
      <c r="I37" s="740" t="s">
        <v>10</v>
      </c>
      <c r="J37" s="741" t="s">
        <v>15</v>
      </c>
      <c r="K37" s="742" t="s">
        <v>17</v>
      </c>
      <c r="L37" s="743" t="s">
        <v>15</v>
      </c>
      <c r="W37" s="99" t="s">
        <v>1582</v>
      </c>
      <c r="Z37" s="99" t="s">
        <v>1641</v>
      </c>
      <c r="AC37" s="99">
        <v>171</v>
      </c>
      <c r="AD37" s="99">
        <f t="shared" ref="AD37:AD68" si="0">SUMIF($C$38:$C$69,AC37,$L$38:$L$69)</f>
        <v>0</v>
      </c>
    </row>
    <row r="38" spans="1:31" ht="18" customHeight="1" x14ac:dyDescent="0.2">
      <c r="A38" s="374"/>
      <c r="B38" s="375"/>
      <c r="C38" s="376"/>
      <c r="D38" s="515"/>
      <c r="E38" s="377"/>
      <c r="F38" s="349"/>
      <c r="G38" s="378"/>
      <c r="H38" s="352"/>
      <c r="I38" s="545"/>
      <c r="J38" s="353" t="str">
        <f t="shared" ref="J38:J69" si="1">IFERROR(IF(ISBLANK(H38),"",IF(AND(Q38="POUNDS",H38="WEIGHT %"),P38*(G38/100),IF(AND(Q38="POUNDS",H38="LBS/GALLON"),P38*(G38/R38),IF(Q38="GALLONS",IF(H38="LBS/GALLON",P38*G38,IF(AND(H38="WEIGHT %",R38&gt;0),P38*R38*(G38/100),"")))))),"")</f>
        <v/>
      </c>
      <c r="K38" s="354"/>
      <c r="L38" s="379" t="str">
        <f>IF(NOT(ISNUMBER(J38)),"",IF(S38&gt;0,J38*S38,""))</f>
        <v/>
      </c>
      <c r="N38" s="158"/>
      <c r="P38" s="442">
        <f>IF(AND(NOT(ISBLANK(A38)),NOT(ISBLANK(B38)),NOT(ISBLANK(C38)),E38&gt;0),E38,IF(AND(ISBLANK(A38),NOT(ISBLANK(B38)),NOT(ISBLANK(C38))),P37,0))</f>
        <v>0</v>
      </c>
      <c r="Q38" s="144" t="str">
        <f>IF(AND(NOT(ISBLANK(A38)),NOT(ISBLANK(B38)),NOT(ISBLANK(C38)),NOT(ISBLANK(F38))),F38,IF(AND(ISBLANK(A38),NOT(ISBLANK(B38)),NOT(ISBLANK(C38))),Q37,""))</f>
        <v/>
      </c>
      <c r="R38" s="99">
        <f>IF(AND(NOT(ISBLANK(A38)),NOT(ISBLANK(B38)),NOT(ISBLANK(C38)),I38&gt;0),I38,IF(AND(ISBLANK(A38),NOT(ISBLANK(B38)),NOT(ISBLANK(C38))),R37,0))</f>
        <v>0</v>
      </c>
      <c r="S38" s="146">
        <f>IF(AND(NOT(ISBLANK(A38)),NOT(ISBLANK(B38)),NOT(ISBLANK(C38)),K38&gt;0),K38,IF(AND(ISBLANK(A38),NOT(ISBLANK(B38)),NOT(ISBLANK(C38))),S37,0))</f>
        <v>0</v>
      </c>
      <c r="W38" s="99" t="s">
        <v>1642</v>
      </c>
      <c r="Z38" s="99" t="s">
        <v>1644</v>
      </c>
      <c r="AC38" s="99">
        <v>50000</v>
      </c>
      <c r="AD38" s="99">
        <f t="shared" si="0"/>
        <v>0</v>
      </c>
    </row>
    <row r="39" spans="1:31" ht="18" customHeight="1" x14ac:dyDescent="0.2">
      <c r="A39" s="380"/>
      <c r="B39" s="381"/>
      <c r="C39" s="382"/>
      <c r="D39" s="516"/>
      <c r="E39" s="383"/>
      <c r="F39" s="358"/>
      <c r="G39" s="384"/>
      <c r="H39" s="361"/>
      <c r="I39" s="546"/>
      <c r="J39" s="362" t="str">
        <f t="shared" si="1"/>
        <v/>
      </c>
      <c r="K39" s="363"/>
      <c r="L39" s="385" t="str">
        <f t="shared" ref="L39:L69" si="2">IF(NOT(ISNUMBER(J39)),"",IF(S39&gt;0,J39*S39,""))</f>
        <v/>
      </c>
      <c r="N39" s="158"/>
      <c r="P39" s="442">
        <f t="shared" ref="P39:P69" si="3">IF(AND(NOT(ISBLANK(A39)),NOT(ISBLANK(B39)),NOT(ISBLANK(C39)),E39&gt;0),E39,IF(AND(ISBLANK(A39),NOT(ISBLANK(B39)),NOT(ISBLANK(C39))),P38,0))</f>
        <v>0</v>
      </c>
      <c r="Q39" s="144" t="str">
        <f>IF(AND(NOT(ISBLANK(A39)),NOT(ISBLANK(B39)),NOT(ISBLANK(C39)),NOT(ISBLANK(F39))),F39,IF(AND(ISBLANK(A39),NOT(ISBLANK(B39)),NOT(ISBLANK(C39))),Q38,""))</f>
        <v/>
      </c>
      <c r="R39" s="99">
        <f t="shared" ref="R39:R69" si="4">IF(AND(NOT(ISBLANK(A39)),NOT(ISBLANK(B39)),NOT(ISBLANK(C39)),I39&gt;0),I39,IF(AND(ISBLANK(A39),NOT(ISBLANK(B39)),NOT(ISBLANK(C39))),R38,0))</f>
        <v>0</v>
      </c>
      <c r="S39" s="146">
        <f t="shared" ref="S39:S69" si="5">IF(AND(NOT(ISBLANK(A39)),NOT(ISBLANK(B39)),NOT(ISBLANK(C39)),K39&gt;0),K39,IF(AND(ISBLANK(A39),NOT(ISBLANK(B39)),NOT(ISBLANK(C39))),S38,0))</f>
        <v>0</v>
      </c>
      <c r="W39" s="99" t="s">
        <v>1643</v>
      </c>
      <c r="Z39" s="99" t="s">
        <v>1645</v>
      </c>
      <c r="AC39" s="99">
        <v>51285</v>
      </c>
      <c r="AD39" s="99">
        <f t="shared" si="0"/>
        <v>0</v>
      </c>
    </row>
    <row r="40" spans="1:31" ht="18" customHeight="1" x14ac:dyDescent="0.2">
      <c r="A40" s="380"/>
      <c r="B40" s="381"/>
      <c r="C40" s="382"/>
      <c r="D40" s="516"/>
      <c r="E40" s="383"/>
      <c r="F40" s="358"/>
      <c r="G40" s="384"/>
      <c r="H40" s="361"/>
      <c r="I40" s="546"/>
      <c r="J40" s="362" t="str">
        <f t="shared" si="1"/>
        <v/>
      </c>
      <c r="K40" s="363"/>
      <c r="L40" s="385" t="str">
        <f t="shared" si="2"/>
        <v/>
      </c>
      <c r="N40" s="158"/>
      <c r="P40" s="442">
        <f t="shared" si="3"/>
        <v>0</v>
      </c>
      <c r="Q40" s="144" t="str">
        <f t="shared" ref="Q40:Q69" si="6">IF(AND(NOT(ISBLANK(A40)),NOT(ISBLANK(B40)),NOT(ISBLANK(C40)),NOT(ISBLANK(F40))),F40,IF(AND(ISBLANK(A40),NOT(ISBLANK(B40)),NOT(ISBLANK(C40))),Q39,""))</f>
        <v/>
      </c>
      <c r="R40" s="99">
        <f t="shared" si="4"/>
        <v>0</v>
      </c>
      <c r="S40" s="146">
        <f t="shared" si="5"/>
        <v>0</v>
      </c>
      <c r="AC40" s="99">
        <v>51796</v>
      </c>
      <c r="AD40" s="99">
        <f t="shared" si="0"/>
        <v>0</v>
      </c>
    </row>
    <row r="41" spans="1:31" ht="18" customHeight="1" x14ac:dyDescent="0.2">
      <c r="A41" s="380"/>
      <c r="B41" s="381"/>
      <c r="C41" s="382"/>
      <c r="D41" s="516"/>
      <c r="E41" s="383"/>
      <c r="F41" s="358"/>
      <c r="G41" s="384"/>
      <c r="H41" s="361"/>
      <c r="I41" s="546"/>
      <c r="J41" s="362" t="str">
        <f t="shared" si="1"/>
        <v/>
      </c>
      <c r="K41" s="363"/>
      <c r="L41" s="385" t="str">
        <f t="shared" si="2"/>
        <v/>
      </c>
      <c r="N41" s="158"/>
      <c r="P41" s="442">
        <f t="shared" si="3"/>
        <v>0</v>
      </c>
      <c r="Q41" s="144" t="str">
        <f t="shared" si="6"/>
        <v/>
      </c>
      <c r="R41" s="99">
        <f t="shared" si="4"/>
        <v>0</v>
      </c>
      <c r="S41" s="146">
        <f t="shared" si="5"/>
        <v>0</v>
      </c>
      <c r="AC41" s="99">
        <v>53963</v>
      </c>
      <c r="AD41" s="99">
        <f t="shared" si="0"/>
        <v>0</v>
      </c>
    </row>
    <row r="42" spans="1:31" ht="18" customHeight="1" x14ac:dyDescent="0.2">
      <c r="A42" s="380"/>
      <c r="B42" s="381"/>
      <c r="C42" s="382"/>
      <c r="D42" s="516"/>
      <c r="E42" s="383"/>
      <c r="F42" s="358"/>
      <c r="G42" s="384"/>
      <c r="H42" s="361"/>
      <c r="I42" s="546"/>
      <c r="J42" s="362" t="str">
        <f t="shared" si="1"/>
        <v/>
      </c>
      <c r="K42" s="363"/>
      <c r="L42" s="385" t="str">
        <f t="shared" si="2"/>
        <v/>
      </c>
      <c r="N42" s="158"/>
      <c r="P42" s="442">
        <f t="shared" si="3"/>
        <v>0</v>
      </c>
      <c r="Q42" s="144" t="str">
        <f t="shared" si="6"/>
        <v/>
      </c>
      <c r="R42" s="99">
        <f t="shared" si="4"/>
        <v>0</v>
      </c>
      <c r="S42" s="146">
        <f t="shared" si="5"/>
        <v>0</v>
      </c>
      <c r="AC42" s="99">
        <v>56235</v>
      </c>
      <c r="AD42" s="99">
        <f t="shared" si="0"/>
        <v>0</v>
      </c>
    </row>
    <row r="43" spans="1:31" ht="18" customHeight="1" x14ac:dyDescent="0.2">
      <c r="A43" s="380"/>
      <c r="B43" s="381"/>
      <c r="C43" s="382"/>
      <c r="D43" s="516"/>
      <c r="E43" s="383"/>
      <c r="F43" s="358"/>
      <c r="G43" s="384"/>
      <c r="H43" s="361"/>
      <c r="I43" s="546"/>
      <c r="J43" s="362" t="str">
        <f t="shared" si="1"/>
        <v/>
      </c>
      <c r="K43" s="363"/>
      <c r="L43" s="385" t="str">
        <f t="shared" si="2"/>
        <v/>
      </c>
      <c r="N43" s="158"/>
      <c r="P43" s="442">
        <f t="shared" si="3"/>
        <v>0</v>
      </c>
      <c r="Q43" s="144" t="str">
        <f t="shared" si="6"/>
        <v/>
      </c>
      <c r="R43" s="99">
        <f t="shared" si="4"/>
        <v>0</v>
      </c>
      <c r="S43" s="146">
        <f t="shared" si="5"/>
        <v>0</v>
      </c>
      <c r="AC43" s="99">
        <v>56382</v>
      </c>
      <c r="AD43" s="99">
        <f t="shared" si="0"/>
        <v>0</v>
      </c>
    </row>
    <row r="44" spans="1:31" ht="18" customHeight="1" x14ac:dyDescent="0.2">
      <c r="A44" s="380"/>
      <c r="B44" s="381"/>
      <c r="C44" s="382"/>
      <c r="D44" s="516"/>
      <c r="E44" s="383"/>
      <c r="F44" s="358"/>
      <c r="G44" s="384"/>
      <c r="H44" s="361"/>
      <c r="I44" s="546"/>
      <c r="J44" s="362" t="str">
        <f t="shared" si="1"/>
        <v/>
      </c>
      <c r="K44" s="363"/>
      <c r="L44" s="385" t="str">
        <f t="shared" si="2"/>
        <v/>
      </c>
      <c r="N44" s="158"/>
      <c r="P44" s="442">
        <f t="shared" si="3"/>
        <v>0</v>
      </c>
      <c r="Q44" s="144" t="str">
        <f t="shared" si="6"/>
        <v/>
      </c>
      <c r="R44" s="99">
        <f t="shared" si="4"/>
        <v>0</v>
      </c>
      <c r="S44" s="146">
        <f t="shared" si="5"/>
        <v>0</v>
      </c>
      <c r="AC44" s="99">
        <v>57125</v>
      </c>
      <c r="AD44" s="99">
        <f t="shared" si="0"/>
        <v>0</v>
      </c>
    </row>
    <row r="45" spans="1:31" ht="18" customHeight="1" x14ac:dyDescent="0.2">
      <c r="A45" s="380"/>
      <c r="B45" s="381"/>
      <c r="C45" s="382"/>
      <c r="D45" s="516"/>
      <c r="E45" s="383"/>
      <c r="F45" s="358"/>
      <c r="G45" s="384"/>
      <c r="H45" s="361"/>
      <c r="I45" s="546"/>
      <c r="J45" s="362" t="str">
        <f t="shared" si="1"/>
        <v/>
      </c>
      <c r="K45" s="363"/>
      <c r="L45" s="385" t="str">
        <f t="shared" si="2"/>
        <v/>
      </c>
      <c r="N45" s="158"/>
      <c r="P45" s="442">
        <f t="shared" si="3"/>
        <v>0</v>
      </c>
      <c r="Q45" s="144" t="str">
        <f t="shared" si="6"/>
        <v/>
      </c>
      <c r="R45" s="99">
        <f t="shared" si="4"/>
        <v>0</v>
      </c>
      <c r="S45" s="146">
        <f t="shared" si="5"/>
        <v>0</v>
      </c>
      <c r="AC45" s="99">
        <v>57147</v>
      </c>
      <c r="AD45" s="99">
        <f t="shared" si="0"/>
        <v>0</v>
      </c>
    </row>
    <row r="46" spans="1:31" ht="18" customHeight="1" x14ac:dyDescent="0.2">
      <c r="A46" s="380"/>
      <c r="B46" s="381"/>
      <c r="C46" s="382"/>
      <c r="D46" s="516"/>
      <c r="E46" s="383"/>
      <c r="F46" s="358"/>
      <c r="G46" s="384"/>
      <c r="H46" s="361"/>
      <c r="I46" s="546"/>
      <c r="J46" s="362" t="str">
        <f t="shared" si="1"/>
        <v/>
      </c>
      <c r="K46" s="363"/>
      <c r="L46" s="385" t="str">
        <f t="shared" si="2"/>
        <v/>
      </c>
      <c r="N46" s="158"/>
      <c r="P46" s="442">
        <f t="shared" si="3"/>
        <v>0</v>
      </c>
      <c r="Q46" s="144" t="str">
        <f t="shared" si="6"/>
        <v/>
      </c>
      <c r="R46" s="99">
        <f t="shared" si="4"/>
        <v>0</v>
      </c>
      <c r="S46" s="146">
        <f t="shared" si="5"/>
        <v>0</v>
      </c>
      <c r="AC46" s="99">
        <v>57578</v>
      </c>
      <c r="AD46" s="99">
        <f t="shared" si="0"/>
        <v>0</v>
      </c>
    </row>
    <row r="47" spans="1:31" ht="18" customHeight="1" x14ac:dyDescent="0.2">
      <c r="A47" s="380"/>
      <c r="B47" s="381"/>
      <c r="C47" s="382"/>
      <c r="D47" s="516"/>
      <c r="E47" s="383"/>
      <c r="F47" s="358"/>
      <c r="G47" s="384"/>
      <c r="H47" s="361"/>
      <c r="I47" s="546"/>
      <c r="J47" s="362" t="str">
        <f t="shared" si="1"/>
        <v/>
      </c>
      <c r="K47" s="363"/>
      <c r="L47" s="385" t="str">
        <f t="shared" si="2"/>
        <v/>
      </c>
      <c r="N47" s="158"/>
      <c r="P47" s="442">
        <f t="shared" si="3"/>
        <v>0</v>
      </c>
      <c r="Q47" s="144" t="str">
        <f t="shared" si="6"/>
        <v/>
      </c>
      <c r="R47" s="99">
        <f t="shared" si="4"/>
        <v>0</v>
      </c>
      <c r="S47" s="146">
        <f t="shared" si="5"/>
        <v>0</v>
      </c>
      <c r="W47" s="99" t="b">
        <f>AND(NOT(ISBLANK(C38)),IFERROR(MATCH(C38,$AC$37:$AC$219,0),TRUE))</f>
        <v>0</v>
      </c>
      <c r="AC47" s="99">
        <v>57749</v>
      </c>
      <c r="AD47" s="99">
        <f t="shared" si="0"/>
        <v>0</v>
      </c>
    </row>
    <row r="48" spans="1:31" ht="18" customHeight="1" x14ac:dyDescent="0.2">
      <c r="A48" s="380"/>
      <c r="B48" s="381"/>
      <c r="C48" s="382"/>
      <c r="D48" s="516"/>
      <c r="E48" s="383"/>
      <c r="F48" s="358"/>
      <c r="G48" s="384"/>
      <c r="H48" s="361"/>
      <c r="I48" s="546"/>
      <c r="J48" s="362" t="str">
        <f t="shared" si="1"/>
        <v/>
      </c>
      <c r="K48" s="363"/>
      <c r="L48" s="385" t="str">
        <f t="shared" si="2"/>
        <v/>
      </c>
      <c r="N48" s="158"/>
      <c r="P48" s="442">
        <f t="shared" si="3"/>
        <v>0</v>
      </c>
      <c r="Q48" s="144" t="str">
        <f t="shared" si="6"/>
        <v/>
      </c>
      <c r="R48" s="99">
        <f t="shared" si="4"/>
        <v>0</v>
      </c>
      <c r="S48" s="146">
        <f t="shared" si="5"/>
        <v>0</v>
      </c>
      <c r="AC48" s="99">
        <v>58899</v>
      </c>
      <c r="AD48" s="99">
        <f t="shared" si="0"/>
        <v>0</v>
      </c>
    </row>
    <row r="49" spans="1:30" ht="18" customHeight="1" x14ac:dyDescent="0.2">
      <c r="A49" s="380"/>
      <c r="B49" s="381"/>
      <c r="C49" s="382"/>
      <c r="D49" s="516"/>
      <c r="E49" s="383"/>
      <c r="F49" s="358"/>
      <c r="G49" s="384"/>
      <c r="H49" s="361"/>
      <c r="I49" s="546"/>
      <c r="J49" s="362" t="str">
        <f t="shared" si="1"/>
        <v/>
      </c>
      <c r="K49" s="363"/>
      <c r="L49" s="385" t="str">
        <f t="shared" si="2"/>
        <v/>
      </c>
      <c r="N49" s="158"/>
      <c r="P49" s="442">
        <f t="shared" si="3"/>
        <v>0</v>
      </c>
      <c r="Q49" s="144" t="str">
        <f t="shared" si="6"/>
        <v/>
      </c>
      <c r="R49" s="99">
        <f t="shared" si="4"/>
        <v>0</v>
      </c>
      <c r="S49" s="146">
        <f t="shared" si="5"/>
        <v>0</v>
      </c>
      <c r="AC49" s="99">
        <v>59892</v>
      </c>
      <c r="AD49" s="99">
        <f t="shared" si="0"/>
        <v>0</v>
      </c>
    </row>
    <row r="50" spans="1:30" ht="18" customHeight="1" x14ac:dyDescent="0.2">
      <c r="A50" s="380"/>
      <c r="B50" s="381"/>
      <c r="C50" s="382"/>
      <c r="D50" s="516"/>
      <c r="E50" s="383"/>
      <c r="F50" s="358"/>
      <c r="G50" s="384"/>
      <c r="H50" s="361"/>
      <c r="I50" s="546"/>
      <c r="J50" s="362" t="str">
        <f t="shared" si="1"/>
        <v/>
      </c>
      <c r="K50" s="363"/>
      <c r="L50" s="385" t="str">
        <f t="shared" si="2"/>
        <v/>
      </c>
      <c r="N50" s="158"/>
      <c r="P50" s="442">
        <f t="shared" si="3"/>
        <v>0</v>
      </c>
      <c r="Q50" s="144" t="str">
        <f t="shared" si="6"/>
        <v/>
      </c>
      <c r="R50" s="99">
        <f t="shared" si="4"/>
        <v>0</v>
      </c>
      <c r="S50" s="146">
        <f t="shared" si="5"/>
        <v>0</v>
      </c>
      <c r="AC50" s="99">
        <v>60117</v>
      </c>
      <c r="AD50" s="99">
        <f t="shared" si="0"/>
        <v>0</v>
      </c>
    </row>
    <row r="51" spans="1:30" ht="18" customHeight="1" x14ac:dyDescent="0.2">
      <c r="A51" s="380"/>
      <c r="B51" s="381"/>
      <c r="C51" s="382"/>
      <c r="D51" s="516"/>
      <c r="E51" s="383"/>
      <c r="F51" s="358"/>
      <c r="G51" s="384"/>
      <c r="H51" s="361"/>
      <c r="I51" s="546"/>
      <c r="J51" s="362" t="str">
        <f t="shared" si="1"/>
        <v/>
      </c>
      <c r="K51" s="363"/>
      <c r="L51" s="385" t="str">
        <f t="shared" si="2"/>
        <v/>
      </c>
      <c r="N51" s="158"/>
      <c r="P51" s="442">
        <f t="shared" si="3"/>
        <v>0</v>
      </c>
      <c r="Q51" s="144" t="str">
        <f t="shared" si="6"/>
        <v/>
      </c>
      <c r="R51" s="99">
        <f t="shared" si="4"/>
        <v>0</v>
      </c>
      <c r="S51" s="146">
        <f t="shared" si="5"/>
        <v>0</v>
      </c>
      <c r="AC51" s="99">
        <v>60344</v>
      </c>
      <c r="AD51" s="99">
        <f t="shared" si="0"/>
        <v>0</v>
      </c>
    </row>
    <row r="52" spans="1:30" ht="18" customHeight="1" x14ac:dyDescent="0.2">
      <c r="A52" s="380"/>
      <c r="B52" s="381"/>
      <c r="C52" s="382"/>
      <c r="D52" s="516"/>
      <c r="E52" s="383"/>
      <c r="F52" s="358"/>
      <c r="G52" s="384"/>
      <c r="H52" s="361"/>
      <c r="I52" s="546"/>
      <c r="J52" s="362" t="str">
        <f t="shared" si="1"/>
        <v/>
      </c>
      <c r="K52" s="363"/>
      <c r="L52" s="385" t="str">
        <f t="shared" si="2"/>
        <v/>
      </c>
      <c r="N52" s="158"/>
      <c r="P52" s="442">
        <f t="shared" si="3"/>
        <v>0</v>
      </c>
      <c r="Q52" s="144" t="str">
        <f t="shared" si="6"/>
        <v/>
      </c>
      <c r="R52" s="99">
        <f t="shared" si="4"/>
        <v>0</v>
      </c>
      <c r="S52" s="146">
        <f t="shared" si="5"/>
        <v>0</v>
      </c>
      <c r="AC52" s="99">
        <v>60355</v>
      </c>
      <c r="AD52" s="99">
        <f t="shared" si="0"/>
        <v>0</v>
      </c>
    </row>
    <row r="53" spans="1:30" ht="18" customHeight="1" x14ac:dyDescent="0.2">
      <c r="A53" s="380"/>
      <c r="B53" s="381"/>
      <c r="C53" s="382"/>
      <c r="D53" s="516"/>
      <c r="E53" s="383"/>
      <c r="F53" s="358"/>
      <c r="G53" s="384"/>
      <c r="H53" s="361"/>
      <c r="I53" s="546"/>
      <c r="J53" s="362" t="str">
        <f t="shared" si="1"/>
        <v/>
      </c>
      <c r="K53" s="363"/>
      <c r="L53" s="385" t="str">
        <f t="shared" si="2"/>
        <v/>
      </c>
      <c r="N53" s="158"/>
      <c r="P53" s="442">
        <f t="shared" si="3"/>
        <v>0</v>
      </c>
      <c r="Q53" s="144" t="str">
        <f t="shared" si="6"/>
        <v/>
      </c>
      <c r="R53" s="99">
        <f t="shared" si="4"/>
        <v>0</v>
      </c>
      <c r="S53" s="146">
        <f t="shared" si="5"/>
        <v>0</v>
      </c>
      <c r="AC53" s="99">
        <v>62533</v>
      </c>
      <c r="AD53" s="99">
        <f t="shared" si="0"/>
        <v>0</v>
      </c>
    </row>
    <row r="54" spans="1:30" ht="18" customHeight="1" x14ac:dyDescent="0.2">
      <c r="A54" s="380"/>
      <c r="B54" s="381"/>
      <c r="C54" s="382"/>
      <c r="D54" s="516"/>
      <c r="E54" s="383"/>
      <c r="F54" s="358"/>
      <c r="G54" s="384"/>
      <c r="H54" s="361"/>
      <c r="I54" s="546"/>
      <c r="J54" s="362" t="str">
        <f t="shared" si="1"/>
        <v/>
      </c>
      <c r="K54" s="363"/>
      <c r="L54" s="385" t="str">
        <f t="shared" si="2"/>
        <v/>
      </c>
      <c r="N54" s="158"/>
      <c r="P54" s="442">
        <f t="shared" si="3"/>
        <v>0</v>
      </c>
      <c r="Q54" s="144" t="str">
        <f t="shared" si="6"/>
        <v/>
      </c>
      <c r="R54" s="99">
        <f t="shared" si="4"/>
        <v>0</v>
      </c>
      <c r="S54" s="146">
        <f t="shared" si="5"/>
        <v>0</v>
      </c>
      <c r="AC54" s="99">
        <v>62737</v>
      </c>
      <c r="AD54" s="99">
        <f t="shared" si="0"/>
        <v>0</v>
      </c>
    </row>
    <row r="55" spans="1:30" ht="18" customHeight="1" x14ac:dyDescent="0.2">
      <c r="A55" s="380"/>
      <c r="B55" s="381"/>
      <c r="C55" s="382"/>
      <c r="D55" s="516"/>
      <c r="E55" s="383"/>
      <c r="F55" s="358"/>
      <c r="G55" s="384"/>
      <c r="H55" s="361"/>
      <c r="I55" s="546"/>
      <c r="J55" s="362" t="str">
        <f t="shared" si="1"/>
        <v/>
      </c>
      <c r="K55" s="363"/>
      <c r="L55" s="385" t="str">
        <f t="shared" si="2"/>
        <v/>
      </c>
      <c r="N55" s="158"/>
      <c r="P55" s="442">
        <f t="shared" si="3"/>
        <v>0</v>
      </c>
      <c r="Q55" s="144" t="str">
        <f t="shared" si="6"/>
        <v/>
      </c>
      <c r="R55" s="99">
        <f t="shared" si="4"/>
        <v>0</v>
      </c>
      <c r="S55" s="146">
        <f t="shared" si="5"/>
        <v>0</v>
      </c>
      <c r="AC55" s="99">
        <v>62759</v>
      </c>
      <c r="AD55" s="99">
        <f t="shared" si="0"/>
        <v>0</v>
      </c>
    </row>
    <row r="56" spans="1:30" ht="18" customHeight="1" x14ac:dyDescent="0.2">
      <c r="A56" s="380"/>
      <c r="B56" s="381"/>
      <c r="C56" s="382"/>
      <c r="D56" s="516"/>
      <c r="E56" s="383"/>
      <c r="F56" s="358"/>
      <c r="G56" s="384"/>
      <c r="H56" s="361"/>
      <c r="I56" s="546"/>
      <c r="J56" s="362" t="str">
        <f t="shared" si="1"/>
        <v/>
      </c>
      <c r="K56" s="363"/>
      <c r="L56" s="385" t="str">
        <f t="shared" si="2"/>
        <v/>
      </c>
      <c r="N56" s="158"/>
      <c r="P56" s="442">
        <f t="shared" si="3"/>
        <v>0</v>
      </c>
      <c r="Q56" s="144" t="str">
        <f t="shared" si="6"/>
        <v/>
      </c>
      <c r="R56" s="99">
        <f t="shared" si="4"/>
        <v>0</v>
      </c>
      <c r="S56" s="146">
        <f t="shared" si="5"/>
        <v>0</v>
      </c>
      <c r="AC56" s="99">
        <v>63252</v>
      </c>
      <c r="AD56" s="99">
        <f t="shared" si="0"/>
        <v>0</v>
      </c>
    </row>
    <row r="57" spans="1:30" ht="18" customHeight="1" x14ac:dyDescent="0.2">
      <c r="A57" s="380"/>
      <c r="B57" s="381"/>
      <c r="C57" s="382"/>
      <c r="D57" s="516"/>
      <c r="E57" s="383"/>
      <c r="F57" s="358"/>
      <c r="G57" s="384"/>
      <c r="H57" s="361"/>
      <c r="I57" s="546"/>
      <c r="J57" s="362" t="str">
        <f t="shared" si="1"/>
        <v/>
      </c>
      <c r="K57" s="363"/>
      <c r="L57" s="385" t="str">
        <f t="shared" si="2"/>
        <v/>
      </c>
      <c r="N57" s="158"/>
      <c r="P57" s="442">
        <f t="shared" si="3"/>
        <v>0</v>
      </c>
      <c r="Q57" s="144" t="str">
        <f t="shared" si="6"/>
        <v/>
      </c>
      <c r="R57" s="99">
        <f t="shared" si="4"/>
        <v>0</v>
      </c>
      <c r="S57" s="146">
        <f t="shared" si="5"/>
        <v>0</v>
      </c>
      <c r="AC57" s="99">
        <v>64675</v>
      </c>
      <c r="AD57" s="99">
        <f t="shared" si="0"/>
        <v>0</v>
      </c>
    </row>
    <row r="58" spans="1:30" ht="18" customHeight="1" x14ac:dyDescent="0.2">
      <c r="A58" s="380"/>
      <c r="B58" s="381"/>
      <c r="C58" s="382"/>
      <c r="D58" s="516"/>
      <c r="E58" s="383"/>
      <c r="F58" s="358"/>
      <c r="G58" s="384"/>
      <c r="H58" s="361"/>
      <c r="I58" s="546"/>
      <c r="J58" s="362" t="str">
        <f t="shared" si="1"/>
        <v/>
      </c>
      <c r="K58" s="363"/>
      <c r="L58" s="385" t="str">
        <f t="shared" si="2"/>
        <v/>
      </c>
      <c r="N58" s="158"/>
      <c r="P58" s="442">
        <f t="shared" si="3"/>
        <v>0</v>
      </c>
      <c r="Q58" s="144" t="str">
        <f t="shared" si="6"/>
        <v/>
      </c>
      <c r="R58" s="99">
        <f t="shared" si="4"/>
        <v>0</v>
      </c>
      <c r="S58" s="146">
        <f t="shared" si="5"/>
        <v>0</v>
      </c>
      <c r="AC58" s="99">
        <v>67561</v>
      </c>
      <c r="AD58" s="99">
        <f t="shared" si="0"/>
        <v>0</v>
      </c>
    </row>
    <row r="59" spans="1:30" ht="18" customHeight="1" x14ac:dyDescent="0.2">
      <c r="A59" s="380"/>
      <c r="B59" s="381"/>
      <c r="C59" s="382"/>
      <c r="D59" s="516"/>
      <c r="E59" s="383"/>
      <c r="F59" s="358"/>
      <c r="G59" s="384"/>
      <c r="H59" s="361"/>
      <c r="I59" s="546"/>
      <c r="J59" s="362" t="str">
        <f t="shared" si="1"/>
        <v/>
      </c>
      <c r="K59" s="363"/>
      <c r="L59" s="385" t="str">
        <f t="shared" si="2"/>
        <v/>
      </c>
      <c r="N59" s="158"/>
      <c r="P59" s="442">
        <f t="shared" si="3"/>
        <v>0</v>
      </c>
      <c r="Q59" s="144" t="str">
        <f t="shared" si="6"/>
        <v/>
      </c>
      <c r="R59" s="99">
        <f t="shared" si="4"/>
        <v>0</v>
      </c>
      <c r="S59" s="146">
        <f t="shared" si="5"/>
        <v>0</v>
      </c>
      <c r="AC59" s="99">
        <v>67663</v>
      </c>
      <c r="AD59" s="99">
        <f t="shared" si="0"/>
        <v>0</v>
      </c>
    </row>
    <row r="60" spans="1:30" ht="18" customHeight="1" x14ac:dyDescent="0.2">
      <c r="A60" s="380"/>
      <c r="B60" s="381"/>
      <c r="C60" s="382"/>
      <c r="D60" s="516"/>
      <c r="E60" s="383"/>
      <c r="F60" s="358"/>
      <c r="G60" s="384"/>
      <c r="H60" s="361"/>
      <c r="I60" s="546"/>
      <c r="J60" s="362" t="str">
        <f t="shared" si="1"/>
        <v/>
      </c>
      <c r="K60" s="363"/>
      <c r="L60" s="385" t="str">
        <f t="shared" si="2"/>
        <v/>
      </c>
      <c r="N60" s="158"/>
      <c r="P60" s="442">
        <f t="shared" si="3"/>
        <v>0</v>
      </c>
      <c r="Q60" s="144" t="str">
        <f t="shared" si="6"/>
        <v/>
      </c>
      <c r="R60" s="99">
        <f t="shared" si="4"/>
        <v>0</v>
      </c>
      <c r="S60" s="146">
        <f t="shared" si="5"/>
        <v>0</v>
      </c>
      <c r="AC60" s="99">
        <v>67721</v>
      </c>
      <c r="AD60" s="99">
        <f t="shared" si="0"/>
        <v>0</v>
      </c>
    </row>
    <row r="61" spans="1:30" ht="18" customHeight="1" x14ac:dyDescent="0.2">
      <c r="A61" s="380"/>
      <c r="B61" s="381"/>
      <c r="C61" s="382"/>
      <c r="D61" s="516"/>
      <c r="E61" s="383"/>
      <c r="F61" s="358"/>
      <c r="G61" s="384"/>
      <c r="H61" s="361"/>
      <c r="I61" s="546"/>
      <c r="J61" s="362" t="str">
        <f t="shared" si="1"/>
        <v/>
      </c>
      <c r="K61" s="363"/>
      <c r="L61" s="385" t="str">
        <f t="shared" si="2"/>
        <v/>
      </c>
      <c r="N61" s="158"/>
      <c r="P61" s="442">
        <f t="shared" si="3"/>
        <v>0</v>
      </c>
      <c r="Q61" s="144" t="str">
        <f t="shared" si="6"/>
        <v/>
      </c>
      <c r="R61" s="99">
        <f t="shared" si="4"/>
        <v>0</v>
      </c>
      <c r="S61" s="146">
        <f t="shared" si="5"/>
        <v>0</v>
      </c>
      <c r="AC61" s="99">
        <v>68122</v>
      </c>
      <c r="AD61" s="99">
        <f t="shared" si="0"/>
        <v>0</v>
      </c>
    </row>
    <row r="62" spans="1:30" ht="18" customHeight="1" x14ac:dyDescent="0.2">
      <c r="A62" s="380"/>
      <c r="B62" s="381"/>
      <c r="C62" s="382"/>
      <c r="D62" s="516"/>
      <c r="E62" s="383"/>
      <c r="F62" s="358"/>
      <c r="G62" s="384"/>
      <c r="H62" s="361"/>
      <c r="I62" s="546"/>
      <c r="J62" s="362" t="str">
        <f t="shared" si="1"/>
        <v/>
      </c>
      <c r="K62" s="363"/>
      <c r="L62" s="385" t="str">
        <f t="shared" si="2"/>
        <v/>
      </c>
      <c r="N62" s="158"/>
      <c r="P62" s="442">
        <f t="shared" si="3"/>
        <v>0</v>
      </c>
      <c r="Q62" s="144" t="str">
        <f t="shared" si="6"/>
        <v/>
      </c>
      <c r="R62" s="99">
        <f t="shared" si="4"/>
        <v>0</v>
      </c>
      <c r="S62" s="146">
        <f t="shared" si="5"/>
        <v>0</v>
      </c>
      <c r="AC62" s="99">
        <v>71432</v>
      </c>
      <c r="AD62" s="99">
        <f t="shared" si="0"/>
        <v>0</v>
      </c>
    </row>
    <row r="63" spans="1:30" ht="18" customHeight="1" x14ac:dyDescent="0.2">
      <c r="A63" s="380"/>
      <c r="B63" s="381"/>
      <c r="C63" s="382"/>
      <c r="D63" s="516"/>
      <c r="E63" s="383"/>
      <c r="F63" s="358"/>
      <c r="G63" s="384"/>
      <c r="H63" s="361"/>
      <c r="I63" s="546"/>
      <c r="J63" s="362" t="str">
        <f t="shared" si="1"/>
        <v/>
      </c>
      <c r="K63" s="363"/>
      <c r="L63" s="385" t="str">
        <f t="shared" si="2"/>
        <v/>
      </c>
      <c r="N63" s="158"/>
      <c r="P63" s="442">
        <f t="shared" si="3"/>
        <v>0</v>
      </c>
      <c r="Q63" s="144" t="str">
        <f t="shared" si="6"/>
        <v/>
      </c>
      <c r="R63" s="99">
        <f t="shared" si="4"/>
        <v>0</v>
      </c>
      <c r="S63" s="146">
        <f t="shared" si="5"/>
        <v>0</v>
      </c>
      <c r="AC63" s="99">
        <v>71556</v>
      </c>
      <c r="AD63" s="99">
        <f t="shared" si="0"/>
        <v>0</v>
      </c>
    </row>
    <row r="64" spans="1:30" ht="18" customHeight="1" x14ac:dyDescent="0.2">
      <c r="A64" s="380"/>
      <c r="B64" s="381"/>
      <c r="C64" s="382"/>
      <c r="D64" s="516"/>
      <c r="E64" s="383"/>
      <c r="F64" s="358"/>
      <c r="G64" s="384"/>
      <c r="H64" s="361"/>
      <c r="I64" s="546"/>
      <c r="J64" s="362" t="str">
        <f t="shared" si="1"/>
        <v/>
      </c>
      <c r="K64" s="363"/>
      <c r="L64" s="385" t="str">
        <f t="shared" si="2"/>
        <v/>
      </c>
      <c r="N64" s="158"/>
      <c r="P64" s="442">
        <f t="shared" si="3"/>
        <v>0</v>
      </c>
      <c r="Q64" s="144" t="str">
        <f t="shared" si="6"/>
        <v/>
      </c>
      <c r="R64" s="99">
        <f t="shared" si="4"/>
        <v>0</v>
      </c>
      <c r="S64" s="146">
        <f t="shared" si="5"/>
        <v>0</v>
      </c>
      <c r="AC64" s="99">
        <v>72435</v>
      </c>
      <c r="AD64" s="99">
        <f t="shared" si="0"/>
        <v>0</v>
      </c>
    </row>
    <row r="65" spans="1:30" ht="18" customHeight="1" x14ac:dyDescent="0.2">
      <c r="A65" s="380"/>
      <c r="B65" s="381"/>
      <c r="C65" s="382"/>
      <c r="D65" s="516"/>
      <c r="E65" s="383"/>
      <c r="F65" s="358"/>
      <c r="G65" s="384"/>
      <c r="H65" s="361"/>
      <c r="I65" s="546"/>
      <c r="J65" s="362" t="str">
        <f t="shared" si="1"/>
        <v/>
      </c>
      <c r="K65" s="363"/>
      <c r="L65" s="385" t="str">
        <f t="shared" si="2"/>
        <v/>
      </c>
      <c r="N65" s="158"/>
      <c r="P65" s="442">
        <f t="shared" si="3"/>
        <v>0</v>
      </c>
      <c r="Q65" s="144" t="str">
        <f t="shared" si="6"/>
        <v/>
      </c>
      <c r="R65" s="99">
        <f t="shared" si="4"/>
        <v>0</v>
      </c>
      <c r="S65" s="146">
        <f t="shared" si="5"/>
        <v>0</v>
      </c>
      <c r="AC65" s="99">
        <v>74839</v>
      </c>
      <c r="AD65" s="99">
        <f t="shared" si="0"/>
        <v>0</v>
      </c>
    </row>
    <row r="66" spans="1:30" ht="18" customHeight="1" x14ac:dyDescent="0.2">
      <c r="A66" s="380"/>
      <c r="B66" s="381"/>
      <c r="C66" s="382"/>
      <c r="D66" s="516"/>
      <c r="E66" s="383"/>
      <c r="F66" s="358"/>
      <c r="G66" s="384"/>
      <c r="H66" s="361"/>
      <c r="I66" s="546"/>
      <c r="J66" s="362" t="str">
        <f t="shared" si="1"/>
        <v/>
      </c>
      <c r="K66" s="363"/>
      <c r="L66" s="385" t="str">
        <f t="shared" si="2"/>
        <v/>
      </c>
      <c r="N66" s="158"/>
      <c r="P66" s="442">
        <f t="shared" si="3"/>
        <v>0</v>
      </c>
      <c r="Q66" s="144" t="str">
        <f t="shared" si="6"/>
        <v/>
      </c>
      <c r="R66" s="99">
        <f t="shared" si="4"/>
        <v>0</v>
      </c>
      <c r="S66" s="146">
        <f t="shared" si="5"/>
        <v>0</v>
      </c>
      <c r="AC66" s="99">
        <v>74873</v>
      </c>
      <c r="AD66" s="99">
        <f t="shared" si="0"/>
        <v>0</v>
      </c>
    </row>
    <row r="67" spans="1:30" ht="18" customHeight="1" x14ac:dyDescent="0.2">
      <c r="A67" s="380"/>
      <c r="B67" s="381"/>
      <c r="C67" s="382"/>
      <c r="D67" s="516"/>
      <c r="E67" s="383"/>
      <c r="F67" s="358"/>
      <c r="G67" s="384"/>
      <c r="H67" s="361"/>
      <c r="I67" s="546"/>
      <c r="J67" s="362" t="str">
        <f t="shared" si="1"/>
        <v/>
      </c>
      <c r="K67" s="363"/>
      <c r="L67" s="385" t="str">
        <f t="shared" si="2"/>
        <v/>
      </c>
      <c r="N67" s="158"/>
      <c r="P67" s="442">
        <f t="shared" si="3"/>
        <v>0</v>
      </c>
      <c r="Q67" s="144" t="str">
        <f t="shared" si="6"/>
        <v/>
      </c>
      <c r="R67" s="99">
        <f t="shared" si="4"/>
        <v>0</v>
      </c>
      <c r="S67" s="146">
        <f t="shared" si="5"/>
        <v>0</v>
      </c>
      <c r="AC67" s="99">
        <v>74884</v>
      </c>
      <c r="AD67" s="99">
        <f t="shared" si="0"/>
        <v>0</v>
      </c>
    </row>
    <row r="68" spans="1:30" ht="18" customHeight="1" x14ac:dyDescent="0.2">
      <c r="A68" s="380"/>
      <c r="B68" s="381"/>
      <c r="C68" s="382"/>
      <c r="D68" s="516"/>
      <c r="E68" s="383"/>
      <c r="F68" s="358"/>
      <c r="G68" s="384"/>
      <c r="H68" s="361"/>
      <c r="I68" s="546"/>
      <c r="J68" s="362" t="str">
        <f t="shared" si="1"/>
        <v/>
      </c>
      <c r="K68" s="363"/>
      <c r="L68" s="385" t="str">
        <f t="shared" si="2"/>
        <v/>
      </c>
      <c r="N68" s="158"/>
      <c r="P68" s="442">
        <f t="shared" si="3"/>
        <v>0</v>
      </c>
      <c r="Q68" s="144" t="str">
        <f t="shared" si="6"/>
        <v/>
      </c>
      <c r="R68" s="99">
        <f t="shared" si="4"/>
        <v>0</v>
      </c>
      <c r="S68" s="146">
        <f t="shared" si="5"/>
        <v>0</v>
      </c>
      <c r="AC68" s="99">
        <v>75003</v>
      </c>
      <c r="AD68" s="99">
        <f t="shared" si="0"/>
        <v>0</v>
      </c>
    </row>
    <row r="69" spans="1:30" ht="18" customHeight="1" thickBot="1" x14ac:dyDescent="0.25">
      <c r="A69" s="386"/>
      <c r="B69" s="387"/>
      <c r="C69" s="388"/>
      <c r="D69" s="517"/>
      <c r="E69" s="389"/>
      <c r="F69" s="367"/>
      <c r="G69" s="390"/>
      <c r="H69" s="370"/>
      <c r="I69" s="547"/>
      <c r="J69" s="371" t="str">
        <f t="shared" si="1"/>
        <v/>
      </c>
      <c r="K69" s="372"/>
      <c r="L69" s="391" t="str">
        <f t="shared" si="2"/>
        <v/>
      </c>
      <c r="N69" s="158"/>
      <c r="P69" s="442">
        <f t="shared" si="3"/>
        <v>0</v>
      </c>
      <c r="Q69" s="144" t="str">
        <f t="shared" si="6"/>
        <v/>
      </c>
      <c r="R69" s="99">
        <f t="shared" si="4"/>
        <v>0</v>
      </c>
      <c r="S69" s="146">
        <f t="shared" si="5"/>
        <v>0</v>
      </c>
      <c r="AC69" s="99">
        <v>75014</v>
      </c>
      <c r="AD69" s="99">
        <f t="shared" ref="AD69:AD100" si="7">SUMIF($C$38:$C$69,AC69,$L$38:$L$69)</f>
        <v>0</v>
      </c>
    </row>
    <row r="70" spans="1:30" ht="18" customHeight="1" x14ac:dyDescent="0.2">
      <c r="AC70" s="99">
        <v>75058</v>
      </c>
      <c r="AD70" s="99">
        <f t="shared" si="7"/>
        <v>0</v>
      </c>
    </row>
    <row r="71" spans="1:30" ht="18" customHeight="1" x14ac:dyDescent="0.2">
      <c r="AC71" s="99">
        <v>75070</v>
      </c>
      <c r="AD71" s="99">
        <f t="shared" si="7"/>
        <v>0</v>
      </c>
    </row>
    <row r="72" spans="1:30" ht="18" customHeight="1" x14ac:dyDescent="0.2">
      <c r="AC72" s="99">
        <v>75092</v>
      </c>
      <c r="AD72" s="99">
        <f t="shared" si="7"/>
        <v>0</v>
      </c>
    </row>
    <row r="73" spans="1:30" ht="18" customHeight="1" x14ac:dyDescent="0.2">
      <c r="AC73" s="99">
        <v>75150</v>
      </c>
      <c r="AD73" s="99">
        <f t="shared" si="7"/>
        <v>0</v>
      </c>
    </row>
    <row r="74" spans="1:30" ht="18" customHeight="1" x14ac:dyDescent="0.2">
      <c r="AC74" s="99">
        <v>75218</v>
      </c>
      <c r="AD74" s="99">
        <f t="shared" si="7"/>
        <v>0</v>
      </c>
    </row>
    <row r="75" spans="1:30" ht="18" customHeight="1" x14ac:dyDescent="0.2">
      <c r="AC75" s="99">
        <v>75252</v>
      </c>
      <c r="AD75" s="99">
        <f t="shared" si="7"/>
        <v>0</v>
      </c>
    </row>
    <row r="76" spans="1:30" ht="18" customHeight="1" x14ac:dyDescent="0.2">
      <c r="AC76" s="99">
        <v>75343</v>
      </c>
      <c r="AD76" s="99">
        <f t="shared" si="7"/>
        <v>0</v>
      </c>
    </row>
    <row r="77" spans="1:30" ht="18" customHeight="1" x14ac:dyDescent="0.2">
      <c r="AC77" s="99">
        <v>75354</v>
      </c>
      <c r="AD77" s="99">
        <f t="shared" si="7"/>
        <v>0</v>
      </c>
    </row>
    <row r="78" spans="1:30" ht="18" customHeight="1" x14ac:dyDescent="0.2">
      <c r="AC78" s="99">
        <v>75445</v>
      </c>
      <c r="AD78" s="99">
        <f t="shared" si="7"/>
        <v>0</v>
      </c>
    </row>
    <row r="79" spans="1:30" ht="18" customHeight="1" x14ac:dyDescent="0.2">
      <c r="AC79" s="99">
        <v>75558</v>
      </c>
      <c r="AD79" s="99">
        <f t="shared" si="7"/>
        <v>0</v>
      </c>
    </row>
    <row r="80" spans="1:30" ht="18" customHeight="1" x14ac:dyDescent="0.2">
      <c r="AC80" s="99">
        <v>75569</v>
      </c>
      <c r="AD80" s="99">
        <f t="shared" si="7"/>
        <v>0</v>
      </c>
    </row>
    <row r="81" spans="29:30" ht="18" customHeight="1" x14ac:dyDescent="0.2">
      <c r="AC81" s="99">
        <v>76448</v>
      </c>
      <c r="AD81" s="99">
        <f t="shared" si="7"/>
        <v>0</v>
      </c>
    </row>
    <row r="82" spans="29:30" ht="18" customHeight="1" x14ac:dyDescent="0.2">
      <c r="AC82" s="99">
        <v>77474</v>
      </c>
      <c r="AD82" s="99">
        <f t="shared" si="7"/>
        <v>0</v>
      </c>
    </row>
    <row r="83" spans="29:30" ht="18" customHeight="1" x14ac:dyDescent="0.2">
      <c r="AC83" s="99">
        <v>77781</v>
      </c>
      <c r="AD83" s="99">
        <f t="shared" si="7"/>
        <v>0</v>
      </c>
    </row>
    <row r="84" spans="29:30" ht="18" customHeight="1" x14ac:dyDescent="0.2">
      <c r="AC84" s="99">
        <v>78591</v>
      </c>
      <c r="AD84" s="99">
        <f t="shared" si="7"/>
        <v>0</v>
      </c>
    </row>
    <row r="85" spans="29:30" ht="18" customHeight="1" x14ac:dyDescent="0.2">
      <c r="AC85" s="99">
        <v>78875</v>
      </c>
      <c r="AD85" s="99">
        <f t="shared" si="7"/>
        <v>0</v>
      </c>
    </row>
    <row r="86" spans="29:30" ht="18" customHeight="1" x14ac:dyDescent="0.2">
      <c r="AC86" s="99">
        <v>79005</v>
      </c>
      <c r="AD86" s="99">
        <f t="shared" si="7"/>
        <v>0</v>
      </c>
    </row>
    <row r="87" spans="29:30" ht="18" customHeight="1" x14ac:dyDescent="0.2">
      <c r="AC87" s="99">
        <v>79016</v>
      </c>
      <c r="AD87" s="99">
        <f t="shared" si="7"/>
        <v>0</v>
      </c>
    </row>
    <row r="88" spans="29:30" ht="18" customHeight="1" x14ac:dyDescent="0.2">
      <c r="AC88" s="99">
        <v>79061</v>
      </c>
      <c r="AD88" s="99">
        <f t="shared" si="7"/>
        <v>0</v>
      </c>
    </row>
    <row r="89" spans="29:30" ht="18" customHeight="1" x14ac:dyDescent="0.2">
      <c r="AC89" s="99">
        <v>79107</v>
      </c>
      <c r="AD89" s="99">
        <f t="shared" si="7"/>
        <v>0</v>
      </c>
    </row>
    <row r="90" spans="29:30" ht="18" customHeight="1" x14ac:dyDescent="0.2">
      <c r="AC90" s="99">
        <v>79118</v>
      </c>
      <c r="AD90" s="99">
        <f t="shared" si="7"/>
        <v>0</v>
      </c>
    </row>
    <row r="91" spans="29:30" ht="18" customHeight="1" x14ac:dyDescent="0.2">
      <c r="AC91" s="99">
        <v>79345</v>
      </c>
      <c r="AD91" s="99">
        <f t="shared" si="7"/>
        <v>0</v>
      </c>
    </row>
    <row r="92" spans="29:30" ht="18" customHeight="1" x14ac:dyDescent="0.2">
      <c r="AC92" s="99">
        <v>79447</v>
      </c>
      <c r="AD92" s="99">
        <f t="shared" si="7"/>
        <v>0</v>
      </c>
    </row>
    <row r="93" spans="29:30" ht="18" customHeight="1" x14ac:dyDescent="0.2">
      <c r="AC93" s="99">
        <v>79469</v>
      </c>
      <c r="AD93" s="99">
        <f t="shared" si="7"/>
        <v>0</v>
      </c>
    </row>
    <row r="94" spans="29:30" ht="18" customHeight="1" x14ac:dyDescent="0.2">
      <c r="AC94" s="99">
        <v>80626</v>
      </c>
      <c r="AD94" s="99">
        <f t="shared" si="7"/>
        <v>0</v>
      </c>
    </row>
    <row r="95" spans="29:30" ht="18" customHeight="1" x14ac:dyDescent="0.2">
      <c r="AC95" s="99">
        <v>82688</v>
      </c>
      <c r="AD95" s="99">
        <f t="shared" si="7"/>
        <v>0</v>
      </c>
    </row>
    <row r="96" spans="29:30" ht="18" customHeight="1" x14ac:dyDescent="0.2">
      <c r="AC96" s="99">
        <v>84742</v>
      </c>
      <c r="AD96" s="99">
        <f t="shared" si="7"/>
        <v>0</v>
      </c>
    </row>
    <row r="97" spans="29:30" ht="18" customHeight="1" x14ac:dyDescent="0.2">
      <c r="AC97" s="99">
        <v>85449</v>
      </c>
      <c r="AD97" s="99">
        <f t="shared" si="7"/>
        <v>0</v>
      </c>
    </row>
    <row r="98" spans="29:30" ht="18" customHeight="1" x14ac:dyDescent="0.2">
      <c r="AC98" s="99">
        <v>87683</v>
      </c>
      <c r="AD98" s="99">
        <f t="shared" si="7"/>
        <v>0</v>
      </c>
    </row>
    <row r="99" spans="29:30" ht="18" customHeight="1" x14ac:dyDescent="0.2">
      <c r="AC99" s="99">
        <v>87865</v>
      </c>
      <c r="AD99" s="99">
        <f t="shared" si="7"/>
        <v>0</v>
      </c>
    </row>
    <row r="100" spans="29:30" ht="18" customHeight="1" x14ac:dyDescent="0.2">
      <c r="AC100" s="99">
        <v>88062</v>
      </c>
      <c r="AD100" s="99">
        <f t="shared" si="7"/>
        <v>0</v>
      </c>
    </row>
    <row r="101" spans="29:30" ht="18" customHeight="1" x14ac:dyDescent="0.2">
      <c r="AC101" s="99">
        <v>90040</v>
      </c>
      <c r="AD101" s="99">
        <f t="shared" ref="AD101:AD132" si="8">SUMIF($C$38:$C$69,AC101,$L$38:$L$69)</f>
        <v>0</v>
      </c>
    </row>
    <row r="102" spans="29:30" ht="18" customHeight="1" x14ac:dyDescent="0.2">
      <c r="AC102" s="99">
        <v>91203</v>
      </c>
      <c r="AD102" s="99">
        <f t="shared" si="8"/>
        <v>0</v>
      </c>
    </row>
    <row r="103" spans="29:30" ht="18" customHeight="1" x14ac:dyDescent="0.2">
      <c r="AC103" s="99">
        <v>91225</v>
      </c>
      <c r="AD103" s="99">
        <f t="shared" si="8"/>
        <v>0</v>
      </c>
    </row>
    <row r="104" spans="29:30" ht="18" customHeight="1" x14ac:dyDescent="0.2">
      <c r="AC104" s="99">
        <v>91941</v>
      </c>
      <c r="AD104" s="99">
        <f t="shared" si="8"/>
        <v>0</v>
      </c>
    </row>
    <row r="105" spans="29:30" ht="18" customHeight="1" x14ac:dyDescent="0.2">
      <c r="AC105" s="99">
        <v>92524</v>
      </c>
      <c r="AD105" s="99">
        <f t="shared" si="8"/>
        <v>0</v>
      </c>
    </row>
    <row r="106" spans="29:30" ht="18" customHeight="1" x14ac:dyDescent="0.2">
      <c r="AC106" s="99">
        <v>92671</v>
      </c>
      <c r="AD106" s="99">
        <f t="shared" si="8"/>
        <v>0</v>
      </c>
    </row>
    <row r="107" spans="29:30" ht="18" customHeight="1" x14ac:dyDescent="0.2">
      <c r="AC107" s="99">
        <v>92875</v>
      </c>
      <c r="AD107" s="99">
        <f t="shared" si="8"/>
        <v>0</v>
      </c>
    </row>
    <row r="108" spans="29:30" ht="18" customHeight="1" x14ac:dyDescent="0.2">
      <c r="AC108" s="99">
        <v>92933</v>
      </c>
      <c r="AD108" s="99">
        <f t="shared" si="8"/>
        <v>0</v>
      </c>
    </row>
    <row r="109" spans="29:30" ht="18" customHeight="1" x14ac:dyDescent="0.2">
      <c r="AC109" s="99">
        <v>94757</v>
      </c>
      <c r="AD109" s="99">
        <f t="shared" si="8"/>
        <v>0</v>
      </c>
    </row>
    <row r="110" spans="29:30" ht="18" customHeight="1" x14ac:dyDescent="0.2">
      <c r="AC110" s="99">
        <v>95476</v>
      </c>
      <c r="AD110" s="99">
        <f t="shared" si="8"/>
        <v>0</v>
      </c>
    </row>
    <row r="111" spans="29:30" ht="18" customHeight="1" x14ac:dyDescent="0.2">
      <c r="AC111" s="99">
        <v>95487</v>
      </c>
      <c r="AD111" s="99">
        <f t="shared" si="8"/>
        <v>0</v>
      </c>
    </row>
    <row r="112" spans="29:30" ht="18" customHeight="1" x14ac:dyDescent="0.2">
      <c r="AC112" s="99">
        <v>95534</v>
      </c>
      <c r="AD112" s="99">
        <f t="shared" si="8"/>
        <v>0</v>
      </c>
    </row>
    <row r="113" spans="29:30" ht="18" customHeight="1" x14ac:dyDescent="0.2">
      <c r="AC113" s="99">
        <v>95807</v>
      </c>
      <c r="AD113" s="99">
        <f t="shared" si="8"/>
        <v>0</v>
      </c>
    </row>
    <row r="114" spans="29:30" ht="18" customHeight="1" x14ac:dyDescent="0.2">
      <c r="AC114" s="99">
        <v>95954</v>
      </c>
      <c r="AD114" s="99">
        <f t="shared" si="8"/>
        <v>0</v>
      </c>
    </row>
    <row r="115" spans="29:30" ht="18" customHeight="1" x14ac:dyDescent="0.2">
      <c r="AC115" s="99">
        <v>96093</v>
      </c>
      <c r="AD115" s="99">
        <f t="shared" si="8"/>
        <v>0</v>
      </c>
    </row>
    <row r="116" spans="29:30" ht="18" customHeight="1" x14ac:dyDescent="0.2">
      <c r="AC116" s="99">
        <v>96128</v>
      </c>
      <c r="AD116" s="99">
        <f t="shared" si="8"/>
        <v>0</v>
      </c>
    </row>
    <row r="117" spans="29:30" ht="18" customHeight="1" x14ac:dyDescent="0.2">
      <c r="AC117" s="99">
        <v>96457</v>
      </c>
      <c r="AD117" s="99">
        <f t="shared" si="8"/>
        <v>0</v>
      </c>
    </row>
    <row r="118" spans="29:30" ht="18" customHeight="1" x14ac:dyDescent="0.2">
      <c r="AC118" s="99">
        <v>98077</v>
      </c>
      <c r="AD118" s="99">
        <f t="shared" si="8"/>
        <v>0</v>
      </c>
    </row>
    <row r="119" spans="29:30" ht="18" customHeight="1" x14ac:dyDescent="0.2">
      <c r="AC119" s="99">
        <v>98828</v>
      </c>
      <c r="AD119" s="99">
        <f t="shared" si="8"/>
        <v>0</v>
      </c>
    </row>
    <row r="120" spans="29:30" ht="18" customHeight="1" x14ac:dyDescent="0.2">
      <c r="AC120" s="99">
        <v>98862</v>
      </c>
      <c r="AD120" s="99">
        <f t="shared" si="8"/>
        <v>0</v>
      </c>
    </row>
    <row r="121" spans="29:30" ht="18" customHeight="1" x14ac:dyDescent="0.2">
      <c r="AC121" s="99">
        <v>98953</v>
      </c>
      <c r="AD121" s="99">
        <f t="shared" si="8"/>
        <v>0</v>
      </c>
    </row>
    <row r="122" spans="29:30" ht="18" customHeight="1" x14ac:dyDescent="0.2">
      <c r="AC122" s="99">
        <v>100027</v>
      </c>
      <c r="AD122" s="99">
        <f t="shared" si="8"/>
        <v>0</v>
      </c>
    </row>
    <row r="123" spans="29:30" ht="18" customHeight="1" x14ac:dyDescent="0.2">
      <c r="AC123" s="99">
        <v>100414</v>
      </c>
      <c r="AD123" s="99">
        <f t="shared" si="8"/>
        <v>0</v>
      </c>
    </row>
    <row r="124" spans="29:30" ht="18" customHeight="1" x14ac:dyDescent="0.2">
      <c r="AC124" s="99">
        <v>100425</v>
      </c>
      <c r="AD124" s="99">
        <f t="shared" si="8"/>
        <v>0</v>
      </c>
    </row>
    <row r="125" spans="29:30" ht="18" customHeight="1" x14ac:dyDescent="0.2">
      <c r="AC125" s="99">
        <v>100447</v>
      </c>
      <c r="AD125" s="99">
        <f t="shared" si="8"/>
        <v>0</v>
      </c>
    </row>
    <row r="126" spans="29:30" ht="18" customHeight="1" x14ac:dyDescent="0.2">
      <c r="AC126" s="99">
        <v>101144</v>
      </c>
      <c r="AD126" s="99">
        <f t="shared" si="8"/>
        <v>0</v>
      </c>
    </row>
    <row r="127" spans="29:30" ht="18" customHeight="1" x14ac:dyDescent="0.2">
      <c r="AC127" s="99">
        <v>101688</v>
      </c>
      <c r="AD127" s="99">
        <f t="shared" si="8"/>
        <v>0</v>
      </c>
    </row>
    <row r="128" spans="29:30" ht="18" customHeight="1" x14ac:dyDescent="0.2">
      <c r="AC128" s="99">
        <v>101779</v>
      </c>
      <c r="AD128" s="99">
        <f t="shared" si="8"/>
        <v>0</v>
      </c>
    </row>
    <row r="129" spans="29:30" ht="18" customHeight="1" x14ac:dyDescent="0.2">
      <c r="AC129" s="99">
        <v>106423</v>
      </c>
      <c r="AD129" s="99">
        <f t="shared" si="8"/>
        <v>0</v>
      </c>
    </row>
    <row r="130" spans="29:30" ht="18" customHeight="1" x14ac:dyDescent="0.2">
      <c r="AC130" s="99">
        <v>106445</v>
      </c>
      <c r="AD130" s="99">
        <f t="shared" si="8"/>
        <v>0</v>
      </c>
    </row>
    <row r="131" spans="29:30" ht="18" customHeight="1" x14ac:dyDescent="0.2">
      <c r="AC131" s="99">
        <v>106467</v>
      </c>
      <c r="AD131" s="99">
        <f t="shared" si="8"/>
        <v>0</v>
      </c>
    </row>
    <row r="132" spans="29:30" ht="18" customHeight="1" x14ac:dyDescent="0.2">
      <c r="AC132" s="99">
        <v>106503</v>
      </c>
      <c r="AD132" s="99">
        <f t="shared" si="8"/>
        <v>0</v>
      </c>
    </row>
    <row r="133" spans="29:30" ht="18" customHeight="1" x14ac:dyDescent="0.2">
      <c r="AC133" s="99">
        <v>106514</v>
      </c>
      <c r="AD133" s="99">
        <f t="shared" ref="AD133:AD164" si="9">SUMIF($C$38:$C$69,AC133,$L$38:$L$69)</f>
        <v>0</v>
      </c>
    </row>
    <row r="134" spans="29:30" ht="18" customHeight="1" x14ac:dyDescent="0.2">
      <c r="AC134" s="99">
        <v>106887</v>
      </c>
      <c r="AD134" s="99">
        <f t="shared" si="9"/>
        <v>0</v>
      </c>
    </row>
    <row r="135" spans="29:30" ht="18" customHeight="1" x14ac:dyDescent="0.2">
      <c r="AC135" s="99">
        <v>106898</v>
      </c>
      <c r="AD135" s="99">
        <f t="shared" si="9"/>
        <v>0</v>
      </c>
    </row>
    <row r="136" spans="29:30" ht="18" customHeight="1" x14ac:dyDescent="0.2">
      <c r="AC136" s="99">
        <v>106934</v>
      </c>
      <c r="AD136" s="99">
        <f t="shared" si="9"/>
        <v>0</v>
      </c>
    </row>
    <row r="137" spans="29:30" ht="18" customHeight="1" x14ac:dyDescent="0.2">
      <c r="AC137" s="99">
        <v>106990</v>
      </c>
      <c r="AD137" s="99">
        <f t="shared" si="9"/>
        <v>0</v>
      </c>
    </row>
    <row r="138" spans="29:30" ht="18" customHeight="1" x14ac:dyDescent="0.2">
      <c r="AC138" s="99">
        <v>107028</v>
      </c>
      <c r="AD138" s="99">
        <f t="shared" si="9"/>
        <v>0</v>
      </c>
    </row>
    <row r="139" spans="29:30" ht="18" customHeight="1" x14ac:dyDescent="0.2">
      <c r="AC139" s="99">
        <v>107051</v>
      </c>
      <c r="AD139" s="99">
        <f t="shared" si="9"/>
        <v>0</v>
      </c>
    </row>
    <row r="140" spans="29:30" ht="18" customHeight="1" x14ac:dyDescent="0.2">
      <c r="AC140" s="99">
        <v>107062</v>
      </c>
      <c r="AD140" s="99">
        <f t="shared" si="9"/>
        <v>0</v>
      </c>
    </row>
    <row r="141" spans="29:30" ht="18" customHeight="1" x14ac:dyDescent="0.2">
      <c r="AC141" s="99">
        <v>107131</v>
      </c>
      <c r="AD141" s="99">
        <f t="shared" si="9"/>
        <v>0</v>
      </c>
    </row>
    <row r="142" spans="29:30" ht="18" customHeight="1" x14ac:dyDescent="0.2">
      <c r="AC142" s="99">
        <v>107211</v>
      </c>
      <c r="AD142" s="99">
        <f t="shared" si="9"/>
        <v>0</v>
      </c>
    </row>
    <row r="143" spans="29:30" ht="18" customHeight="1" x14ac:dyDescent="0.2">
      <c r="AC143" s="99">
        <v>107302</v>
      </c>
      <c r="AD143" s="99">
        <f t="shared" si="9"/>
        <v>0</v>
      </c>
    </row>
    <row r="144" spans="29:30" ht="18" customHeight="1" x14ac:dyDescent="0.2">
      <c r="AC144" s="99">
        <v>108054</v>
      </c>
      <c r="AD144" s="99">
        <f t="shared" si="9"/>
        <v>0</v>
      </c>
    </row>
    <row r="145" spans="29:30" ht="18" customHeight="1" x14ac:dyDescent="0.2">
      <c r="AC145" s="99">
        <v>108101</v>
      </c>
      <c r="AD145" s="99">
        <f t="shared" si="9"/>
        <v>0</v>
      </c>
    </row>
    <row r="146" spans="29:30" ht="18" customHeight="1" x14ac:dyDescent="0.2">
      <c r="AC146" s="99">
        <v>108316</v>
      </c>
      <c r="AD146" s="99">
        <f t="shared" si="9"/>
        <v>0</v>
      </c>
    </row>
    <row r="147" spans="29:30" ht="18" customHeight="1" x14ac:dyDescent="0.2">
      <c r="AC147" s="99">
        <v>108383</v>
      </c>
      <c r="AD147" s="99">
        <f t="shared" si="9"/>
        <v>0</v>
      </c>
    </row>
    <row r="148" spans="29:30" ht="18" customHeight="1" x14ac:dyDescent="0.2">
      <c r="AC148" s="99">
        <v>108394</v>
      </c>
      <c r="AD148" s="99">
        <f t="shared" si="9"/>
        <v>0</v>
      </c>
    </row>
    <row r="149" spans="29:30" ht="18" customHeight="1" x14ac:dyDescent="0.2">
      <c r="AC149" s="99">
        <v>108883</v>
      </c>
      <c r="AD149" s="99">
        <f t="shared" si="9"/>
        <v>0</v>
      </c>
    </row>
    <row r="150" spans="29:30" ht="18" customHeight="1" x14ac:dyDescent="0.2">
      <c r="AC150" s="99">
        <v>108907</v>
      </c>
      <c r="AD150" s="99">
        <f t="shared" si="9"/>
        <v>0</v>
      </c>
    </row>
    <row r="151" spans="29:30" ht="18" customHeight="1" x14ac:dyDescent="0.2">
      <c r="AC151" s="99">
        <v>108952</v>
      </c>
      <c r="AD151" s="99">
        <f t="shared" si="9"/>
        <v>0</v>
      </c>
    </row>
    <row r="152" spans="29:30" ht="18" customHeight="1" x14ac:dyDescent="0.2">
      <c r="AC152" s="99">
        <v>110543</v>
      </c>
      <c r="AD152" s="99">
        <f t="shared" si="9"/>
        <v>0</v>
      </c>
    </row>
    <row r="153" spans="29:30" ht="18" customHeight="1" x14ac:dyDescent="0.2">
      <c r="AC153" s="99">
        <v>111422</v>
      </c>
      <c r="AD153" s="99">
        <f t="shared" si="9"/>
        <v>0</v>
      </c>
    </row>
    <row r="154" spans="29:30" ht="18" customHeight="1" x14ac:dyDescent="0.2">
      <c r="AC154" s="99">
        <v>111444</v>
      </c>
      <c r="AD154" s="99">
        <f t="shared" si="9"/>
        <v>0</v>
      </c>
    </row>
    <row r="155" spans="29:30" ht="18" customHeight="1" x14ac:dyDescent="0.2">
      <c r="AC155" s="99">
        <v>114261</v>
      </c>
      <c r="AD155" s="99">
        <f t="shared" si="9"/>
        <v>0</v>
      </c>
    </row>
    <row r="156" spans="29:30" ht="18" customHeight="1" x14ac:dyDescent="0.2">
      <c r="AC156" s="99">
        <v>117817</v>
      </c>
      <c r="AD156" s="99">
        <f t="shared" si="9"/>
        <v>0</v>
      </c>
    </row>
    <row r="157" spans="29:30" ht="18" customHeight="1" x14ac:dyDescent="0.2">
      <c r="AC157" s="99">
        <v>118741</v>
      </c>
      <c r="AD157" s="99">
        <f t="shared" si="9"/>
        <v>0</v>
      </c>
    </row>
    <row r="158" spans="29:30" ht="18" customHeight="1" x14ac:dyDescent="0.2">
      <c r="AC158" s="99">
        <v>119904</v>
      </c>
      <c r="AD158" s="99">
        <f t="shared" si="9"/>
        <v>0</v>
      </c>
    </row>
    <row r="159" spans="29:30" ht="18" customHeight="1" x14ac:dyDescent="0.2">
      <c r="AC159" s="99">
        <v>119937</v>
      </c>
      <c r="AD159" s="99">
        <f t="shared" si="9"/>
        <v>0</v>
      </c>
    </row>
    <row r="160" spans="29:30" ht="18" customHeight="1" x14ac:dyDescent="0.2">
      <c r="AC160" s="99">
        <v>120809</v>
      </c>
      <c r="AD160" s="99">
        <f t="shared" si="9"/>
        <v>0</v>
      </c>
    </row>
    <row r="161" spans="29:30" ht="18" customHeight="1" x14ac:dyDescent="0.2">
      <c r="AC161" s="99">
        <v>120821</v>
      </c>
      <c r="AD161" s="99">
        <f t="shared" si="9"/>
        <v>0</v>
      </c>
    </row>
    <row r="162" spans="29:30" ht="18" customHeight="1" x14ac:dyDescent="0.2">
      <c r="AC162" s="99">
        <v>121142</v>
      </c>
      <c r="AD162" s="99">
        <f t="shared" si="9"/>
        <v>0</v>
      </c>
    </row>
    <row r="163" spans="29:30" ht="18" customHeight="1" x14ac:dyDescent="0.2">
      <c r="AC163" s="99">
        <v>121448</v>
      </c>
      <c r="AD163" s="99">
        <f t="shared" si="9"/>
        <v>0</v>
      </c>
    </row>
    <row r="164" spans="29:30" ht="18" customHeight="1" x14ac:dyDescent="0.2">
      <c r="AC164" s="99">
        <v>121697</v>
      </c>
      <c r="AD164" s="99">
        <f t="shared" si="9"/>
        <v>0</v>
      </c>
    </row>
    <row r="165" spans="29:30" ht="18" customHeight="1" x14ac:dyDescent="0.2">
      <c r="AC165" s="99">
        <v>122667</v>
      </c>
      <c r="AD165" s="99">
        <f t="shared" ref="AD165:AD196" si="10">SUMIF($C$38:$C$69,AC165,$L$38:$L$69)</f>
        <v>0</v>
      </c>
    </row>
    <row r="166" spans="29:30" ht="18" customHeight="1" x14ac:dyDescent="0.2">
      <c r="AC166" s="99">
        <v>123319</v>
      </c>
      <c r="AD166" s="99">
        <f t="shared" si="10"/>
        <v>0</v>
      </c>
    </row>
    <row r="167" spans="29:30" ht="18" customHeight="1" x14ac:dyDescent="0.2">
      <c r="AC167" s="99">
        <v>123386</v>
      </c>
      <c r="AD167" s="99">
        <f t="shared" si="10"/>
        <v>0</v>
      </c>
    </row>
    <row r="168" spans="29:30" ht="18" customHeight="1" x14ac:dyDescent="0.2">
      <c r="AC168" s="99">
        <v>123911</v>
      </c>
      <c r="AD168" s="99">
        <f t="shared" si="10"/>
        <v>0</v>
      </c>
    </row>
    <row r="169" spans="29:30" ht="18" customHeight="1" x14ac:dyDescent="0.2">
      <c r="AC169" s="99">
        <v>126998</v>
      </c>
      <c r="AD169" s="99">
        <f t="shared" si="10"/>
        <v>0</v>
      </c>
    </row>
    <row r="170" spans="29:30" ht="18" customHeight="1" x14ac:dyDescent="0.2">
      <c r="AC170" s="99">
        <v>127184</v>
      </c>
      <c r="AD170" s="99">
        <f t="shared" si="10"/>
        <v>0</v>
      </c>
    </row>
    <row r="171" spans="29:30" ht="18" customHeight="1" x14ac:dyDescent="0.2">
      <c r="AC171" s="99">
        <v>131113</v>
      </c>
      <c r="AD171" s="99">
        <f t="shared" si="10"/>
        <v>0</v>
      </c>
    </row>
    <row r="172" spans="29:30" ht="18" customHeight="1" x14ac:dyDescent="0.2">
      <c r="AC172" s="99">
        <v>132649</v>
      </c>
      <c r="AD172" s="99">
        <f t="shared" si="10"/>
        <v>0</v>
      </c>
    </row>
    <row r="173" spans="29:30" ht="18" customHeight="1" x14ac:dyDescent="0.2">
      <c r="AC173" s="99">
        <v>133062</v>
      </c>
      <c r="AD173" s="99">
        <f t="shared" si="10"/>
        <v>0</v>
      </c>
    </row>
    <row r="174" spans="29:30" ht="18" customHeight="1" x14ac:dyDescent="0.2">
      <c r="AC174" s="99">
        <v>133904</v>
      </c>
      <c r="AD174" s="99">
        <f t="shared" si="10"/>
        <v>0</v>
      </c>
    </row>
    <row r="175" spans="29:30" ht="18" customHeight="1" x14ac:dyDescent="0.2">
      <c r="AC175" s="99">
        <v>140885</v>
      </c>
      <c r="AD175" s="99">
        <f t="shared" si="10"/>
        <v>0</v>
      </c>
    </row>
    <row r="176" spans="29:30" ht="18" customHeight="1" x14ac:dyDescent="0.2">
      <c r="AC176" s="99">
        <v>151564</v>
      </c>
      <c r="AD176" s="99">
        <f t="shared" si="10"/>
        <v>0</v>
      </c>
    </row>
    <row r="177" spans="29:30" ht="18" customHeight="1" x14ac:dyDescent="0.2">
      <c r="AC177" s="99">
        <v>156627</v>
      </c>
      <c r="AD177" s="99">
        <f t="shared" si="10"/>
        <v>0</v>
      </c>
    </row>
    <row r="178" spans="29:30" ht="18" customHeight="1" x14ac:dyDescent="0.2">
      <c r="AC178" s="99">
        <v>302012</v>
      </c>
      <c r="AD178" s="99">
        <f t="shared" si="10"/>
        <v>0</v>
      </c>
    </row>
    <row r="179" spans="29:30" ht="18" customHeight="1" x14ac:dyDescent="0.2">
      <c r="AC179" s="99">
        <v>334883</v>
      </c>
      <c r="AD179" s="99">
        <f t="shared" si="10"/>
        <v>0</v>
      </c>
    </row>
    <row r="180" spans="29:30" ht="18" customHeight="1" x14ac:dyDescent="0.2">
      <c r="AC180" s="99">
        <v>463581</v>
      </c>
      <c r="AD180" s="99">
        <f t="shared" si="10"/>
        <v>0</v>
      </c>
    </row>
    <row r="181" spans="29:30" ht="18" customHeight="1" x14ac:dyDescent="0.2">
      <c r="AC181" s="99">
        <v>510156</v>
      </c>
      <c r="AD181" s="99">
        <f t="shared" si="10"/>
        <v>0</v>
      </c>
    </row>
    <row r="182" spans="29:30" ht="18" customHeight="1" x14ac:dyDescent="0.2">
      <c r="AC182" s="99">
        <v>532274</v>
      </c>
      <c r="AD182" s="99">
        <f t="shared" si="10"/>
        <v>0</v>
      </c>
    </row>
    <row r="183" spans="29:30" ht="18" customHeight="1" x14ac:dyDescent="0.2">
      <c r="AC183" s="99">
        <v>534521</v>
      </c>
      <c r="AD183" s="99">
        <f t="shared" si="10"/>
        <v>0</v>
      </c>
    </row>
    <row r="184" spans="29:30" ht="18" customHeight="1" x14ac:dyDescent="0.2">
      <c r="AC184" s="99">
        <v>540841</v>
      </c>
      <c r="AD184" s="99">
        <f t="shared" si="10"/>
        <v>0</v>
      </c>
    </row>
    <row r="185" spans="29:30" ht="18" customHeight="1" x14ac:dyDescent="0.2">
      <c r="AC185" s="99">
        <v>542756</v>
      </c>
      <c r="AD185" s="99">
        <f t="shared" si="10"/>
        <v>0</v>
      </c>
    </row>
    <row r="186" spans="29:30" ht="18" customHeight="1" x14ac:dyDescent="0.2">
      <c r="AC186" s="99">
        <v>542881</v>
      </c>
      <c r="AD186" s="99">
        <f t="shared" si="10"/>
        <v>0</v>
      </c>
    </row>
    <row r="187" spans="29:30" ht="18" customHeight="1" x14ac:dyDescent="0.2">
      <c r="AC187" s="99">
        <v>584849</v>
      </c>
      <c r="AD187" s="99">
        <f t="shared" si="10"/>
        <v>0</v>
      </c>
    </row>
    <row r="188" spans="29:30" ht="18" customHeight="1" x14ac:dyDescent="0.2">
      <c r="AC188" s="99">
        <v>593602</v>
      </c>
      <c r="AD188" s="99">
        <f t="shared" si="10"/>
        <v>0</v>
      </c>
    </row>
    <row r="189" spans="29:30" ht="18" customHeight="1" x14ac:dyDescent="0.2">
      <c r="AC189" s="99">
        <v>624839</v>
      </c>
      <c r="AD189" s="99">
        <f t="shared" si="10"/>
        <v>0</v>
      </c>
    </row>
    <row r="190" spans="29:30" ht="18" customHeight="1" x14ac:dyDescent="0.2">
      <c r="AC190" s="99">
        <v>680319</v>
      </c>
      <c r="AD190" s="99">
        <f t="shared" si="10"/>
        <v>0</v>
      </c>
    </row>
    <row r="191" spans="29:30" ht="18" customHeight="1" x14ac:dyDescent="0.2">
      <c r="AC191" s="99">
        <v>684935</v>
      </c>
      <c r="AD191" s="99">
        <f t="shared" si="10"/>
        <v>0</v>
      </c>
    </row>
    <row r="192" spans="29:30" ht="18" customHeight="1" x14ac:dyDescent="0.2">
      <c r="AC192" s="99">
        <v>822060</v>
      </c>
      <c r="AD192" s="99">
        <f t="shared" si="10"/>
        <v>0</v>
      </c>
    </row>
    <row r="193" spans="29:30" ht="18" customHeight="1" x14ac:dyDescent="0.2">
      <c r="AC193" s="99">
        <v>1120714</v>
      </c>
      <c r="AD193" s="99">
        <f t="shared" si="10"/>
        <v>0</v>
      </c>
    </row>
    <row r="194" spans="29:30" ht="18" customHeight="1" x14ac:dyDescent="0.2">
      <c r="AC194" s="99">
        <v>1319773</v>
      </c>
      <c r="AD194" s="99">
        <f t="shared" si="10"/>
        <v>0</v>
      </c>
    </row>
    <row r="195" spans="29:30" ht="18" customHeight="1" x14ac:dyDescent="0.2">
      <c r="AC195" s="99">
        <v>1330207</v>
      </c>
      <c r="AD195" s="99">
        <f t="shared" si="10"/>
        <v>0</v>
      </c>
    </row>
    <row r="196" spans="29:30" ht="18" customHeight="1" x14ac:dyDescent="0.2">
      <c r="AC196" s="99">
        <v>1332214</v>
      </c>
      <c r="AD196" s="99">
        <f t="shared" si="10"/>
        <v>0</v>
      </c>
    </row>
    <row r="197" spans="29:30" ht="18" customHeight="1" x14ac:dyDescent="0.2">
      <c r="AC197" s="99">
        <v>1336363</v>
      </c>
      <c r="AD197" s="99">
        <f t="shared" ref="AD197:AD219" si="11">SUMIF($C$38:$C$69,AC197,$L$38:$L$69)</f>
        <v>0</v>
      </c>
    </row>
    <row r="198" spans="29:30" ht="18" customHeight="1" x14ac:dyDescent="0.2">
      <c r="AC198" s="99">
        <v>1582098</v>
      </c>
      <c r="AD198" s="99">
        <f t="shared" si="11"/>
        <v>0</v>
      </c>
    </row>
    <row r="199" spans="29:30" ht="18" customHeight="1" x14ac:dyDescent="0.2">
      <c r="AC199" s="99">
        <v>1634044</v>
      </c>
      <c r="AD199" s="99">
        <f t="shared" si="11"/>
        <v>0</v>
      </c>
    </row>
    <row r="200" spans="29:30" ht="18" customHeight="1" x14ac:dyDescent="0.2">
      <c r="AC200" s="99">
        <v>1746016</v>
      </c>
      <c r="AD200" s="99">
        <f t="shared" si="11"/>
        <v>0</v>
      </c>
    </row>
    <row r="201" spans="29:30" ht="18" customHeight="1" x14ac:dyDescent="0.2">
      <c r="AC201" s="99">
        <v>3547044</v>
      </c>
      <c r="AD201" s="99">
        <f t="shared" si="11"/>
        <v>0</v>
      </c>
    </row>
    <row r="202" spans="29:30" ht="18" customHeight="1" x14ac:dyDescent="0.2">
      <c r="AC202" s="99">
        <v>7439921</v>
      </c>
      <c r="AD202" s="99">
        <f t="shared" si="11"/>
        <v>0</v>
      </c>
    </row>
    <row r="203" spans="29:30" ht="18" customHeight="1" x14ac:dyDescent="0.2">
      <c r="AC203" s="99">
        <v>7439965</v>
      </c>
      <c r="AD203" s="99">
        <f t="shared" si="11"/>
        <v>0</v>
      </c>
    </row>
    <row r="204" spans="29:30" ht="18" customHeight="1" x14ac:dyDescent="0.2">
      <c r="AC204" s="99">
        <v>7439976</v>
      </c>
      <c r="AD204" s="99">
        <f t="shared" si="11"/>
        <v>0</v>
      </c>
    </row>
    <row r="205" spans="29:30" ht="18" customHeight="1" x14ac:dyDescent="0.2">
      <c r="AC205" s="99">
        <v>7440020</v>
      </c>
      <c r="AD205" s="99">
        <f t="shared" si="11"/>
        <v>0</v>
      </c>
    </row>
    <row r="206" spans="29:30" ht="18" customHeight="1" x14ac:dyDescent="0.2">
      <c r="AC206" s="99">
        <v>7440360</v>
      </c>
      <c r="AD206" s="99">
        <f t="shared" si="11"/>
        <v>0</v>
      </c>
    </row>
    <row r="207" spans="29:30" ht="18" customHeight="1" x14ac:dyDescent="0.2">
      <c r="AC207" s="99">
        <v>7440382</v>
      </c>
      <c r="AD207" s="99">
        <f t="shared" si="11"/>
        <v>0</v>
      </c>
    </row>
    <row r="208" spans="29:30" ht="18" customHeight="1" x14ac:dyDescent="0.2">
      <c r="AC208" s="99">
        <v>7440417</v>
      </c>
      <c r="AD208" s="99">
        <f t="shared" si="11"/>
        <v>0</v>
      </c>
    </row>
    <row r="209" spans="29:30" ht="18" customHeight="1" x14ac:dyDescent="0.2">
      <c r="AC209" s="99">
        <v>7440439</v>
      </c>
      <c r="AD209" s="99">
        <f t="shared" si="11"/>
        <v>0</v>
      </c>
    </row>
    <row r="210" spans="29:30" ht="18" customHeight="1" x14ac:dyDescent="0.2">
      <c r="AC210" s="99">
        <v>7440473</v>
      </c>
      <c r="AD210" s="99">
        <f t="shared" si="11"/>
        <v>0</v>
      </c>
    </row>
    <row r="211" spans="29:30" ht="18" customHeight="1" x14ac:dyDescent="0.2">
      <c r="AC211" s="99">
        <v>7440484</v>
      </c>
      <c r="AD211" s="99">
        <f t="shared" si="11"/>
        <v>0</v>
      </c>
    </row>
    <row r="212" spans="29:30" ht="18" customHeight="1" x14ac:dyDescent="0.2">
      <c r="AC212" s="99">
        <v>7550450</v>
      </c>
      <c r="AD212" s="99">
        <f t="shared" si="11"/>
        <v>0</v>
      </c>
    </row>
    <row r="213" spans="29:30" ht="18" customHeight="1" x14ac:dyDescent="0.2">
      <c r="AC213" s="99">
        <v>7647010</v>
      </c>
      <c r="AD213" s="99">
        <f t="shared" si="11"/>
        <v>0</v>
      </c>
    </row>
    <row r="214" spans="29:30" ht="18" customHeight="1" x14ac:dyDescent="0.2">
      <c r="AC214" s="99">
        <v>7664393</v>
      </c>
      <c r="AD214" s="99">
        <f t="shared" si="11"/>
        <v>0</v>
      </c>
    </row>
    <row r="215" spans="29:30" ht="18" customHeight="1" x14ac:dyDescent="0.2">
      <c r="AC215" s="99">
        <v>7723140</v>
      </c>
      <c r="AD215" s="99">
        <f t="shared" si="11"/>
        <v>0</v>
      </c>
    </row>
    <row r="216" spans="29:30" ht="18" customHeight="1" x14ac:dyDescent="0.2">
      <c r="AC216" s="99">
        <v>7782492</v>
      </c>
      <c r="AD216" s="99">
        <f t="shared" si="11"/>
        <v>0</v>
      </c>
    </row>
    <row r="217" spans="29:30" ht="18" customHeight="1" x14ac:dyDescent="0.2">
      <c r="AC217" s="99">
        <v>7782505</v>
      </c>
      <c r="AD217" s="99">
        <f t="shared" si="11"/>
        <v>0</v>
      </c>
    </row>
    <row r="218" spans="29:30" ht="18" customHeight="1" x14ac:dyDescent="0.2">
      <c r="AC218" s="99">
        <v>7803512</v>
      </c>
      <c r="AD218" s="99">
        <f t="shared" si="11"/>
        <v>0</v>
      </c>
    </row>
    <row r="219" spans="29:30" ht="18" customHeight="1" x14ac:dyDescent="0.2">
      <c r="AC219" s="99">
        <v>8001352</v>
      </c>
      <c r="AD219" s="99">
        <f t="shared" si="11"/>
        <v>0</v>
      </c>
    </row>
    <row r="220" spans="29:30" ht="18" customHeight="1" x14ac:dyDescent="0.2"/>
    <row r="221" spans="29:30" ht="18" customHeight="1" x14ac:dyDescent="0.2"/>
    <row r="222" spans="29:30" ht="18" customHeight="1" x14ac:dyDescent="0.2"/>
    <row r="223" spans="29:30" ht="18" customHeight="1" x14ac:dyDescent="0.2"/>
    <row r="224" spans="29:30" ht="18" customHeight="1" x14ac:dyDescent="0.2"/>
    <row r="225" ht="18" customHeight="1" x14ac:dyDescent="0.2"/>
    <row r="226" ht="18" customHeight="1" x14ac:dyDescent="0.2"/>
    <row r="227" ht="18" customHeight="1" x14ac:dyDescent="0.2"/>
    <row r="228" ht="18" customHeight="1" x14ac:dyDescent="0.2"/>
    <row r="229" ht="18" customHeight="1" x14ac:dyDescent="0.2"/>
    <row r="230" ht="18" customHeight="1" x14ac:dyDescent="0.2"/>
    <row r="231" ht="18" customHeight="1" x14ac:dyDescent="0.2"/>
    <row r="232" ht="18" customHeight="1" x14ac:dyDescent="0.2"/>
    <row r="233" ht="18" customHeight="1" x14ac:dyDescent="0.2"/>
    <row r="234" ht="18" customHeight="1" x14ac:dyDescent="0.2"/>
    <row r="235" ht="18" customHeight="1" x14ac:dyDescent="0.2"/>
    <row r="236" ht="18" customHeight="1" x14ac:dyDescent="0.2"/>
    <row r="237" ht="18" customHeight="1" x14ac:dyDescent="0.2"/>
    <row r="238" ht="18" customHeight="1" x14ac:dyDescent="0.2"/>
    <row r="239" ht="18" customHeight="1" x14ac:dyDescent="0.2"/>
    <row r="240" ht="18" customHeight="1" x14ac:dyDescent="0.2"/>
    <row r="241" ht="18" customHeight="1" x14ac:dyDescent="0.2"/>
    <row r="242" ht="18" customHeight="1" x14ac:dyDescent="0.2"/>
    <row r="243" ht="18" customHeight="1" x14ac:dyDescent="0.2"/>
    <row r="244" ht="18" customHeight="1" x14ac:dyDescent="0.2"/>
    <row r="245" ht="18" customHeight="1" x14ac:dyDescent="0.2"/>
    <row r="246" ht="18" customHeight="1" x14ac:dyDescent="0.2"/>
    <row r="247" ht="18" customHeight="1" x14ac:dyDescent="0.2"/>
    <row r="248" ht="18" customHeight="1" x14ac:dyDescent="0.2"/>
    <row r="249" ht="18" customHeight="1" x14ac:dyDescent="0.2"/>
    <row r="250" ht="18" customHeight="1" x14ac:dyDescent="0.2"/>
    <row r="251" ht="18" customHeight="1" x14ac:dyDescent="0.2"/>
    <row r="252" ht="18" customHeight="1" x14ac:dyDescent="0.2"/>
    <row r="253" ht="18" customHeight="1" x14ac:dyDescent="0.2"/>
    <row r="254" ht="18" customHeight="1" x14ac:dyDescent="0.2"/>
    <row r="255" ht="18" customHeight="1" x14ac:dyDescent="0.2"/>
    <row r="256" ht="18" customHeight="1" x14ac:dyDescent="0.2"/>
    <row r="257" ht="18" customHeight="1" x14ac:dyDescent="0.2"/>
    <row r="258" ht="18" customHeight="1" x14ac:dyDescent="0.2"/>
    <row r="259" ht="18" customHeight="1" x14ac:dyDescent="0.2"/>
    <row r="260" ht="18" customHeight="1" x14ac:dyDescent="0.2"/>
    <row r="261" ht="18" customHeight="1" x14ac:dyDescent="0.2"/>
    <row r="262" ht="18" customHeight="1" x14ac:dyDescent="0.2"/>
    <row r="263" ht="18" customHeight="1" x14ac:dyDescent="0.2"/>
    <row r="264" ht="18" customHeight="1" x14ac:dyDescent="0.2"/>
    <row r="265" ht="18" customHeight="1" x14ac:dyDescent="0.2"/>
    <row r="266" ht="18" customHeight="1" x14ac:dyDescent="0.2"/>
    <row r="267" ht="18" customHeight="1" x14ac:dyDescent="0.2"/>
    <row r="268" ht="18" customHeight="1" x14ac:dyDescent="0.2"/>
    <row r="269" ht="18" customHeight="1" x14ac:dyDescent="0.2"/>
    <row r="270" ht="18" customHeight="1" x14ac:dyDescent="0.2"/>
    <row r="271" ht="18" customHeight="1" x14ac:dyDescent="0.2"/>
    <row r="272" ht="18" customHeight="1" x14ac:dyDescent="0.2"/>
    <row r="273" ht="18" customHeight="1" x14ac:dyDescent="0.2"/>
    <row r="274" ht="18" customHeight="1" x14ac:dyDescent="0.2"/>
    <row r="275" ht="18" customHeight="1" x14ac:dyDescent="0.2"/>
    <row r="276" ht="18" customHeight="1" x14ac:dyDescent="0.2"/>
    <row r="277" ht="18" customHeight="1" x14ac:dyDescent="0.2"/>
    <row r="278" ht="18" customHeight="1" x14ac:dyDescent="0.2"/>
    <row r="279" ht="18" customHeight="1" x14ac:dyDescent="0.2"/>
    <row r="280" ht="18" customHeight="1" x14ac:dyDescent="0.2"/>
    <row r="281" ht="18" customHeight="1" x14ac:dyDescent="0.2"/>
    <row r="282" ht="18" customHeight="1" x14ac:dyDescent="0.2"/>
    <row r="283" ht="18" customHeight="1" x14ac:dyDescent="0.2"/>
    <row r="284" ht="18" customHeight="1" x14ac:dyDescent="0.2"/>
    <row r="285" ht="18" customHeight="1" x14ac:dyDescent="0.2"/>
    <row r="286" ht="18" customHeight="1" x14ac:dyDescent="0.2"/>
    <row r="287" ht="18" customHeight="1" x14ac:dyDescent="0.2"/>
  </sheetData>
  <sheetProtection algorithmName="SHA-512" hashValue="CV+l/y9PLVJkbJWSwS4zzDUQwHbhcUH1QI/KfrR84DtPCC3FDs6dIZgr3pEAO2n8NBaUbBaTTnhBC+oGI+bPjw==" saltValue="vtQ2ZTntyVCLmArUeEspYA==" spinCount="100000" sheet="1" objects="1" scenarios="1"/>
  <dataConsolidate/>
  <mergeCells count="36">
    <mergeCell ref="A36:A37"/>
    <mergeCell ref="B36:B37"/>
    <mergeCell ref="C36:C37"/>
    <mergeCell ref="H36:H37"/>
    <mergeCell ref="G36:G37"/>
    <mergeCell ref="F36:F37"/>
    <mergeCell ref="E36:E37"/>
    <mergeCell ref="D36:D37"/>
    <mergeCell ref="A1:L1"/>
    <mergeCell ref="C16:C17"/>
    <mergeCell ref="D16:D17"/>
    <mergeCell ref="E16:E17"/>
    <mergeCell ref="F16:F17"/>
    <mergeCell ref="G16:G17"/>
    <mergeCell ref="A16:A17"/>
    <mergeCell ref="B16:B17"/>
    <mergeCell ref="B9:L9"/>
    <mergeCell ref="B5:L5"/>
    <mergeCell ref="B4:L4"/>
    <mergeCell ref="B3:L3"/>
    <mergeCell ref="A2:L2"/>
    <mergeCell ref="B6:L6"/>
    <mergeCell ref="B8:L8"/>
    <mergeCell ref="B7:L7"/>
    <mergeCell ref="A35:L35"/>
    <mergeCell ref="A34:L34"/>
    <mergeCell ref="A33:H33"/>
    <mergeCell ref="A31:L31"/>
    <mergeCell ref="I33:L33"/>
    <mergeCell ref="B11:L11"/>
    <mergeCell ref="B10:L10"/>
    <mergeCell ref="A14:L14"/>
    <mergeCell ref="H16:H17"/>
    <mergeCell ref="A26:L26"/>
    <mergeCell ref="B13:L13"/>
    <mergeCell ref="B12:L12"/>
  </mergeCells>
  <conditionalFormatting sqref="B38:B69">
    <cfRule type="expression" dxfId="136" priority="21">
      <formula>J38="Enter HAP Name"</formula>
    </cfRule>
  </conditionalFormatting>
  <conditionalFormatting sqref="C38:C69">
    <cfRule type="expression" dxfId="135" priority="18">
      <formula>AND(NOT(ISBLANK(C38)),NOT(ISNUMBER(MATCH(C38,$AC$37:$AC$219,0))))</formula>
    </cfRule>
  </conditionalFormatting>
  <conditionalFormatting sqref="C38:L69">
    <cfRule type="expression" dxfId="134" priority="20">
      <formula>AND(ISTEXT($B38),ISBLANK(C38))</formula>
    </cfRule>
  </conditionalFormatting>
  <conditionalFormatting sqref="D38:F69 I38:I69 K38:K69">
    <cfRule type="expression" dxfId="133" priority="1">
      <formula>AND(ISBLANK($A38),NOT(ISBLANK($B38)))</formula>
    </cfRule>
  </conditionalFormatting>
  <conditionalFormatting sqref="I38:I69 E38:E69 K38:K69 G38:G69">
    <cfRule type="expression" dxfId="132" priority="15">
      <formula>ISTEXT(E38)</formula>
    </cfRule>
  </conditionalFormatting>
  <conditionalFormatting sqref="I38:I69">
    <cfRule type="expression" dxfId="131" priority="2">
      <formula>OR(AND(F38="POUNDS",H38="WEIGHT %"),AND(F38="GALLONS",H38="LBS/GALLON"))</formula>
    </cfRule>
  </conditionalFormatting>
  <dataValidations count="2">
    <dataValidation type="list" errorStyle="warning" showInputMessage="1" showErrorMessage="1" errorTitle="Error." error="Must select either 'pounds' or 'gallons'!" promptTitle="Throughput Units" prompt="Indicate what units your material throughput is provided in." sqref="F38:F69" xr:uid="{00000000-0002-0000-0B00-000000000000}">
      <formula1>$W$38:$W$39</formula1>
    </dataValidation>
    <dataValidation type="list" errorStyle="warning" showInputMessage="1" showErrorMessage="1" errorTitle="Error!" error="Must provide HAP Content in either 'weight %' or 'lbs/gallon'." promptTitle="HAP Content" prompt="Indicate whether your HAP content is provided in 'weight %' or 'lbs/gallon'." sqref="H38:H69" xr:uid="{00000000-0002-0000-0B00-000001000000}">
      <formula1>$Z$38:$Z$39</formula1>
    </dataValidation>
  </dataValidations>
  <hyperlinks>
    <hyperlink ref="I33:L33" location="'HAP CAS &amp; Names'!A1" display="For a complete list of EPA regulated Hazardous Air Pollutants, including CAS Numbers, click here." xr:uid="{00000000-0004-0000-0B00-000000000000}"/>
    <hyperlink ref="A14:L14" location="'HAP CAS &amp; Names'!A1" display="CLICK HERE FOR EPA'S LIST OF HAZARDOUS AIR POLLUTANTS (HAP)." xr:uid="{00000000-0004-0000-0B00-000001000000}"/>
  </hyperlinks>
  <printOptions horizontalCentered="1"/>
  <pageMargins left="0.5" right="0.4" top="0.5" bottom="0.5" header="0.3" footer="0.3"/>
  <pageSetup scale="74" fitToHeight="0" orientation="landscape" r:id="rId1"/>
  <headerFooter>
    <oddFooter>&amp;LRev. 2/2014&amp;C&amp;A&amp;RPage &amp;P</oddFooter>
  </headerFooter>
  <drawing r:id="rId2"/>
  <extLst>
    <ext xmlns:x14="http://schemas.microsoft.com/office/spreadsheetml/2009/9/main" uri="{CCE6A557-97BC-4b89-ADB6-D9C93CAAB3DF}">
      <x14:dataValidations xmlns:xm="http://schemas.microsoft.com/office/excel/2006/main" count="1">
        <x14:dataValidation type="list" errorStyle="warning" showDropDown="1" showInputMessage="1" showErrorMessage="1" errorTitle="Invalid CAS #" error="The CAS # you have entered is invalid.  Check the CAS # for the pollutant you entered and try again." prompt="Enter the CAS Number for the HAP listed.  The number entered must be a valid CAS Number." xr:uid="{00000000-0002-0000-0B00-000002000000}">
          <x14:formula1>
            <xm:f>'HAP CAS &amp; Names'!$F$4:$F$186</xm:f>
          </x14:formula1>
          <xm:sqref>C38:C69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002060"/>
    <pageSetUpPr fitToPage="1"/>
  </sheetPr>
  <dimension ref="A1:O26"/>
  <sheetViews>
    <sheetView zoomScaleNormal="100" zoomScalePageLayoutView="85" workbookViewId="0">
      <selection sqref="A1:J1"/>
    </sheetView>
  </sheetViews>
  <sheetFormatPr defaultRowHeight="15" x14ac:dyDescent="0.25"/>
  <cols>
    <col min="1" max="1" width="29.7109375" style="64" customWidth="1"/>
    <col min="2" max="6" width="22.7109375" style="64" customWidth="1"/>
    <col min="7" max="7" width="4.5703125" style="64" customWidth="1"/>
    <col min="8" max="16384" width="9.140625" style="64"/>
  </cols>
  <sheetData>
    <row r="1" spans="1:15" s="69" customFormat="1" ht="26.25" customHeight="1" thickBot="1" x14ac:dyDescent="0.3">
      <c r="A1" s="1122" t="s">
        <v>2191</v>
      </c>
      <c r="B1" s="1122"/>
      <c r="C1" s="1122"/>
      <c r="D1" s="1122"/>
      <c r="E1" s="1122"/>
      <c r="F1" s="1122"/>
      <c r="G1" s="1122"/>
      <c r="H1" s="1122"/>
      <c r="I1" s="1122"/>
      <c r="J1" s="1122"/>
      <c r="K1" s="79"/>
      <c r="L1" s="79"/>
    </row>
    <row r="2" spans="1:15" s="68" customFormat="1" ht="20.100000000000001" customHeight="1" x14ac:dyDescent="0.25">
      <c r="A2" s="1065" t="s">
        <v>1831</v>
      </c>
      <c r="B2" s="1065"/>
      <c r="C2" s="1065"/>
      <c r="D2" s="1065"/>
      <c r="E2" s="1065"/>
      <c r="F2" s="1065"/>
      <c r="G2" s="1065"/>
      <c r="H2" s="1065"/>
      <c r="I2" s="1065"/>
      <c r="J2" s="1065"/>
      <c r="K2" s="121"/>
      <c r="L2" s="121"/>
    </row>
    <row r="3" spans="1:15" ht="54.95" customHeight="1" x14ac:dyDescent="0.25">
      <c r="A3" s="1147" t="s">
        <v>1854</v>
      </c>
      <c r="B3" s="1147"/>
      <c r="C3" s="1147"/>
      <c r="D3" s="1147"/>
      <c r="E3" s="1147"/>
      <c r="F3" s="1147"/>
      <c r="G3" s="1147"/>
      <c r="H3" s="1147"/>
      <c r="I3" s="1147"/>
      <c r="J3" s="1147"/>
      <c r="K3" s="122"/>
      <c r="L3" s="122"/>
    </row>
    <row r="4" spans="1:15" ht="39.950000000000003" customHeight="1" x14ac:dyDescent="0.25">
      <c r="A4" s="1147" t="s">
        <v>1832</v>
      </c>
      <c r="B4" s="1147"/>
      <c r="C4" s="1147"/>
      <c r="D4" s="1147"/>
      <c r="E4" s="1147"/>
      <c r="F4" s="1147"/>
      <c r="G4" s="1147"/>
      <c r="H4" s="1147"/>
      <c r="I4" s="1147"/>
      <c r="J4" s="1147"/>
      <c r="K4" s="122"/>
      <c r="L4" s="122"/>
    </row>
    <row r="5" spans="1:15" ht="20.100000000000001" customHeight="1" thickBot="1" x14ac:dyDescent="0.3">
      <c r="A5" s="1084" t="s">
        <v>1833</v>
      </c>
      <c r="B5" s="1084"/>
      <c r="C5" s="1084"/>
      <c r="D5" s="1084"/>
      <c r="E5" s="1084"/>
      <c r="F5" s="1084"/>
      <c r="G5" s="1084"/>
      <c r="H5" s="1084"/>
      <c r="I5" s="1084"/>
      <c r="J5" s="1084"/>
      <c r="K5" s="122"/>
      <c r="L5" s="122"/>
    </row>
    <row r="6" spans="1:15" s="70" customFormat="1" ht="19.5" thickBot="1" x14ac:dyDescent="0.3">
      <c r="A6" s="1087" t="s">
        <v>1564</v>
      </c>
      <c r="B6" s="1087"/>
      <c r="C6" s="1087"/>
      <c r="D6" s="1087"/>
      <c r="E6" s="1087"/>
      <c r="F6" s="1087"/>
      <c r="G6" s="1087"/>
      <c r="H6" s="1087"/>
      <c r="I6" s="1087"/>
      <c r="J6" s="1087"/>
      <c r="K6" s="90"/>
      <c r="L6" s="90"/>
    </row>
    <row r="7" spans="1:15" ht="60" customHeight="1" x14ac:dyDescent="0.25">
      <c r="A7" s="1265"/>
      <c r="B7" s="1265"/>
      <c r="C7" s="1265"/>
      <c r="D7" s="1265"/>
      <c r="E7" s="1265"/>
      <c r="F7" s="1265"/>
    </row>
    <row r="8" spans="1:15" s="99" customFormat="1" ht="24.95" customHeight="1" x14ac:dyDescent="0.25">
      <c r="A8" s="1267" t="s">
        <v>1431</v>
      </c>
      <c r="B8" s="1267"/>
      <c r="C8" s="1267"/>
      <c r="D8" s="1267"/>
      <c r="E8" s="1267"/>
      <c r="F8" s="1267"/>
      <c r="G8" s="186"/>
      <c r="H8" s="186"/>
      <c r="I8" s="186"/>
      <c r="J8" s="186"/>
      <c r="K8" s="187"/>
      <c r="L8" s="64"/>
      <c r="M8" s="64"/>
      <c r="N8" s="64"/>
      <c r="O8" s="64"/>
    </row>
    <row r="9" spans="1:15" s="99" customFormat="1" ht="24.95" customHeight="1" thickBot="1" x14ac:dyDescent="0.3">
      <c r="A9" s="1266" t="s">
        <v>2190</v>
      </c>
      <c r="B9" s="1266"/>
      <c r="C9" s="1266"/>
      <c r="D9" s="1266"/>
      <c r="E9" s="1266"/>
      <c r="F9" s="1266"/>
      <c r="G9" s="188"/>
      <c r="H9" s="188"/>
      <c r="I9" s="188"/>
      <c r="J9" s="188"/>
      <c r="K9" s="187"/>
      <c r="L9" s="64"/>
      <c r="M9" s="64"/>
      <c r="N9" s="64"/>
      <c r="O9" s="64"/>
    </row>
    <row r="10" spans="1:15" ht="73.5" customHeight="1" x14ac:dyDescent="0.25">
      <c r="A10" s="1259" t="s">
        <v>1829</v>
      </c>
      <c r="B10" s="624" t="s">
        <v>256</v>
      </c>
      <c r="C10" s="624" t="s">
        <v>2136</v>
      </c>
      <c r="D10" s="1257" t="s">
        <v>257</v>
      </c>
      <c r="E10" s="624" t="s">
        <v>2137</v>
      </c>
      <c r="F10" s="1255" t="s">
        <v>257</v>
      </c>
    </row>
    <row r="11" spans="1:15" ht="20.100000000000001" customHeight="1" thickBot="1" x14ac:dyDescent="0.3">
      <c r="A11" s="1268"/>
      <c r="B11" s="27" t="s">
        <v>261</v>
      </c>
      <c r="C11" s="27" t="s">
        <v>261</v>
      </c>
      <c r="D11" s="1258"/>
      <c r="E11" s="27" t="s">
        <v>261</v>
      </c>
      <c r="F11" s="1264"/>
    </row>
    <row r="12" spans="1:15" ht="13.5" customHeight="1" thickBot="1" x14ac:dyDescent="0.3">
      <c r="A12" s="1261"/>
      <c r="B12" s="1262"/>
      <c r="C12" s="1262"/>
      <c r="D12" s="1262"/>
      <c r="E12" s="1262"/>
      <c r="F12" s="1263"/>
    </row>
    <row r="13" spans="1:15" ht="20.100000000000001" customHeight="1" x14ac:dyDescent="0.25">
      <c r="A13" s="22" t="s">
        <v>258</v>
      </c>
      <c r="B13" s="28">
        <f>SUM('Table 5-A| Criteria MPTE'!G100:G188)/2000</f>
        <v>0</v>
      </c>
      <c r="C13" s="24">
        <v>15</v>
      </c>
      <c r="D13" s="23" t="str">
        <f t="shared" ref="D13:D20" si="0">IF(OR(B13&gt;C13,B13=C13),"Yes","No")</f>
        <v>No</v>
      </c>
      <c r="E13" s="24">
        <v>100</v>
      </c>
      <c r="F13" s="636" t="str">
        <f>IF(OR(B13&gt;E13,B13=E13),"Yes","No")</f>
        <v>No</v>
      </c>
      <c r="H13" s="617"/>
      <c r="I13" s="616"/>
      <c r="J13" s="616"/>
      <c r="K13" s="616"/>
    </row>
    <row r="14" spans="1:15" ht="20.100000000000001" customHeight="1" x14ac:dyDescent="0.25">
      <c r="A14" s="21" t="s">
        <v>259</v>
      </c>
      <c r="B14" s="29">
        <f>SUM('Table 5-A| Criteria MPTE'!H100:H188)/2000</f>
        <v>0</v>
      </c>
      <c r="C14" s="20">
        <v>10</v>
      </c>
      <c r="D14" s="19" t="str">
        <f t="shared" si="0"/>
        <v>No</v>
      </c>
      <c r="E14" s="627"/>
      <c r="F14" s="641" t="s">
        <v>73</v>
      </c>
      <c r="H14" s="616"/>
      <c r="I14" s="616"/>
      <c r="J14" s="616"/>
      <c r="K14" s="616"/>
    </row>
    <row r="15" spans="1:15" ht="20.100000000000001" customHeight="1" x14ac:dyDescent="0.25">
      <c r="A15" s="21" t="s">
        <v>3</v>
      </c>
      <c r="B15" s="29">
        <f>SUM('Table 5-A| Criteria MPTE'!I100:I188)/2000</f>
        <v>0</v>
      </c>
      <c r="C15" s="20">
        <v>40</v>
      </c>
      <c r="D15" s="19" t="str">
        <f t="shared" si="0"/>
        <v>No</v>
      </c>
      <c r="E15" s="20">
        <v>100</v>
      </c>
      <c r="F15" s="637" t="str">
        <f t="shared" ref="F15:F20" si="1">IF(OR(B15&gt;E15,B15=E15),"Yes","No")</f>
        <v>No</v>
      </c>
      <c r="H15" s="616"/>
      <c r="I15" s="616"/>
      <c r="J15" s="616"/>
      <c r="K15" s="616"/>
    </row>
    <row r="16" spans="1:15" ht="20.100000000000001" customHeight="1" x14ac:dyDescent="0.25">
      <c r="A16" s="21" t="s">
        <v>4</v>
      </c>
      <c r="B16" s="29">
        <f>SUM('Table 5-A| Criteria MPTE'!J100:J188)/2000</f>
        <v>0</v>
      </c>
      <c r="C16" s="20">
        <v>40</v>
      </c>
      <c r="D16" s="19" t="str">
        <f t="shared" si="0"/>
        <v>No</v>
      </c>
      <c r="E16" s="20">
        <v>100</v>
      </c>
      <c r="F16" s="637" t="str">
        <f t="shared" si="1"/>
        <v>No</v>
      </c>
      <c r="H16" s="616"/>
      <c r="I16" s="616"/>
      <c r="J16" s="616"/>
      <c r="K16" s="616"/>
    </row>
    <row r="17" spans="1:11" ht="20.100000000000001" customHeight="1" x14ac:dyDescent="0.25">
      <c r="A17" s="21" t="s">
        <v>0</v>
      </c>
      <c r="B17" s="29">
        <f>SUM('Table 5-A| Criteria MPTE'!K100:K188)/2000</f>
        <v>0</v>
      </c>
      <c r="C17" s="20">
        <v>40</v>
      </c>
      <c r="D17" s="19" t="str">
        <f t="shared" si="0"/>
        <v>No</v>
      </c>
      <c r="E17" s="20">
        <v>100</v>
      </c>
      <c r="F17" s="637" t="str">
        <f t="shared" si="1"/>
        <v>No</v>
      </c>
      <c r="H17" s="616"/>
      <c r="I17" s="616"/>
      <c r="J17" s="616"/>
      <c r="K17" s="616"/>
    </row>
    <row r="18" spans="1:11" ht="20.100000000000001" customHeight="1" x14ac:dyDescent="0.25">
      <c r="A18" s="21" t="s">
        <v>5</v>
      </c>
      <c r="B18" s="29">
        <f>SUM('Table 5-A| Criteria MPTE'!L100:L188)/2000</f>
        <v>0</v>
      </c>
      <c r="C18" s="20">
        <v>50</v>
      </c>
      <c r="D18" s="19" t="str">
        <f t="shared" si="0"/>
        <v>No</v>
      </c>
      <c r="E18" s="20">
        <v>100</v>
      </c>
      <c r="F18" s="637" t="str">
        <f t="shared" si="1"/>
        <v>No</v>
      </c>
      <c r="H18" s="616"/>
      <c r="I18" s="616"/>
      <c r="J18" s="616"/>
      <c r="K18" s="616"/>
    </row>
    <row r="19" spans="1:11" ht="20.100000000000001" customHeight="1" x14ac:dyDescent="0.25">
      <c r="A19" s="21" t="s">
        <v>2138</v>
      </c>
      <c r="B19" s="29">
        <f>SUM('Table 5-A| Criteria MPTE'!$M$100:$M$188)/2000</f>
        <v>0</v>
      </c>
      <c r="C19" s="627"/>
      <c r="D19" s="628" t="s">
        <v>73</v>
      </c>
      <c r="E19" s="627"/>
      <c r="F19" s="645"/>
      <c r="H19" s="616"/>
      <c r="I19" s="616"/>
      <c r="J19" s="616"/>
      <c r="K19" s="616"/>
    </row>
    <row r="20" spans="1:11" ht="20.100000000000001" customHeight="1" thickBot="1" x14ac:dyDescent="0.3">
      <c r="A20" s="21" t="s">
        <v>236</v>
      </c>
      <c r="B20" s="29">
        <f>SUM('Table 5-A| Criteria MPTE'!N100:N188)/2000</f>
        <v>0</v>
      </c>
      <c r="C20" s="20">
        <v>0.6</v>
      </c>
      <c r="D20" s="19" t="str">
        <f t="shared" si="0"/>
        <v>No</v>
      </c>
      <c r="E20" s="20">
        <v>5</v>
      </c>
      <c r="F20" s="637" t="str">
        <f t="shared" si="1"/>
        <v>No</v>
      </c>
      <c r="H20" s="616"/>
      <c r="I20" s="616"/>
      <c r="J20" s="616"/>
      <c r="K20" s="616"/>
    </row>
    <row r="21" spans="1:11" ht="13.5" customHeight="1" thickBot="1" x14ac:dyDescent="0.3">
      <c r="A21" s="1261"/>
      <c r="B21" s="1262"/>
      <c r="C21" s="1262"/>
      <c r="D21" s="1262"/>
      <c r="E21" s="1262"/>
      <c r="F21" s="1263"/>
    </row>
    <row r="22" spans="1:11" ht="72.75" customHeight="1" x14ac:dyDescent="0.25">
      <c r="A22" s="1259" t="s">
        <v>1830</v>
      </c>
      <c r="B22" s="624" t="s">
        <v>256</v>
      </c>
      <c r="C22" s="624" t="s">
        <v>2134</v>
      </c>
      <c r="D22" s="1257" t="s">
        <v>257</v>
      </c>
      <c r="E22" s="624" t="s">
        <v>2135</v>
      </c>
      <c r="F22" s="1255" t="s">
        <v>257</v>
      </c>
    </row>
    <row r="23" spans="1:11" ht="20.100000000000001" customHeight="1" thickBot="1" x14ac:dyDescent="0.3">
      <c r="A23" s="1260"/>
      <c r="B23" s="26" t="s">
        <v>261</v>
      </c>
      <c r="C23" s="27" t="s">
        <v>261</v>
      </c>
      <c r="D23" s="1258"/>
      <c r="E23" s="27" t="s">
        <v>261</v>
      </c>
      <c r="F23" s="1256"/>
    </row>
    <row r="24" spans="1:11" ht="13.5" customHeight="1" thickBot="1" x14ac:dyDescent="0.3">
      <c r="A24" s="625"/>
      <c r="B24" s="626"/>
      <c r="C24" s="626"/>
      <c r="D24" s="626"/>
      <c r="E24" s="626"/>
      <c r="F24" s="638"/>
    </row>
    <row r="25" spans="1:11" ht="20.100000000000001" customHeight="1" x14ac:dyDescent="0.25">
      <c r="A25" s="21" t="s">
        <v>262</v>
      </c>
      <c r="B25" s="466">
        <f>IFERROR(LARGE('Table 5-C| MPTE HAP'!$AD$37:$AD$219,1)/2000,0)</f>
        <v>0</v>
      </c>
      <c r="C25" s="20">
        <v>2.5</v>
      </c>
      <c r="D25" s="19" t="str">
        <f>IF(OR(B25&gt;C25,B25=C25),"Yes","No")</f>
        <v>No</v>
      </c>
      <c r="E25" s="20">
        <v>10</v>
      </c>
      <c r="F25" s="637" t="str">
        <f>IF(OR(B25&gt;E25,B25=E25),"Yes","No")</f>
        <v>No</v>
      </c>
      <c r="H25" s="464"/>
    </row>
    <row r="26" spans="1:11" ht="20.100000000000001" customHeight="1" thickBot="1" x14ac:dyDescent="0.3">
      <c r="A26" s="458" t="s">
        <v>263</v>
      </c>
      <c r="B26" s="459">
        <f>SUM('Table 5-A| Criteria MPTE'!O100:O188)/2000</f>
        <v>0</v>
      </c>
      <c r="C26" s="460">
        <v>10</v>
      </c>
      <c r="D26" s="461" t="str">
        <f>IF(OR(B26&gt;C26,B26=C26),"Yes","No")</f>
        <v>No</v>
      </c>
      <c r="E26" s="460">
        <v>25</v>
      </c>
      <c r="F26" s="639" t="str">
        <f>IF(OR(B26&gt;E26,B26=E26),"Yes","No")</f>
        <v>No</v>
      </c>
    </row>
  </sheetData>
  <sheetProtection algorithmName="SHA-512" hashValue="6huepER/KPgVZwz2Q3o9SzFEG/CKmfodiONISPG4KwzGRBC+S6yOxCht+DIJmjQHKXgBvgH9XZwKLk8D/qz7yA==" saltValue="Pv01JNc+Qw9r2pKSWJPbIw==" spinCount="100000" sheet="1" objects="1" scenarios="1"/>
  <mergeCells count="17">
    <mergeCell ref="A7:F7"/>
    <mergeCell ref="A9:F9"/>
    <mergeCell ref="A8:F8"/>
    <mergeCell ref="A10:A11"/>
    <mergeCell ref="A1:J1"/>
    <mergeCell ref="A5:J5"/>
    <mergeCell ref="A4:J4"/>
    <mergeCell ref="A3:J3"/>
    <mergeCell ref="A2:J2"/>
    <mergeCell ref="A6:J6"/>
    <mergeCell ref="F22:F23"/>
    <mergeCell ref="D22:D23"/>
    <mergeCell ref="A22:A23"/>
    <mergeCell ref="A12:F12"/>
    <mergeCell ref="F10:F11"/>
    <mergeCell ref="D10:D11"/>
    <mergeCell ref="A21:F21"/>
  </mergeCells>
  <conditionalFormatting sqref="D13:D20 D24:D26">
    <cfRule type="expression" dxfId="130" priority="30">
      <formula>D13="Yes"</formula>
    </cfRule>
  </conditionalFormatting>
  <conditionalFormatting sqref="F13:F20 F22:F26">
    <cfRule type="expression" dxfId="129" priority="29">
      <formula>F13="Yes"</formula>
    </cfRule>
  </conditionalFormatting>
  <printOptions horizontalCentered="1"/>
  <pageMargins left="0.5" right="0.5" top="0.5" bottom="0.5" header="0.3" footer="0.3"/>
  <pageSetup scale="88" fitToHeight="0" orientation="landscape" r:id="rId1"/>
  <headerFooter>
    <oddFooter>&amp;LRev. 2/2014&amp;C&amp;A&amp;RPage &amp;P</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2060"/>
    <pageSetUpPr fitToPage="1"/>
  </sheetPr>
  <dimension ref="A1:AC90"/>
  <sheetViews>
    <sheetView showGridLines="0" zoomScaleNormal="100" workbookViewId="0">
      <selection sqref="A1:F1"/>
    </sheetView>
  </sheetViews>
  <sheetFormatPr defaultRowHeight="20.100000000000001" customHeight="1" x14ac:dyDescent="0.25"/>
  <cols>
    <col min="1" max="1" width="28" style="48" customWidth="1"/>
    <col min="2" max="6" width="16.28515625" style="48" customWidth="1"/>
    <col min="7" max="7" width="36" style="48" customWidth="1"/>
    <col min="8" max="12" width="5.7109375" style="48" customWidth="1"/>
    <col min="13" max="16" width="12.7109375" style="48" customWidth="1"/>
    <col min="17" max="17" width="9.42578125" style="48" bestFit="1" customWidth="1"/>
    <col min="18" max="18" width="33.140625" style="48" bestFit="1" customWidth="1"/>
    <col min="19" max="19" width="12.7109375" style="48" customWidth="1"/>
    <col min="20" max="20" width="122.5703125" style="48" bestFit="1" customWidth="1"/>
    <col min="21" max="21" width="93.7109375" style="48" customWidth="1"/>
    <col min="22" max="22" width="90" style="48" customWidth="1"/>
    <col min="23" max="34" width="12.7109375" style="48" customWidth="1"/>
    <col min="35" max="16384" width="9.140625" style="48"/>
  </cols>
  <sheetData>
    <row r="1" spans="1:29" ht="60" customHeight="1" x14ac:dyDescent="0.25">
      <c r="A1" s="988"/>
      <c r="B1" s="988"/>
      <c r="C1" s="988"/>
      <c r="D1" s="988"/>
      <c r="E1" s="988"/>
      <c r="F1" s="988"/>
      <c r="T1" s="702" t="s">
        <v>2338</v>
      </c>
    </row>
    <row r="2" spans="1:29" ht="24.95" customHeight="1" thickBot="1" x14ac:dyDescent="0.3">
      <c r="A2" s="885" t="s">
        <v>2168</v>
      </c>
      <c r="B2" s="885"/>
      <c r="C2" s="885"/>
      <c r="D2" s="885"/>
      <c r="E2" s="885"/>
      <c r="F2" s="885"/>
      <c r="R2" s="901"/>
      <c r="S2" s="901"/>
      <c r="T2" s="901"/>
      <c r="U2" s="901"/>
      <c r="V2" s="901"/>
      <c r="W2" s="901"/>
      <c r="Y2" s="463"/>
    </row>
    <row r="3" spans="1:29" ht="30" customHeight="1" thickBot="1" x14ac:dyDescent="0.3">
      <c r="A3" s="800" t="s">
        <v>2132</v>
      </c>
      <c r="B3" s="801"/>
      <c r="C3" s="801"/>
      <c r="D3" s="801"/>
      <c r="E3" s="801"/>
      <c r="F3" s="802"/>
      <c r="M3" s="67"/>
      <c r="N3" s="67"/>
      <c r="O3" s="67"/>
      <c r="P3" s="67"/>
      <c r="R3" s="1290" t="s">
        <v>2117</v>
      </c>
      <c r="S3" s="1290"/>
      <c r="T3" s="1290"/>
      <c r="U3" s="125"/>
      <c r="V3" s="125"/>
      <c r="W3" s="67"/>
    </row>
    <row r="4" spans="1:29" ht="65.099999999999994" customHeight="1" x14ac:dyDescent="0.25">
      <c r="A4" s="1024" t="str">
        <f>IF($S$4=TRUE,$T$4,IF($S$5=TRUE,$T$5,IF($S$6=TRUE,$T$6,IF($S$8=TRUE,$T$8,IF($S$9=TRUE,$T$9,IF($S$11=TRUE,$T$11,""))))))</f>
        <v>Your source's facility-wide maximum potential to emit may or may not exceed Class II operating permit thresholds, but will require an operating permit due to the fact that your emissions are limited only based on EPA guidance, and not by any federally-enforceable rules or regulations.  Please answer the following questions.</v>
      </c>
      <c r="B4" s="1025"/>
      <c r="C4" s="1025"/>
      <c r="D4" s="1025"/>
      <c r="E4" s="1025"/>
      <c r="F4" s="1026"/>
      <c r="G4" s="129"/>
      <c r="O4" s="124"/>
      <c r="P4" s="124"/>
      <c r="R4" s="556" t="s">
        <v>2114</v>
      </c>
      <c r="S4" s="125" t="b">
        <f t="array" ref="S4">IF(AND(OR('Table 5-D| MPTE Thresholds'!$F$13:$F$26="Yes"),OR('Section 1| General Information'!$N$8:$O$8=TRUE,'Section 1| General Information'!$Q$8=TRUE)),TRUE,FALSE)</f>
        <v>0</v>
      </c>
      <c r="T4" s="619" t="s">
        <v>2163</v>
      </c>
      <c r="U4" s="619" t="s">
        <v>2146</v>
      </c>
      <c r="V4" s="619" t="s">
        <v>2147</v>
      </c>
    </row>
    <row r="5" spans="1:29" ht="50.1" customHeight="1" x14ac:dyDescent="0.25">
      <c r="A5" s="1032" t="str">
        <f>IF($S$4=TRUE,$U$4,IF($S$5=TRUE,$U$5,IF($S$8=TRUE,$U$8,IF($S$9=TRUE,$U$9,IF($S$10=TRUE,$U$10,"")))))</f>
        <v>Do you wish to obtain a Construction Permit containing federally enforceable requirements to maintain actual facility-wide emissions below Class II operating permit thresholds?</v>
      </c>
      <c r="B5" s="1272"/>
      <c r="C5" s="1272"/>
      <c r="D5" s="1033"/>
      <c r="E5" s="394" t="s">
        <v>1797</v>
      </c>
      <c r="F5" s="395" t="s">
        <v>1796</v>
      </c>
      <c r="G5" s="123" t="str">
        <f>IF(AND(M5=TRUE,N5=TRUE),"Too many boxes checked.","")</f>
        <v/>
      </c>
      <c r="M5" s="483" t="b">
        <v>0</v>
      </c>
      <c r="N5" s="483" t="b">
        <v>0</v>
      </c>
      <c r="O5" s="48" t="b">
        <f>IF(OR(AND(M5=TRUE,N5=TRUE),AND(M5=FALSE,N5=FALSE)),FALSE,TRUE)</f>
        <v>0</v>
      </c>
      <c r="R5" s="556" t="s">
        <v>2115</v>
      </c>
      <c r="S5" s="703" t="b">
        <f>IF(S4=TRUE,FALSE,TRUE)</f>
        <v>1</v>
      </c>
      <c r="T5" s="701" t="s">
        <v>2339</v>
      </c>
      <c r="U5" s="619" t="s">
        <v>2145</v>
      </c>
    </row>
    <row r="6" spans="1:29" ht="50.1" customHeight="1" x14ac:dyDescent="0.25">
      <c r="A6" s="1032" t="str">
        <f>IF(AND(S4=FALSE,S9=FALSE),"",IF(S4=TRUE,V4,IF(S9=TRUE,V9,"")))</f>
        <v/>
      </c>
      <c r="B6" s="1272"/>
      <c r="C6" s="1272"/>
      <c r="D6" s="1033"/>
      <c r="E6" s="622" t="s">
        <v>1797</v>
      </c>
      <c r="F6" s="623" t="s">
        <v>1796</v>
      </c>
      <c r="G6" s="123" t="str">
        <f>IF(AND(M6=TRUE,N6=TRUE),"Too many boxes checked.","")</f>
        <v/>
      </c>
      <c r="M6" s="483" t="b">
        <v>0</v>
      </c>
      <c r="N6" s="483" t="b">
        <v>0</v>
      </c>
      <c r="O6" s="48" t="b">
        <f>IF(OR(AND(M6=TRUE,N6=TRUE),AND(M6=FALSE,N6=FALSE)),FALSE,TRUE)</f>
        <v>0</v>
      </c>
      <c r="R6" s="556" t="s">
        <v>2116</v>
      </c>
      <c r="S6" s="700" t="b">
        <v>0</v>
      </c>
      <c r="T6" s="701"/>
      <c r="U6" s="621" t="s">
        <v>2133</v>
      </c>
      <c r="Y6" s="618"/>
      <c r="Z6" s="618"/>
      <c r="AA6" s="618"/>
      <c r="AB6" s="618"/>
      <c r="AC6" s="618"/>
    </row>
    <row r="7" spans="1:29" ht="66.75" customHeight="1" x14ac:dyDescent="0.25">
      <c r="A7" s="794" t="str">
        <f>IF($S$6=TRUE,$U$6,IF($S$11=TRUE,$U$11,IF($S$13=TRUE,$T$13,IF($S$14=TRUE,$T$14,IF($S$15=TRUE,$T$15,IF($S$16=TRUE,$T$16,IF($S$17=TRUE,$T$17,IF($S$18=TRUE,$T$18,IF($S$19=TRUE,$T$19,IF($S$20=TRUE,$T$20,IF($S$21=TRUE,$T$21,IF($S$22=TRUE,$T$22,""))))))))))))</f>
        <v/>
      </c>
      <c r="B7" s="1273"/>
      <c r="C7" s="1273"/>
      <c r="D7" s="1273"/>
      <c r="E7" s="1273"/>
      <c r="F7" s="1274"/>
      <c r="M7" s="462"/>
      <c r="N7" s="49"/>
      <c r="O7" s="67"/>
      <c r="R7" s="1290" t="s">
        <v>2118</v>
      </c>
      <c r="S7" s="1290"/>
      <c r="T7" s="1290"/>
      <c r="U7" s="619"/>
      <c r="Y7" s="618"/>
      <c r="Z7" s="618"/>
      <c r="AA7" s="618"/>
      <c r="AB7" s="618"/>
      <c r="AC7" s="618"/>
    </row>
    <row r="8" spans="1:29" ht="50.1" customHeight="1" thickBot="1" x14ac:dyDescent="0.3">
      <c r="A8" s="1275"/>
      <c r="B8" s="1276"/>
      <c r="C8" s="1276"/>
      <c r="D8" s="1276"/>
      <c r="E8" s="1276"/>
      <c r="F8" s="1058"/>
      <c r="M8" s="124"/>
      <c r="N8" s="124"/>
      <c r="R8" s="556" t="s">
        <v>2119</v>
      </c>
      <c r="S8" s="125" t="b">
        <f t="array" ref="S8">IF(AND(OR('Table 5-D| MPTE Thresholds'!$D$13:$D$26="Yes"),OR('Section 1| General Information'!$P$8:$Q$8=TRUE),S9=FALSE),TRUE,FALSE)</f>
        <v>0</v>
      </c>
      <c r="T8" s="619" t="s">
        <v>2161</v>
      </c>
      <c r="U8" s="619" t="s">
        <v>2144</v>
      </c>
      <c r="Y8" s="618"/>
      <c r="Z8" s="618"/>
      <c r="AA8" s="618"/>
      <c r="AB8" s="618"/>
      <c r="AC8" s="618"/>
    </row>
    <row r="9" spans="1:29" ht="30" customHeight="1" thickBot="1" x14ac:dyDescent="0.3">
      <c r="A9" s="800" t="s">
        <v>2165</v>
      </c>
      <c r="B9" s="801"/>
      <c r="C9" s="801"/>
      <c r="D9" s="801"/>
      <c r="E9" s="801"/>
      <c r="F9" s="802"/>
      <c r="R9" s="556" t="s">
        <v>2122</v>
      </c>
      <c r="S9" s="125" t="b">
        <f t="array" ref="S9">IF(AND(OR('Table 5-D| MPTE Thresholds'!$F$13:$F$26="Yes"),'Section 1| General Information'!$P$8=TRUE),TRUE,FALSE)</f>
        <v>0</v>
      </c>
      <c r="T9" s="619" t="s">
        <v>2162</v>
      </c>
      <c r="U9" s="619" t="s">
        <v>2145</v>
      </c>
      <c r="V9" s="619" t="s">
        <v>2149</v>
      </c>
      <c r="Y9" s="618"/>
      <c r="Z9" s="618"/>
      <c r="AA9" s="618"/>
      <c r="AB9" s="618"/>
      <c r="AC9" s="618"/>
    </row>
    <row r="10" spans="1:29" ht="45" customHeight="1" x14ac:dyDescent="0.25">
      <c r="A10" s="1269" t="str">
        <f>IF(S20=TRUE,U20,"Not applicable.")</f>
        <v>Not applicable.</v>
      </c>
      <c r="B10" s="1270"/>
      <c r="C10" s="1270"/>
      <c r="D10" s="1270"/>
      <c r="E10" s="1270"/>
      <c r="F10" s="1271"/>
      <c r="O10" s="124"/>
      <c r="Q10" s="124"/>
      <c r="R10" s="556" t="s">
        <v>2121</v>
      </c>
      <c r="S10" s="125" t="b">
        <f t="array" ref="S10">IF(AND(OR('Table 5-D| MPTE Thresholds'!$D$25:$D$26="Yes"),OR('Section 1| General Information'!$P$8:$Q$8=TRUE)),TRUE,FALSE)</f>
        <v>0</v>
      </c>
      <c r="T10" s="619" t="s">
        <v>2160</v>
      </c>
      <c r="U10" s="619" t="s">
        <v>2150</v>
      </c>
      <c r="Y10" s="618"/>
      <c r="Z10" s="618"/>
      <c r="AA10" s="618"/>
      <c r="AB10" s="618"/>
      <c r="AC10" s="618"/>
    </row>
    <row r="11" spans="1:29" ht="45" customHeight="1" x14ac:dyDescent="0.25">
      <c r="A11" s="629" t="str">
        <f>IF(S20=TRUE,"       Option A","")</f>
        <v/>
      </c>
      <c r="B11" s="1294" t="str">
        <f>IF(S20=TRUE,"I would like to obtain a Construction Permit that limits facility-wide potential to emit to less than Class I operating permit thresholds.  I understand that this source will still require a Class II Operating Permit.","")</f>
        <v/>
      </c>
      <c r="C11" s="1295"/>
      <c r="D11" s="1295"/>
      <c r="E11" s="1295"/>
      <c r="F11" s="1296"/>
      <c r="G11" s="123" t="str">
        <f>IF(AND(M11=TRUE,N11=TRUE),"Too many boxes checked.","")</f>
        <v/>
      </c>
      <c r="M11" s="465" t="b">
        <v>0</v>
      </c>
      <c r="N11" s="465" t="b">
        <v>0</v>
      </c>
      <c r="O11" s="48" t="b">
        <f>IF(OR(AND(M11=TRUE,N11=TRUE),AND(M11=FALSE,N11=FALSE)),FALSE,TRUE)</f>
        <v>0</v>
      </c>
      <c r="Q11" s="124"/>
      <c r="R11" s="556" t="s">
        <v>2116</v>
      </c>
      <c r="S11" s="620" t="b">
        <f t="array" ref="S11">IF(AND('Table 5-D| MPTE Thresholds'!$D$13:$D$20="No",'Table 5-D| MPTE Thresholds'!$D$25:$D$26="No",OR('Section 1| General Information'!$P$8:$Q$8=TRUE)),TRUE,FALSE)</f>
        <v>0</v>
      </c>
      <c r="T11" s="619" t="s">
        <v>2148</v>
      </c>
      <c r="U11" s="619" t="s">
        <v>2133</v>
      </c>
    </row>
    <row r="12" spans="1:29" ht="45" customHeight="1" x14ac:dyDescent="0.25">
      <c r="A12" s="630" t="str">
        <f>IF(S20=TRUE,"       Option B","")</f>
        <v/>
      </c>
      <c r="B12" s="1291" t="str">
        <f>IF(S20=TRUE,"I would like to obtain a Construction Permit that limits facility-wide potential to emit to less than Class II operating permit thresholds.  I understand that doing so will mean that this source no longer requries a Class I or Class II Operating Permit.","")</f>
        <v/>
      </c>
      <c r="C12" s="1292"/>
      <c r="D12" s="1292"/>
      <c r="E12" s="1292"/>
      <c r="F12" s="1293"/>
      <c r="M12" s="462"/>
      <c r="N12" s="49"/>
      <c r="O12" s="124"/>
      <c r="R12" s="1290" t="s">
        <v>2120</v>
      </c>
      <c r="S12" s="1290"/>
      <c r="T12" s="1290"/>
      <c r="U12" s="187"/>
      <c r="V12" s="187"/>
      <c r="W12" s="187"/>
      <c r="X12" s="187"/>
      <c r="Y12" s="187"/>
    </row>
    <row r="13" spans="1:29" ht="60" customHeight="1" thickBot="1" x14ac:dyDescent="0.3">
      <c r="A13" s="1275" t="str">
        <f>IF(AND(S20=TRUE,M11=TRUE,O11=TRUE),"This application will be used to write both your Class II Operating Permit, and your Construction Permit.  Continue with the remainder of the application.",IF(AND(S20=TRUE,N11=TRUE,O11=TRUE),"This application will be used to write your Construction Permit.  Continue with the remainder of the application.",""))</f>
        <v/>
      </c>
      <c r="B13" s="1276"/>
      <c r="C13" s="1276"/>
      <c r="D13" s="1276"/>
      <c r="E13" s="1276"/>
      <c r="F13" s="1058"/>
      <c r="N13" s="124"/>
      <c r="O13" s="124"/>
      <c r="Q13" s="124"/>
      <c r="R13" s="555" t="s">
        <v>2123</v>
      </c>
      <c r="S13" s="125" t="b">
        <f>IF(AND($S$4=TRUE,$N$5=TRUE,$O$5=TRUE,$N$6=TRUE,$O$6=TRUE),TRUE,FALSE)</f>
        <v>0</v>
      </c>
      <c r="T13" s="555" t="s">
        <v>2152</v>
      </c>
      <c r="U13" s="129"/>
      <c r="V13" s="129"/>
      <c r="W13" s="129"/>
      <c r="X13" s="129"/>
      <c r="Y13" s="129"/>
    </row>
    <row r="14" spans="1:29" ht="35.1" customHeight="1" thickBot="1" x14ac:dyDescent="0.3">
      <c r="A14" s="800" t="s">
        <v>1834</v>
      </c>
      <c r="B14" s="801"/>
      <c r="C14" s="801"/>
      <c r="D14" s="801"/>
      <c r="E14" s="801"/>
      <c r="F14" s="802"/>
      <c r="Q14" s="124"/>
      <c r="R14" s="555" t="s">
        <v>2124</v>
      </c>
      <c r="S14" s="125" t="b">
        <f>IF(AND($S$9=TRUE,$N$5=TRUE,$O$5=TRUE,$N$6=TRUE,$O$6=TRUE),TRUE,FALSE)</f>
        <v>0</v>
      </c>
      <c r="T14" s="555" t="s">
        <v>2153</v>
      </c>
      <c r="U14" s="129"/>
      <c r="V14" s="129"/>
      <c r="W14" s="129"/>
      <c r="X14" s="129"/>
      <c r="Y14" s="129"/>
    </row>
    <row r="15" spans="1:29" ht="50.1" customHeight="1" x14ac:dyDescent="0.25">
      <c r="A15" s="1269" t="str">
        <f>IF(AND($S$10=TRUE,$S$16=FALSE),$T$10,"Not applicable.")</f>
        <v>Not applicable.</v>
      </c>
      <c r="B15" s="1270"/>
      <c r="C15" s="1270"/>
      <c r="D15" s="1270"/>
      <c r="E15" s="1270"/>
      <c r="F15" s="1271"/>
      <c r="G15" s="123"/>
      <c r="M15" s="81"/>
      <c r="N15" s="81"/>
      <c r="O15" s="80"/>
      <c r="Q15" s="80"/>
      <c r="R15" s="555" t="s">
        <v>2129</v>
      </c>
      <c r="S15" s="125" t="b">
        <f>IF(AND($S$9=TRUE,$N$5=TRUE,$O$5=TRUE,$M$6=TRUE,$O$6=TRUE),TRUE,FALSE)</f>
        <v>0</v>
      </c>
      <c r="T15" s="555" t="s">
        <v>2154</v>
      </c>
      <c r="U15" s="129"/>
      <c r="V15" s="129"/>
      <c r="W15" s="129"/>
      <c r="X15" s="129"/>
      <c r="Y15" s="129"/>
    </row>
    <row r="16" spans="1:29" ht="50.1" customHeight="1" x14ac:dyDescent="0.25">
      <c r="A16" s="1032" t="str">
        <f>IF($S$10=TRUE,$U$10,"")</f>
        <v/>
      </c>
      <c r="B16" s="1272"/>
      <c r="C16" s="1272"/>
      <c r="D16" s="1033"/>
      <c r="E16" s="392" t="s">
        <v>1797</v>
      </c>
      <c r="F16" s="393" t="s">
        <v>1796</v>
      </c>
      <c r="G16" s="123" t="str">
        <f>IF(AND(M16=TRUE,N16=TRUE),"Too many boxes checked.","")</f>
        <v/>
      </c>
      <c r="M16" s="483" t="b">
        <v>0</v>
      </c>
      <c r="N16" s="483" t="b">
        <v>0</v>
      </c>
      <c r="O16" s="48" t="b">
        <f>IF(OR(AND(M16=TRUE,N16=TRUE),AND(M16=FALSE,N16=FALSE)),FALSE,TRUE)</f>
        <v>0</v>
      </c>
      <c r="Q16" s="80"/>
      <c r="R16" s="555" t="s">
        <v>2130</v>
      </c>
      <c r="S16" s="125" t="b">
        <f>IF(AND($S$9=TRUE,$M$5=TRUE,$O$5=TRUE),TRUE,FALSE)</f>
        <v>0</v>
      </c>
      <c r="T16" s="555" t="s">
        <v>2141</v>
      </c>
      <c r="U16" s="129"/>
      <c r="V16" s="129"/>
      <c r="W16" s="129"/>
      <c r="X16" s="129"/>
      <c r="Y16" s="129"/>
    </row>
    <row r="17" spans="1:25" ht="45" customHeight="1" x14ac:dyDescent="0.25">
      <c r="A17" s="794" t="str">
        <f>IF($S$23=TRUE,$T$23,IF($S$24=TRUE,$T$24,""))</f>
        <v/>
      </c>
      <c r="B17" s="1273"/>
      <c r="C17" s="1273"/>
      <c r="D17" s="1273"/>
      <c r="E17" s="1273"/>
      <c r="F17" s="1274"/>
      <c r="G17" s="1278" t="str">
        <f>IF(S10=FALSE,"",IF(AND(S17=TRUE,N16=TRUE,O16=TRUE),"In Part A, you agreed to keep emissions below Class II thresholds, which are the same as the T-BACT thresholds.  Reevaluate your answers.",""))</f>
        <v/>
      </c>
      <c r="M17" s="462"/>
      <c r="N17" s="49"/>
      <c r="O17" s="124"/>
      <c r="R17" s="555" t="s">
        <v>2139</v>
      </c>
      <c r="S17" s="125" t="b">
        <f>IF(AND($S$8=TRUE,$M$5=TRUE,$O$5=TRUE),TRUE,FALSE)</f>
        <v>0</v>
      </c>
      <c r="T17" s="555" t="s">
        <v>2142</v>
      </c>
      <c r="U17" s="129"/>
      <c r="V17" s="129"/>
      <c r="W17" s="129"/>
      <c r="X17" s="129"/>
      <c r="Y17" s="129"/>
    </row>
    <row r="18" spans="1:25" ht="45" customHeight="1" thickBot="1" x14ac:dyDescent="0.3">
      <c r="A18" s="1279"/>
      <c r="B18" s="1280"/>
      <c r="C18" s="1280"/>
      <c r="D18" s="1280"/>
      <c r="E18" s="1280"/>
      <c r="F18" s="1281"/>
      <c r="G18" s="1278"/>
      <c r="M18" s="124"/>
      <c r="N18" s="124"/>
      <c r="O18" s="124"/>
      <c r="Q18" s="124"/>
      <c r="R18" s="555" t="s">
        <v>2140</v>
      </c>
      <c r="S18" s="125" t="b">
        <f>IF(AND($S$8=TRUE,$N$5=TRUE,$O$5=TRUE),TRUE,FALSE)</f>
        <v>0</v>
      </c>
      <c r="T18" s="555" t="s">
        <v>2151</v>
      </c>
      <c r="U18" s="129"/>
      <c r="V18" s="129"/>
      <c r="W18" s="129"/>
      <c r="X18" s="129"/>
      <c r="Y18" s="129"/>
    </row>
    <row r="19" spans="1:25" ht="30" customHeight="1" thickBot="1" x14ac:dyDescent="0.3">
      <c r="A19" s="800" t="s">
        <v>1837</v>
      </c>
      <c r="B19" s="801"/>
      <c r="C19" s="801"/>
      <c r="D19" s="801"/>
      <c r="E19" s="801"/>
      <c r="F19" s="802"/>
      <c r="M19" s="1277" t="s">
        <v>2131</v>
      </c>
      <c r="N19" s="1277"/>
      <c r="O19" s="48" t="b">
        <f t="array" ref="O19">IF(AND('Table 5-D| MPTE Thresholds'!F25="No",'Table 5-D| MPTE Thresholds'!F26="No"),FALSE,IF(OR(S24=TRUE,OR(S15:S22=TRUE)),FALSE,TRUE))</f>
        <v>0</v>
      </c>
      <c r="Q19" s="124"/>
      <c r="R19" s="555" t="s">
        <v>2125</v>
      </c>
      <c r="S19" s="125" t="b">
        <f>IF(AND($S$4=TRUE,$M$5=TRUE,$O$5=TRUE, $N$6=TRUE,$O$6=TRUE),TRUE,FALSE)</f>
        <v>0</v>
      </c>
      <c r="T19" s="555" t="s">
        <v>2158</v>
      </c>
      <c r="U19" s="129"/>
      <c r="V19" s="129"/>
      <c r="W19" s="129"/>
      <c r="X19" s="129"/>
      <c r="Y19" s="129"/>
    </row>
    <row r="20" spans="1:25" ht="45" customHeight="1" x14ac:dyDescent="0.25">
      <c r="A20" s="1269" t="str">
        <f>IF($O$19=TRUE,"The potential emissions of HAPs from your source exceed the 'major source' thresholds, meaning your source could be subject to MACT requirements.  Please answer the following question.","Not applicable.")</f>
        <v>Not applicable.</v>
      </c>
      <c r="B20" s="1270"/>
      <c r="C20" s="1270"/>
      <c r="D20" s="1270"/>
      <c r="E20" s="1270"/>
      <c r="F20" s="1271"/>
      <c r="G20" s="123"/>
      <c r="M20" s="81"/>
      <c r="N20" s="81"/>
      <c r="Q20" s="80"/>
      <c r="R20" s="555" t="s">
        <v>2126</v>
      </c>
      <c r="S20" s="125" t="b">
        <f>IF(AND($S$4=TRUE,$O$5=TRUE,$O$6=TRUE,$M$6=TRUE),TRUE,FALSE)</f>
        <v>0</v>
      </c>
      <c r="T20" s="555" t="s">
        <v>2143</v>
      </c>
      <c r="U20" s="555" t="s">
        <v>2164</v>
      </c>
      <c r="V20" s="129"/>
      <c r="W20" s="129"/>
      <c r="X20" s="129"/>
      <c r="Y20" s="129"/>
    </row>
    <row r="21" spans="1:25" ht="45" customHeight="1" x14ac:dyDescent="0.25">
      <c r="A21" s="1032" t="str">
        <f>IF($M$17=FALSE,"",IF(M16=TRUE,"",IF($P$4=TRUE,"Do you wish to take enforceable permit requirements to limit emissions to levels that are lower than HAP major source thresholds?","")))</f>
        <v/>
      </c>
      <c r="B21" s="1272"/>
      <c r="C21" s="1272"/>
      <c r="D21" s="1033"/>
      <c r="E21" s="392" t="s">
        <v>1797</v>
      </c>
      <c r="F21" s="393" t="s">
        <v>1796</v>
      </c>
      <c r="G21" s="123" t="str">
        <f>IF(AND(M21=TRUE,N21=TRUE),"Too many boxes checked.","")</f>
        <v/>
      </c>
      <c r="M21" s="483" t="b">
        <v>0</v>
      </c>
      <c r="N21" s="483" t="b">
        <v>0</v>
      </c>
      <c r="O21" s="48" t="b">
        <f>IF(OR(AND(M21=TRUE,N21=TRUE),AND(M21=FALSE,N21=FALSE)),FALSE,TRUE)</f>
        <v>0</v>
      </c>
      <c r="Q21" s="80"/>
      <c r="R21" s="555" t="s">
        <v>2127</v>
      </c>
      <c r="S21" s="125" t="b">
        <f>IF(AND($S$5=TRUE,$N$5=TRUE,$O$5=TRUE),TRUE,FALSE)</f>
        <v>0</v>
      </c>
      <c r="T21" s="555" t="s">
        <v>2159</v>
      </c>
    </row>
    <row r="22" spans="1:25" ht="30" customHeight="1" x14ac:dyDescent="0.25">
      <c r="A22" s="794"/>
      <c r="B22" s="1273"/>
      <c r="C22" s="1273"/>
      <c r="D22" s="1273"/>
      <c r="E22" s="1273"/>
      <c r="F22" s="1274"/>
      <c r="M22" s="462"/>
      <c r="N22" s="49"/>
      <c r="O22" s="124"/>
      <c r="R22" s="555" t="s">
        <v>2128</v>
      </c>
      <c r="S22" s="125" t="b">
        <f>IF(AND($S$5=TRUE,$M$5=TRUE,$O$5=TRUE),TRUE,FALSE)</f>
        <v>0</v>
      </c>
      <c r="T22" s="555" t="s">
        <v>2157</v>
      </c>
    </row>
    <row r="23" spans="1:25" ht="35.1" customHeight="1" thickBot="1" x14ac:dyDescent="0.3">
      <c r="A23" s="1275"/>
      <c r="B23" s="1276"/>
      <c r="C23" s="1276"/>
      <c r="D23" s="1276"/>
      <c r="E23" s="1276"/>
      <c r="F23" s="1058"/>
      <c r="M23" s="124"/>
      <c r="N23" s="124"/>
      <c r="O23" s="124"/>
      <c r="Q23" s="124"/>
      <c r="R23" s="555" t="s">
        <v>1836</v>
      </c>
      <c r="S23" s="125" t="b">
        <f>IF(AND($S$10=TRUE,$N$16=TRUE,$O$16=TRUE),TRUE,FALSE)</f>
        <v>0</v>
      </c>
      <c r="T23" s="555" t="s">
        <v>2156</v>
      </c>
    </row>
    <row r="24" spans="1:25" ht="30" customHeight="1" thickBot="1" x14ac:dyDescent="0.3">
      <c r="A24" s="800" t="s">
        <v>1838</v>
      </c>
      <c r="B24" s="801"/>
      <c r="C24" s="801"/>
      <c r="D24" s="801"/>
      <c r="E24" s="801"/>
      <c r="F24" s="802"/>
      <c r="M24" s="124"/>
      <c r="N24" s="124"/>
      <c r="O24" s="124"/>
      <c r="Q24" s="124"/>
      <c r="R24" s="555" t="s">
        <v>1835</v>
      </c>
      <c r="S24" s="125" t="b">
        <f>IF(AND($S$10=TRUE,$M$16=TRUE,$O$16=TRUE),TRUE,FALSE)</f>
        <v>0</v>
      </c>
      <c r="T24" s="555" t="s">
        <v>2155</v>
      </c>
    </row>
    <row r="25" spans="1:25" ht="39.950000000000003" customHeight="1" x14ac:dyDescent="0.25">
      <c r="A25" s="1287" t="str">
        <f>IF(OR(S6=TRUE,S11=TRUE),"","All sources that are required to hold a Construction Permit and/or an Operating Permit are required to pay an annual emission fee based on actual pollutant emissions.")</f>
        <v>All sources that are required to hold a Construction Permit and/or an Operating Permit are required to pay an annual emission fee based on actual pollutant emissions.</v>
      </c>
      <c r="B25" s="1288"/>
      <c r="C25" s="1288"/>
      <c r="D25" s="1288"/>
      <c r="E25" s="1288"/>
      <c r="F25" s="1289"/>
      <c r="G25" s="123"/>
      <c r="Q25" s="80"/>
    </row>
    <row r="26" spans="1:25" ht="45" customHeight="1" x14ac:dyDescent="0.25">
      <c r="A26" s="795" t="str">
        <f>IF(OR(S6=TRUE,S11=TRUE),"","You may agree to control requirements in order to reduce actual emissions of pollutants to the atmosphere, thereby reducing your source's annual emission fees.  Check the following, as applicable.")</f>
        <v>You may agree to control requirements in order to reduce actual emissions of pollutants to the atmosphere, thereby reducing your source's annual emission fees.  Check the following, as applicable.</v>
      </c>
      <c r="B26" s="1285"/>
      <c r="C26" s="1285"/>
      <c r="D26" s="1285"/>
      <c r="E26" s="1285"/>
      <c r="F26" s="1286"/>
      <c r="M26" s="126"/>
      <c r="N26" s="49"/>
      <c r="O26" s="124"/>
      <c r="Q26" s="124"/>
    </row>
    <row r="27" spans="1:25" ht="45" customHeight="1" x14ac:dyDescent="0.25">
      <c r="A27" s="1032" t="str">
        <f>IF(OR(S6=TRUE,S11=TRUE),"","Do you agree to accept control requirements to reduce actual pollutant emissions?")</f>
        <v>Do you agree to accept control requirements to reduce actual pollutant emissions?</v>
      </c>
      <c r="B27" s="1272"/>
      <c r="C27" s="1272"/>
      <c r="D27" s="1033"/>
      <c r="E27" s="394" t="s">
        <v>1797</v>
      </c>
      <c r="F27" s="395" t="s">
        <v>1796</v>
      </c>
      <c r="G27" s="123" t="str">
        <f>IF(AND(M27=TRUE,N27=TRUE),"Too many boxes checked.","")</f>
        <v/>
      </c>
      <c r="M27" s="465" t="b">
        <v>0</v>
      </c>
      <c r="N27" s="465" t="b">
        <v>0</v>
      </c>
      <c r="O27" s="48" t="b">
        <f>IF(OR(AND(M27=TRUE,N27=FALSE),AND(M27=FALSE,N27=TRUE)),TRUE,FALSE)</f>
        <v>0</v>
      </c>
      <c r="Q27" s="124"/>
    </row>
    <row r="28" spans="1:25" ht="35.1" customHeight="1" x14ac:dyDescent="0.25">
      <c r="A28" s="795" t="str">
        <f>IF(OR(AND(S6=TRUE,S11=TRUE),O27=FALSE),"",IF(M27=TRUE,"Complete Table 6-A by indicating which emission units will AND will not be equipped with emission controls.","If you did not accept ANY emission controls, then complete Table 6-A by indicating that no emission controls will be utilized."))</f>
        <v/>
      </c>
      <c r="B28" s="1285"/>
      <c r="C28" s="1285"/>
      <c r="D28" s="1285"/>
      <c r="E28" s="1285"/>
      <c r="F28" s="1286"/>
    </row>
    <row r="29" spans="1:25" ht="35.1" customHeight="1" thickBot="1" x14ac:dyDescent="0.3">
      <c r="A29" s="1282" t="str">
        <f>IF(OR(AND(S6=TRUE,S11=TRUE),O27=FALSE),"",IF(M27=TRUE,"Also complete Table 6-B by indicating which emission units will AND will not be subject to emission limits, as indicated in Parts B, C, and D above (as applicable).","If you did not agree to accept ANY throughput or emission limits in Parts B, C, and D above, complete Tables 6-A and 6-B by indicating that no throughput limits or emission limits will be accepted."))</f>
        <v/>
      </c>
      <c r="B29" s="1283"/>
      <c r="C29" s="1283"/>
      <c r="D29" s="1283"/>
      <c r="E29" s="1283"/>
      <c r="F29" s="1284"/>
    </row>
    <row r="30" spans="1:25" ht="20.100000000000001" customHeight="1" x14ac:dyDescent="0.25">
      <c r="A30" s="50"/>
    </row>
    <row r="31" spans="1:25" ht="20.100000000000001" customHeight="1" x14ac:dyDescent="0.25">
      <c r="A31" s="50"/>
    </row>
    <row r="32" spans="1:25"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bN5tcmUF6CWnsdzLc0Khx9suO4IzJ5MiGxcwSAOznrVGHIBJzcUCJzo/K4cGyfsMBNW8pKEOm1pQvE8Bv1mbdw==" saltValue="XlSEtZpX5Hr6EC9AQxm3Bw==" spinCount="100000" sheet="1" objects="1" scenarios="1"/>
  <mergeCells count="34">
    <mergeCell ref="R12:T12"/>
    <mergeCell ref="R2:W2"/>
    <mergeCell ref="A19:F19"/>
    <mergeCell ref="A20:F20"/>
    <mergeCell ref="R3:T3"/>
    <mergeCell ref="R7:T7"/>
    <mergeCell ref="B12:F12"/>
    <mergeCell ref="B11:F11"/>
    <mergeCell ref="A17:F17"/>
    <mergeCell ref="A29:F29"/>
    <mergeCell ref="A28:F28"/>
    <mergeCell ref="A24:F24"/>
    <mergeCell ref="A25:F25"/>
    <mergeCell ref="A26:F26"/>
    <mergeCell ref="A27:D27"/>
    <mergeCell ref="A23:F23"/>
    <mergeCell ref="A14:F14"/>
    <mergeCell ref="A13:F13"/>
    <mergeCell ref="A15:F15"/>
    <mergeCell ref="M19:N19"/>
    <mergeCell ref="G17:G18"/>
    <mergeCell ref="A16:D16"/>
    <mergeCell ref="A18:F18"/>
    <mergeCell ref="A21:D21"/>
    <mergeCell ref="A22:F22"/>
    <mergeCell ref="A1:F1"/>
    <mergeCell ref="A2:F2"/>
    <mergeCell ref="A9:F9"/>
    <mergeCell ref="A10:F10"/>
    <mergeCell ref="A3:F3"/>
    <mergeCell ref="A5:D5"/>
    <mergeCell ref="A6:D6"/>
    <mergeCell ref="A4:F4"/>
    <mergeCell ref="A7:F8"/>
  </mergeCells>
  <conditionalFormatting sqref="A11:A12">
    <cfRule type="expression" dxfId="128" priority="1">
      <formula>AND(NOT($A$10="Not applicable."),$O$11=FALSE)</formula>
    </cfRule>
  </conditionalFormatting>
  <conditionalFormatting sqref="A11:B12 A5:F6 A10:F10 A13:F13 A15:F18 A20:F23 A25:F29">
    <cfRule type="expression" dxfId="127" priority="2" stopIfTrue="1">
      <formula>OR($S$6=TRUE,$S$11=TRUE)</formula>
    </cfRule>
  </conditionalFormatting>
  <conditionalFormatting sqref="A16:F18">
    <cfRule type="expression" dxfId="126" priority="3">
      <formula>$S$10=FALSE</formula>
    </cfRule>
  </conditionalFormatting>
  <conditionalFormatting sqref="A21:F23">
    <cfRule type="expression" dxfId="125" priority="6">
      <formula>$O$19=FALSE</formula>
    </cfRule>
  </conditionalFormatting>
  <conditionalFormatting sqref="E5:F5">
    <cfRule type="expression" dxfId="124" priority="10">
      <formula>$O$5=FALSE</formula>
    </cfRule>
  </conditionalFormatting>
  <conditionalFormatting sqref="E6:F6">
    <cfRule type="expression" dxfId="123" priority="7">
      <formula>AND(NOT($A$6=""),$O$6=FALSE)</formula>
    </cfRule>
  </conditionalFormatting>
  <conditionalFormatting sqref="E16:F16">
    <cfRule type="expression" dxfId="122" priority="8">
      <formula>AND($S$10=TRUE,$O$16=FALSE)</formula>
    </cfRule>
  </conditionalFormatting>
  <conditionalFormatting sqref="E27:F27">
    <cfRule type="expression" dxfId="121" priority="11">
      <formula>$O$27=FALSE</formula>
    </cfRule>
  </conditionalFormatting>
  <conditionalFormatting sqref="G5:G6">
    <cfRule type="expression" dxfId="120" priority="12">
      <formula>AND(M5=TRUE,N5=TRUE)</formula>
    </cfRule>
  </conditionalFormatting>
  <conditionalFormatting sqref="G11">
    <cfRule type="expression" dxfId="119" priority="14">
      <formula>AND(M11=TRUE,N11=TRUE)</formula>
    </cfRule>
  </conditionalFormatting>
  <conditionalFormatting sqref="G16">
    <cfRule type="expression" dxfId="118" priority="15">
      <formula>AND(M16=TRUE,N16=TRUE)</formula>
    </cfRule>
  </conditionalFormatting>
  <conditionalFormatting sqref="G17:G18">
    <cfRule type="expression" dxfId="117" priority="712">
      <formula>NOT($G$17="")</formula>
    </cfRule>
  </conditionalFormatting>
  <conditionalFormatting sqref="G21">
    <cfRule type="expression" dxfId="116" priority="715">
      <formula>AND(M21=TRUE,N21=TRUE)</formula>
    </cfRule>
  </conditionalFormatting>
  <conditionalFormatting sqref="G27">
    <cfRule type="expression" dxfId="115" priority="716">
      <formula>AND(M27=TRUE,N27=TRUE)</formula>
    </cfRule>
  </conditionalFormatting>
  <printOptions horizontalCentered="1"/>
  <pageMargins left="0.5" right="0.5" top="0.5" bottom="0.5" header="0.3" footer="0.3"/>
  <pageSetup scale="87" fitToHeight="0" orientation="portrait" r:id="rId1"/>
  <headerFooter>
    <oddFooter>&amp;LRev. 2/2014&amp;C&amp;A&amp;RPage &amp;P</oddFooter>
  </headerFooter>
  <rowBreaks count="1" manualBreakCount="1">
    <brk id="23"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0</xdr:col>
                    <xdr:colOff>981075</xdr:colOff>
                    <xdr:row>10</xdr:row>
                    <xdr:rowOff>57150</xdr:rowOff>
                  </from>
                  <to>
                    <xdr:col>5</xdr:col>
                    <xdr:colOff>895350</xdr:colOff>
                    <xdr:row>10</xdr:row>
                    <xdr:rowOff>514350</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0</xdr:col>
                    <xdr:colOff>981075</xdr:colOff>
                    <xdr:row>11</xdr:row>
                    <xdr:rowOff>66675</xdr:rowOff>
                  </from>
                  <to>
                    <xdr:col>5</xdr:col>
                    <xdr:colOff>895350</xdr:colOff>
                    <xdr:row>11</xdr:row>
                    <xdr:rowOff>523875</xdr:rowOff>
                  </to>
                </anchor>
              </controlPr>
            </control>
          </mc:Choice>
        </mc:AlternateContent>
        <mc:AlternateContent xmlns:mc="http://schemas.openxmlformats.org/markup-compatibility/2006">
          <mc:Choice Requires="x14">
            <control shapeId="52269" r:id="rId6" name="Check Box 45">
              <controlPr defaultSize="0" autoFill="0" autoLine="0" autoPict="0">
                <anchor moveWithCells="1">
                  <from>
                    <xdr:col>4</xdr:col>
                    <xdr:colOff>9525</xdr:colOff>
                    <xdr:row>26</xdr:row>
                    <xdr:rowOff>142875</xdr:rowOff>
                  </from>
                  <to>
                    <xdr:col>4</xdr:col>
                    <xdr:colOff>609600</xdr:colOff>
                    <xdr:row>26</xdr:row>
                    <xdr:rowOff>466725</xdr:rowOff>
                  </to>
                </anchor>
              </controlPr>
            </control>
          </mc:Choice>
        </mc:AlternateContent>
        <mc:AlternateContent xmlns:mc="http://schemas.openxmlformats.org/markup-compatibility/2006">
          <mc:Choice Requires="x14">
            <control shapeId="52270" r:id="rId7" name="Check Box 46">
              <controlPr defaultSize="0" autoFill="0" autoLine="0" autoPict="0">
                <anchor moveWithCells="1">
                  <from>
                    <xdr:col>5</xdr:col>
                    <xdr:colOff>9525</xdr:colOff>
                    <xdr:row>26</xdr:row>
                    <xdr:rowOff>142875</xdr:rowOff>
                  </from>
                  <to>
                    <xdr:col>5</xdr:col>
                    <xdr:colOff>609600</xdr:colOff>
                    <xdr:row>26</xdr:row>
                    <xdr:rowOff>466725</xdr:rowOff>
                  </to>
                </anchor>
              </controlPr>
            </control>
          </mc:Choice>
        </mc:AlternateContent>
        <mc:AlternateContent xmlns:mc="http://schemas.openxmlformats.org/markup-compatibility/2006">
          <mc:Choice Requires="x14">
            <control shapeId="52273" r:id="rId8" name="Check Box 49">
              <controlPr defaultSize="0" autoFill="0" autoLine="0" autoPict="0">
                <anchor moveWithCells="1">
                  <from>
                    <xdr:col>4</xdr:col>
                    <xdr:colOff>9525</xdr:colOff>
                    <xdr:row>4</xdr:row>
                    <xdr:rowOff>161925</xdr:rowOff>
                  </from>
                  <to>
                    <xdr:col>4</xdr:col>
                    <xdr:colOff>609600</xdr:colOff>
                    <xdr:row>4</xdr:row>
                    <xdr:rowOff>485775</xdr:rowOff>
                  </to>
                </anchor>
              </controlPr>
            </control>
          </mc:Choice>
        </mc:AlternateContent>
        <mc:AlternateContent xmlns:mc="http://schemas.openxmlformats.org/markup-compatibility/2006">
          <mc:Choice Requires="x14">
            <control shapeId="52274" r:id="rId9" name="Check Box 50">
              <controlPr defaultSize="0" autoFill="0" autoLine="0" autoPict="0">
                <anchor moveWithCells="1">
                  <from>
                    <xdr:col>5</xdr:col>
                    <xdr:colOff>9525</xdr:colOff>
                    <xdr:row>4</xdr:row>
                    <xdr:rowOff>161925</xdr:rowOff>
                  </from>
                  <to>
                    <xdr:col>5</xdr:col>
                    <xdr:colOff>609600</xdr:colOff>
                    <xdr:row>4</xdr:row>
                    <xdr:rowOff>485775</xdr:rowOff>
                  </to>
                </anchor>
              </controlPr>
            </control>
          </mc:Choice>
        </mc:AlternateContent>
        <mc:AlternateContent xmlns:mc="http://schemas.openxmlformats.org/markup-compatibility/2006">
          <mc:Choice Requires="x14">
            <control shapeId="52276" r:id="rId10" name="Check Box 52">
              <controlPr defaultSize="0" autoFill="0" autoLine="0" autoPict="0">
                <anchor moveWithCells="1">
                  <from>
                    <xdr:col>4</xdr:col>
                    <xdr:colOff>9525</xdr:colOff>
                    <xdr:row>5</xdr:row>
                    <xdr:rowOff>171450</xdr:rowOff>
                  </from>
                  <to>
                    <xdr:col>4</xdr:col>
                    <xdr:colOff>609600</xdr:colOff>
                    <xdr:row>5</xdr:row>
                    <xdr:rowOff>495300</xdr:rowOff>
                  </to>
                </anchor>
              </controlPr>
            </control>
          </mc:Choice>
        </mc:AlternateContent>
        <mc:AlternateContent xmlns:mc="http://schemas.openxmlformats.org/markup-compatibility/2006">
          <mc:Choice Requires="x14">
            <control shapeId="52277" r:id="rId11" name="Check Box 53">
              <controlPr defaultSize="0" autoFill="0" autoLine="0" autoPict="0">
                <anchor moveWithCells="1">
                  <from>
                    <xdr:col>5</xdr:col>
                    <xdr:colOff>9525</xdr:colOff>
                    <xdr:row>5</xdr:row>
                    <xdr:rowOff>171450</xdr:rowOff>
                  </from>
                  <to>
                    <xdr:col>5</xdr:col>
                    <xdr:colOff>609600</xdr:colOff>
                    <xdr:row>5</xdr:row>
                    <xdr:rowOff>495300</xdr:rowOff>
                  </to>
                </anchor>
              </controlPr>
            </control>
          </mc:Choice>
        </mc:AlternateContent>
        <mc:AlternateContent xmlns:mc="http://schemas.openxmlformats.org/markup-compatibility/2006">
          <mc:Choice Requires="x14">
            <control shapeId="52280" r:id="rId12" name="Check Box 56">
              <controlPr defaultSize="0" autoFill="0" autoLine="0" autoPict="0">
                <anchor moveWithCells="1">
                  <from>
                    <xdr:col>4</xdr:col>
                    <xdr:colOff>9525</xdr:colOff>
                    <xdr:row>15</xdr:row>
                    <xdr:rowOff>171450</xdr:rowOff>
                  </from>
                  <to>
                    <xdr:col>4</xdr:col>
                    <xdr:colOff>609600</xdr:colOff>
                    <xdr:row>15</xdr:row>
                    <xdr:rowOff>495300</xdr:rowOff>
                  </to>
                </anchor>
              </controlPr>
            </control>
          </mc:Choice>
        </mc:AlternateContent>
        <mc:AlternateContent xmlns:mc="http://schemas.openxmlformats.org/markup-compatibility/2006">
          <mc:Choice Requires="x14">
            <control shapeId="52281" r:id="rId13" name="Check Box 57">
              <controlPr defaultSize="0" autoFill="0" autoLine="0" autoPict="0">
                <anchor moveWithCells="1">
                  <from>
                    <xdr:col>5</xdr:col>
                    <xdr:colOff>9525</xdr:colOff>
                    <xdr:row>15</xdr:row>
                    <xdr:rowOff>171450</xdr:rowOff>
                  </from>
                  <to>
                    <xdr:col>5</xdr:col>
                    <xdr:colOff>609600</xdr:colOff>
                    <xdr:row>15</xdr:row>
                    <xdr:rowOff>495300</xdr:rowOff>
                  </to>
                </anchor>
              </controlPr>
            </control>
          </mc:Choice>
        </mc:AlternateContent>
        <mc:AlternateContent xmlns:mc="http://schemas.openxmlformats.org/markup-compatibility/2006">
          <mc:Choice Requires="x14">
            <control shapeId="52282" r:id="rId14" name="Check Box 58">
              <controlPr defaultSize="0" autoFill="0" autoLine="0" autoPict="0">
                <anchor moveWithCells="1">
                  <from>
                    <xdr:col>4</xdr:col>
                    <xdr:colOff>9525</xdr:colOff>
                    <xdr:row>20</xdr:row>
                    <xdr:rowOff>133350</xdr:rowOff>
                  </from>
                  <to>
                    <xdr:col>4</xdr:col>
                    <xdr:colOff>609600</xdr:colOff>
                    <xdr:row>20</xdr:row>
                    <xdr:rowOff>457200</xdr:rowOff>
                  </to>
                </anchor>
              </controlPr>
            </control>
          </mc:Choice>
        </mc:AlternateContent>
        <mc:AlternateContent xmlns:mc="http://schemas.openxmlformats.org/markup-compatibility/2006">
          <mc:Choice Requires="x14">
            <control shapeId="52283" r:id="rId15" name="Check Box 59">
              <controlPr defaultSize="0" autoFill="0" autoLine="0" autoPict="0">
                <anchor moveWithCells="1">
                  <from>
                    <xdr:col>5</xdr:col>
                    <xdr:colOff>9525</xdr:colOff>
                    <xdr:row>20</xdr:row>
                    <xdr:rowOff>133350</xdr:rowOff>
                  </from>
                  <to>
                    <xdr:col>5</xdr:col>
                    <xdr:colOff>609600</xdr:colOff>
                    <xdr:row>20</xdr:row>
                    <xdr:rowOff>457200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002060"/>
    <pageSetUpPr fitToPage="1"/>
  </sheetPr>
  <dimension ref="A1:W107"/>
  <sheetViews>
    <sheetView showGridLines="0" zoomScaleNormal="100" workbookViewId="0">
      <selection sqref="A1:J1"/>
    </sheetView>
  </sheetViews>
  <sheetFormatPr defaultRowHeight="14.25" x14ac:dyDescent="0.25"/>
  <cols>
    <col min="1" max="1" width="10.28515625" style="130" customWidth="1"/>
    <col min="2" max="2" width="17.28515625" style="48" customWidth="1"/>
    <col min="3" max="3" width="12.7109375" style="48" customWidth="1"/>
    <col min="4" max="6" width="13.7109375" style="48" customWidth="1"/>
    <col min="7" max="7" width="12.7109375" style="48" customWidth="1"/>
    <col min="8" max="8" width="25.7109375" style="48" customWidth="1"/>
    <col min="9" max="9" width="27.7109375" style="48" customWidth="1"/>
    <col min="10" max="10" width="25.7109375" style="48" customWidth="1"/>
    <col min="11" max="11" width="6.28515625" style="136" customWidth="1"/>
    <col min="12" max="20" width="9.140625" style="48"/>
    <col min="21" max="21" width="10.140625" style="48" customWidth="1"/>
    <col min="22" max="22" width="31.42578125" style="48" customWidth="1"/>
    <col min="23" max="23" width="15.7109375" style="48" customWidth="1"/>
    <col min="24" max="16384" width="9.140625" style="48"/>
  </cols>
  <sheetData>
    <row r="1" spans="1:14" s="69" customFormat="1" ht="26.25" customHeight="1" thickBot="1" x14ac:dyDescent="0.3">
      <c r="A1" s="1122" t="s">
        <v>1710</v>
      </c>
      <c r="B1" s="1122"/>
      <c r="C1" s="1122"/>
      <c r="D1" s="1122"/>
      <c r="E1" s="1122"/>
      <c r="F1" s="1122"/>
      <c r="G1" s="1122"/>
      <c r="H1" s="1122"/>
      <c r="I1" s="1122"/>
      <c r="J1" s="1122"/>
      <c r="K1" s="133"/>
    </row>
    <row r="2" spans="1:14" s="164" customFormat="1" ht="35.1" customHeight="1" x14ac:dyDescent="0.25">
      <c r="A2" s="1172" t="s">
        <v>2169</v>
      </c>
      <c r="B2" s="1172"/>
      <c r="C2" s="1172"/>
      <c r="D2" s="1172"/>
      <c r="E2" s="1172"/>
      <c r="F2" s="1172"/>
      <c r="G2" s="1172"/>
      <c r="H2" s="1172"/>
      <c r="I2" s="1172"/>
      <c r="J2" s="1172"/>
      <c r="K2" s="167"/>
      <c r="L2" s="167"/>
      <c r="M2" s="167"/>
      <c r="N2" s="167"/>
    </row>
    <row r="3" spans="1:14" s="164" customFormat="1" ht="35.1" customHeight="1" x14ac:dyDescent="0.25">
      <c r="A3" s="165">
        <v>1</v>
      </c>
      <c r="B3" s="1297" t="s">
        <v>1611</v>
      </c>
      <c r="C3" s="1297"/>
      <c r="D3" s="1297"/>
      <c r="E3" s="1297"/>
      <c r="F3" s="1297"/>
      <c r="G3" s="1297"/>
      <c r="H3" s="1297"/>
      <c r="I3" s="1297"/>
      <c r="J3" s="1297"/>
      <c r="K3" s="168"/>
      <c r="L3" s="168"/>
      <c r="M3" s="168"/>
      <c r="N3" s="168"/>
    </row>
    <row r="4" spans="1:14" s="164" customFormat="1" ht="35.1" customHeight="1" x14ac:dyDescent="0.25">
      <c r="A4" s="165">
        <v>2</v>
      </c>
      <c r="B4" s="1297" t="s">
        <v>1608</v>
      </c>
      <c r="C4" s="1297"/>
      <c r="D4" s="1297"/>
      <c r="E4" s="1297"/>
      <c r="F4" s="1297"/>
      <c r="G4" s="1297"/>
      <c r="H4" s="1297"/>
      <c r="I4" s="1297"/>
      <c r="J4" s="1297"/>
      <c r="K4" s="174"/>
    </row>
    <row r="5" spans="1:14" s="164" customFormat="1" ht="35.1" customHeight="1" x14ac:dyDescent="0.25">
      <c r="A5" s="165">
        <v>3</v>
      </c>
      <c r="B5" s="1297" t="s">
        <v>1609</v>
      </c>
      <c r="C5" s="1297"/>
      <c r="D5" s="1297"/>
      <c r="E5" s="1297"/>
      <c r="F5" s="1297"/>
      <c r="G5" s="1297"/>
      <c r="H5" s="1297"/>
      <c r="I5" s="1297"/>
      <c r="J5" s="1297"/>
      <c r="K5" s="174"/>
    </row>
    <row r="6" spans="1:14" s="164" customFormat="1" ht="50.1" customHeight="1" x14ac:dyDescent="0.25">
      <c r="A6" s="165">
        <v>4</v>
      </c>
      <c r="B6" s="1297" t="s">
        <v>1610</v>
      </c>
      <c r="C6" s="1297"/>
      <c r="D6" s="1297"/>
      <c r="E6" s="1297"/>
      <c r="F6" s="1297"/>
      <c r="G6" s="1297"/>
      <c r="H6" s="1297"/>
      <c r="I6" s="1297"/>
      <c r="J6" s="1297"/>
      <c r="K6" s="174"/>
    </row>
    <row r="7" spans="1:14" s="164" customFormat="1" ht="35.1" customHeight="1" x14ac:dyDescent="0.25">
      <c r="A7" s="165">
        <v>5</v>
      </c>
      <c r="B7" s="1297" t="s">
        <v>1809</v>
      </c>
      <c r="C7" s="1297"/>
      <c r="D7" s="1297"/>
      <c r="E7" s="1297"/>
      <c r="F7" s="1297"/>
      <c r="G7" s="1297"/>
      <c r="H7" s="1297"/>
      <c r="I7" s="1297"/>
      <c r="J7" s="1297"/>
      <c r="K7" s="174"/>
    </row>
    <row r="8" spans="1:14" s="164" customFormat="1" ht="50.1" customHeight="1" x14ac:dyDescent="0.25">
      <c r="A8" s="165">
        <v>6</v>
      </c>
      <c r="B8" s="1297" t="s">
        <v>1612</v>
      </c>
      <c r="C8" s="1297"/>
      <c r="D8" s="1297"/>
      <c r="E8" s="1297"/>
      <c r="F8" s="1297"/>
      <c r="G8" s="1297"/>
      <c r="H8" s="1297"/>
      <c r="I8" s="1297"/>
      <c r="J8" s="1297"/>
      <c r="K8" s="174"/>
    </row>
    <row r="9" spans="1:14" s="164" customFormat="1" ht="35.1" customHeight="1" x14ac:dyDescent="0.25">
      <c r="A9" s="165">
        <v>7</v>
      </c>
      <c r="B9" s="1297" t="s">
        <v>1613</v>
      </c>
      <c r="C9" s="1297"/>
      <c r="D9" s="1297"/>
      <c r="E9" s="1297"/>
      <c r="F9" s="1297"/>
      <c r="G9" s="1297"/>
      <c r="H9" s="1297"/>
      <c r="I9" s="1297"/>
      <c r="J9" s="1297"/>
      <c r="K9" s="174"/>
    </row>
    <row r="10" spans="1:14" s="164" customFormat="1" ht="35.1" customHeight="1" x14ac:dyDescent="0.25">
      <c r="A10" s="165">
        <v>8</v>
      </c>
      <c r="B10" s="1297" t="s">
        <v>1614</v>
      </c>
      <c r="C10" s="1297"/>
      <c r="D10" s="1297"/>
      <c r="E10" s="1297"/>
      <c r="F10" s="1297"/>
      <c r="G10" s="1297"/>
      <c r="H10" s="1297"/>
      <c r="I10" s="1297"/>
      <c r="J10" s="1297"/>
      <c r="K10" s="174"/>
    </row>
    <row r="11" spans="1:14" s="68" customFormat="1" ht="12.95" customHeight="1" x14ac:dyDescent="0.25">
      <c r="A11" s="120"/>
      <c r="B11" s="128"/>
      <c r="C11" s="128"/>
      <c r="D11" s="128"/>
      <c r="E11" s="128"/>
      <c r="F11" s="128"/>
      <c r="G11" s="128"/>
      <c r="H11" s="128"/>
      <c r="I11" s="128"/>
      <c r="J11" s="128"/>
      <c r="K11" s="134"/>
    </row>
    <row r="12" spans="1:14" s="68" customFormat="1" ht="12.95" customHeight="1" thickBot="1" x14ac:dyDescent="0.3">
      <c r="A12" s="1099"/>
      <c r="B12" s="1099"/>
      <c r="C12" s="1099"/>
      <c r="D12" s="1099"/>
      <c r="E12" s="1099"/>
      <c r="F12" s="1099"/>
      <c r="G12" s="1099"/>
      <c r="H12" s="1099"/>
      <c r="I12" s="1099"/>
      <c r="J12" s="1099"/>
      <c r="K12" s="134"/>
    </row>
    <row r="13" spans="1:14" s="70" customFormat="1" ht="19.5" thickBot="1" x14ac:dyDescent="0.3">
      <c r="A13" s="1087" t="s">
        <v>1449</v>
      </c>
      <c r="B13" s="1087"/>
      <c r="C13" s="1087"/>
      <c r="D13" s="1087"/>
      <c r="E13" s="1087"/>
      <c r="F13" s="1087"/>
      <c r="G13" s="1087"/>
      <c r="H13" s="1087"/>
      <c r="I13" s="1087"/>
      <c r="J13" s="1087"/>
      <c r="K13" s="135"/>
    </row>
    <row r="14" spans="1:14" ht="60" customHeight="1" x14ac:dyDescent="0.25">
      <c r="A14" s="1179"/>
      <c r="B14" s="1179"/>
      <c r="C14" s="1179"/>
      <c r="D14" s="1179"/>
      <c r="E14" s="1179"/>
      <c r="F14" s="1179"/>
      <c r="G14" s="1179"/>
      <c r="H14" s="1179"/>
      <c r="I14" s="1179"/>
      <c r="J14" s="1179"/>
    </row>
    <row r="15" spans="1:14" ht="24.95" customHeight="1" thickBot="1" x14ac:dyDescent="0.3">
      <c r="A15" s="1169" t="s">
        <v>2167</v>
      </c>
      <c r="B15" s="1169"/>
      <c r="C15" s="1169"/>
      <c r="D15" s="1169"/>
      <c r="E15" s="1169"/>
      <c r="F15" s="1169"/>
      <c r="G15" s="1169"/>
      <c r="H15" s="1169"/>
      <c r="I15" s="1169"/>
      <c r="J15" s="1169"/>
    </row>
    <row r="16" spans="1:14" ht="24.95" customHeight="1" thickBot="1" x14ac:dyDescent="0.3">
      <c r="A16" s="1298" t="s">
        <v>2178</v>
      </c>
      <c r="B16" s="1299"/>
      <c r="C16" s="1299"/>
      <c r="D16" s="1299"/>
      <c r="E16" s="1299"/>
      <c r="F16" s="1299"/>
      <c r="G16" s="1299"/>
      <c r="H16" s="1299"/>
      <c r="I16" s="1299"/>
      <c r="J16" s="1300"/>
    </row>
    <row r="17" spans="1:23" s="129" customFormat="1" ht="30" customHeight="1" thickBot="1" x14ac:dyDescent="0.3">
      <c r="A17" s="1203" t="s">
        <v>1565</v>
      </c>
      <c r="B17" s="1203"/>
      <c r="C17" s="1203"/>
      <c r="D17" s="1203"/>
      <c r="E17" s="1203"/>
      <c r="F17" s="1203"/>
      <c r="G17" s="1203"/>
      <c r="H17" s="1203"/>
      <c r="I17" s="1203"/>
      <c r="J17" s="1203"/>
      <c r="K17" s="140"/>
    </row>
    <row r="18" spans="1:23" ht="45.75" thickBot="1" x14ac:dyDescent="0.3">
      <c r="A18" s="723" t="s">
        <v>270</v>
      </c>
      <c r="B18" s="724" t="s">
        <v>271</v>
      </c>
      <c r="C18" s="724" t="s">
        <v>1578</v>
      </c>
      <c r="D18" s="724" t="s">
        <v>1580</v>
      </c>
      <c r="E18" s="724" t="s">
        <v>1579</v>
      </c>
      <c r="F18" s="724" t="s">
        <v>1582</v>
      </c>
      <c r="G18" s="724" t="s">
        <v>1583</v>
      </c>
      <c r="H18" s="724" t="s">
        <v>1598</v>
      </c>
      <c r="I18" s="724" t="s">
        <v>1596</v>
      </c>
      <c r="J18" s="724" t="s">
        <v>1597</v>
      </c>
      <c r="L18" s="1067" t="s">
        <v>2340</v>
      </c>
      <c r="M18" s="1199"/>
      <c r="N18" s="1199"/>
      <c r="O18" s="1199"/>
      <c r="P18" s="1199"/>
      <c r="Q18" s="1199"/>
      <c r="R18" s="1068"/>
      <c r="T18" s="48" t="s">
        <v>1581</v>
      </c>
      <c r="U18" s="48" t="s">
        <v>1584</v>
      </c>
      <c r="V18" s="137" t="s">
        <v>1587</v>
      </c>
    </row>
    <row r="19" spans="1:23" ht="18" customHeight="1" x14ac:dyDescent="0.25">
      <c r="A19" s="1301" t="str">
        <f>'Table 5-A| Criteria MPTE'!A100:O100</f>
        <v>Grain Receiving Emission Units</v>
      </c>
      <c r="B19" s="1302"/>
      <c r="C19" s="1302"/>
      <c r="D19" s="1302"/>
      <c r="E19" s="1302"/>
      <c r="F19" s="1302"/>
      <c r="G19" s="1302"/>
      <c r="H19" s="1302"/>
      <c r="I19" s="1302"/>
      <c r="J19" s="1303"/>
      <c r="K19" s="704">
        <f>IFERROR(VLOOKUP(I19,'Emission Controls'!$A$3:$B$16,2,),0)</f>
        <v>0</v>
      </c>
      <c r="L19" s="1307" t="str">
        <f>A19</f>
        <v>Grain Receiving Emission Units</v>
      </c>
      <c r="M19" s="1308"/>
      <c r="N19" s="1308"/>
      <c r="O19" s="1308"/>
      <c r="P19" s="1308"/>
      <c r="Q19" s="1308"/>
      <c r="R19" s="1309"/>
      <c r="T19" s="48" t="s">
        <v>75</v>
      </c>
      <c r="U19" s="48" t="s">
        <v>75</v>
      </c>
      <c r="V19" s="139" t="s">
        <v>1591</v>
      </c>
      <c r="W19" s="136"/>
    </row>
    <row r="20" spans="1:23" ht="18" customHeight="1" x14ac:dyDescent="0.25">
      <c r="A20" s="308">
        <f>IF('Table 3-A| Emission Units'!A43=0,0,'Table 5-A| Criteria MPTE'!A101)</f>
        <v>0</v>
      </c>
      <c r="B20" s="309" t="str">
        <f>IF(OR('Table 3-A| Emission Units'!$B43&gt;'Table 3-A| Emission Units'!$E$3,ISBLANK('Table 3-A| Emission Units'!$E$3)),"",'Table 3-A| Emission Units'!C43)</f>
        <v/>
      </c>
      <c r="C20" s="310"/>
      <c r="D20" s="311">
        <f>IF(OR(ISBLANK('Table 5-A| Criteria MPTE'!C101),A20="No"),"",'Table 5-A| Criteria MPTE'!E101)</f>
        <v>0</v>
      </c>
      <c r="E20" s="449"/>
      <c r="F20" s="311" t="str">
        <f>IF(ISBLANK('Table 5-A| Criteria MPTE'!D101),"",'Table 5-A| Criteria MPTE'!D101&amp;"/yr")</f>
        <v>bushels/yr</v>
      </c>
      <c r="G20" s="310"/>
      <c r="H20" s="440"/>
      <c r="I20" s="310"/>
      <c r="J20" s="310"/>
      <c r="K20" s="704">
        <f>IFERROR(VLOOKUP(I20,'Emission Controls'!$A$3:$B$16,2,),0)</f>
        <v>0</v>
      </c>
      <c r="L20" s="1304" t="str">
        <f>IF(A20=0,"",'Table 3-A| Emission Units'!E43)</f>
        <v/>
      </c>
      <c r="M20" s="1305"/>
      <c r="N20" s="1305"/>
      <c r="O20" s="1305"/>
      <c r="P20" s="1305"/>
      <c r="Q20" s="1305"/>
      <c r="R20" s="1306"/>
      <c r="T20" s="48" t="s">
        <v>73</v>
      </c>
      <c r="U20" s="48" t="s">
        <v>73</v>
      </c>
      <c r="V20" s="139" t="s">
        <v>1593</v>
      </c>
      <c r="W20" s="136"/>
    </row>
    <row r="21" spans="1:23" ht="18" customHeight="1" x14ac:dyDescent="0.25">
      <c r="A21" s="308">
        <f>IF('Table 3-A| Emission Units'!A44=0,0,'Table 5-A| Criteria MPTE'!A102)</f>
        <v>0</v>
      </c>
      <c r="B21" s="309" t="str">
        <f>IF(OR('Table 3-A| Emission Units'!$B44&gt;'Table 3-A| Emission Units'!$E$3,ISBLANK('Table 3-A| Emission Units'!$E$3)),"",'Table 3-A| Emission Units'!C44)</f>
        <v/>
      </c>
      <c r="C21" s="310"/>
      <c r="D21" s="311">
        <f>IF(OR(ISBLANK('Table 5-A| Criteria MPTE'!C102),A21="No"),"",'Table 5-A| Criteria MPTE'!E102)</f>
        <v>0</v>
      </c>
      <c r="E21" s="449"/>
      <c r="F21" s="311" t="str">
        <f>IF(ISBLANK('Table 5-A| Criteria MPTE'!D102),"",'Table 5-A| Criteria MPTE'!D102&amp;"/yr")</f>
        <v>bushels/yr</v>
      </c>
      <c r="G21" s="310"/>
      <c r="H21" s="440"/>
      <c r="I21" s="310"/>
      <c r="J21" s="310"/>
      <c r="K21" s="704">
        <f>IFERROR(VLOOKUP(I21,'Emission Controls'!$A$3:$B$16,2,),0)</f>
        <v>0</v>
      </c>
      <c r="L21" s="1304" t="str">
        <f>IF(A21=0,"",'Table 3-A| Emission Units'!E44)</f>
        <v/>
      </c>
      <c r="M21" s="1305"/>
      <c r="N21" s="1305"/>
      <c r="O21" s="1305"/>
      <c r="P21" s="1305"/>
      <c r="Q21" s="1305"/>
      <c r="R21" s="1306"/>
      <c r="V21" s="131" t="s">
        <v>1601</v>
      </c>
      <c r="W21" s="136"/>
    </row>
    <row r="22" spans="1:23" ht="18" customHeight="1" x14ac:dyDescent="0.25">
      <c r="A22" s="308">
        <f>IF('Table 3-A| Emission Units'!A45=0,0,'Table 5-A| Criteria MPTE'!A103)</f>
        <v>0</v>
      </c>
      <c r="B22" s="309" t="str">
        <f>IF(OR('Table 3-A| Emission Units'!$B45&gt;'Table 3-A| Emission Units'!$E$3,ISBLANK('Table 3-A| Emission Units'!$E$3)),"",'Table 3-A| Emission Units'!C45)</f>
        <v/>
      </c>
      <c r="C22" s="310"/>
      <c r="D22" s="311">
        <f>IF(OR(ISBLANK('Table 5-A| Criteria MPTE'!C103),A22="No"),"",'Table 5-A| Criteria MPTE'!E103)</f>
        <v>0</v>
      </c>
      <c r="E22" s="449"/>
      <c r="F22" s="311" t="str">
        <f>IF(ISBLANK('Table 5-A| Criteria MPTE'!D103),"",'Table 5-A| Criteria MPTE'!D103&amp;"/yr")</f>
        <v>bushels/yr</v>
      </c>
      <c r="G22" s="310"/>
      <c r="H22" s="440"/>
      <c r="I22" s="310"/>
      <c r="J22" s="310"/>
      <c r="K22" s="704">
        <f>IFERROR(VLOOKUP(I22,'Emission Controls'!$A$3:$B$16,2,),0)</f>
        <v>0</v>
      </c>
      <c r="L22" s="1304" t="str">
        <f>IF(A22=0,"",'Table 3-A| Emission Units'!E45)</f>
        <v/>
      </c>
      <c r="M22" s="1305"/>
      <c r="N22" s="1305"/>
      <c r="O22" s="1305"/>
      <c r="P22" s="1305"/>
      <c r="Q22" s="1305"/>
      <c r="R22" s="1306"/>
      <c r="V22" s="131" t="s">
        <v>1606</v>
      </c>
      <c r="W22" s="136"/>
    </row>
    <row r="23" spans="1:23" ht="18" customHeight="1" x14ac:dyDescent="0.25">
      <c r="A23" s="308">
        <f>IF('Table 3-A| Emission Units'!A46=0,0,'Table 5-A| Criteria MPTE'!A104)</f>
        <v>0</v>
      </c>
      <c r="B23" s="309" t="str">
        <f>IF(OR('Table 3-A| Emission Units'!$B46&gt;'Table 3-A| Emission Units'!$E$3,ISBLANK('Table 3-A| Emission Units'!$E$3)),"",'Table 3-A| Emission Units'!C46)</f>
        <v/>
      </c>
      <c r="C23" s="310"/>
      <c r="D23" s="311">
        <f>IF(OR(ISBLANK('Table 5-A| Criteria MPTE'!C104),A23="No"),"",'Table 5-A| Criteria MPTE'!E104)</f>
        <v>0</v>
      </c>
      <c r="E23" s="449"/>
      <c r="F23" s="311" t="str">
        <f>IF(ISBLANK('Table 5-A| Criteria MPTE'!D104),"",'Table 5-A| Criteria MPTE'!D104&amp;"/yr")</f>
        <v>bushels/yr</v>
      </c>
      <c r="G23" s="310"/>
      <c r="H23" s="440"/>
      <c r="I23" s="310"/>
      <c r="J23" s="310"/>
      <c r="K23" s="704">
        <f>IFERROR(VLOOKUP(I23,'Emission Controls'!$A$3:$B$16,2,),0)</f>
        <v>0</v>
      </c>
      <c r="L23" s="1304" t="str">
        <f>IF(A23=0,"",'Table 3-A| Emission Units'!E46)</f>
        <v/>
      </c>
      <c r="M23" s="1305"/>
      <c r="N23" s="1305"/>
      <c r="O23" s="1305"/>
      <c r="P23" s="1305"/>
      <c r="Q23" s="1305"/>
      <c r="R23" s="1306"/>
      <c r="V23" s="131" t="s">
        <v>1605</v>
      </c>
      <c r="W23" s="136"/>
    </row>
    <row r="24" spans="1:23" ht="18" customHeight="1" x14ac:dyDescent="0.25">
      <c r="A24" s="308">
        <f>IF('Table 3-A| Emission Units'!A47=0,0,'Table 5-A| Criteria MPTE'!A105)</f>
        <v>0</v>
      </c>
      <c r="B24" s="309" t="str">
        <f>IF(OR('Table 3-A| Emission Units'!$B47&gt;'Table 3-A| Emission Units'!$E$3,ISBLANK('Table 3-A| Emission Units'!$E$3)),"",'Table 3-A| Emission Units'!C47)</f>
        <v/>
      </c>
      <c r="C24" s="310"/>
      <c r="D24" s="311">
        <f>IF(OR(ISBLANK('Table 5-A| Criteria MPTE'!C105),A24="No"),"",'Table 5-A| Criteria MPTE'!E105)</f>
        <v>0</v>
      </c>
      <c r="E24" s="449"/>
      <c r="F24" s="311" t="str">
        <f>IF(ISBLANK('Table 5-A| Criteria MPTE'!D105),"",'Table 5-A| Criteria MPTE'!D105&amp;"/yr")</f>
        <v>bushels/yr</v>
      </c>
      <c r="G24" s="310"/>
      <c r="H24" s="440"/>
      <c r="I24" s="310"/>
      <c r="J24" s="310"/>
      <c r="K24" s="704">
        <f>IFERROR(VLOOKUP(I24,'Emission Controls'!$A$3:$B$16,2,),0)</f>
        <v>0</v>
      </c>
      <c r="L24" s="1304" t="str">
        <f>IF(A24=0,"",'Table 3-A| Emission Units'!E47)</f>
        <v/>
      </c>
      <c r="M24" s="1305"/>
      <c r="N24" s="1305"/>
      <c r="O24" s="1305"/>
      <c r="P24" s="1305"/>
      <c r="Q24" s="1305"/>
      <c r="R24" s="1306"/>
      <c r="V24" s="131" t="s">
        <v>1594</v>
      </c>
      <c r="W24" s="136"/>
    </row>
    <row r="25" spans="1:23" ht="18" customHeight="1" thickBot="1" x14ac:dyDescent="0.3">
      <c r="A25" s="308">
        <f>IF('Table 3-A| Emission Units'!A48=0,0,'Table 5-A| Criteria MPTE'!A106)</f>
        <v>0</v>
      </c>
      <c r="B25" s="309" t="str">
        <f>IF(OR('Table 3-A| Emission Units'!$B48&gt;'Table 3-A| Emission Units'!$E$3,ISBLANK('Table 3-A| Emission Units'!$E$3)),"",'Table 3-A| Emission Units'!C48)</f>
        <v/>
      </c>
      <c r="C25" s="310"/>
      <c r="D25" s="311">
        <f>IF(OR(ISBLANK('Table 5-A| Criteria MPTE'!C106),A25="No"),"",'Table 5-A| Criteria MPTE'!E106)</f>
        <v>0</v>
      </c>
      <c r="E25" s="449"/>
      <c r="F25" s="311" t="str">
        <f>IF(ISBLANK('Table 5-A| Criteria MPTE'!D106),"",'Table 5-A| Criteria MPTE'!D106&amp;"/yr")</f>
        <v>bushels/yr</v>
      </c>
      <c r="G25" s="310"/>
      <c r="H25" s="440"/>
      <c r="I25" s="310"/>
      <c r="J25" s="310"/>
      <c r="K25" s="704">
        <f>IFERROR(VLOOKUP(I25,'Emission Controls'!$A$3:$B$16,2,),0)</f>
        <v>0</v>
      </c>
      <c r="L25" s="1304" t="str">
        <f>IF(A25=0,"",'Table 3-A| Emission Units'!E48)</f>
        <v/>
      </c>
      <c r="M25" s="1305"/>
      <c r="N25" s="1305"/>
      <c r="O25" s="1305"/>
      <c r="P25" s="1305"/>
      <c r="Q25" s="1305"/>
      <c r="R25" s="1306"/>
      <c r="V25" s="131" t="s">
        <v>1607</v>
      </c>
      <c r="W25" s="136"/>
    </row>
    <row r="26" spans="1:23" ht="18" customHeight="1" x14ac:dyDescent="0.25">
      <c r="A26" s="1301" t="str">
        <f>'Table 5-A| Criteria MPTE'!A107:O107</f>
        <v>Elevator Leg Emission Units</v>
      </c>
      <c r="B26" s="1302"/>
      <c r="C26" s="1302"/>
      <c r="D26" s="1302"/>
      <c r="E26" s="1302"/>
      <c r="F26" s="1302"/>
      <c r="G26" s="1302"/>
      <c r="H26" s="1302"/>
      <c r="I26" s="1302"/>
      <c r="J26" s="1303"/>
      <c r="K26" s="704">
        <f>IFERROR(VLOOKUP(I26,'Emission Controls'!$A$3:$B$16,2,),0)</f>
        <v>0</v>
      </c>
      <c r="L26" s="1307" t="str">
        <f>A26</f>
        <v>Elevator Leg Emission Units</v>
      </c>
      <c r="M26" s="1308"/>
      <c r="N26" s="1308"/>
      <c r="O26" s="1308"/>
      <c r="P26" s="1308"/>
      <c r="Q26" s="1308"/>
      <c r="R26" s="1309"/>
      <c r="V26" s="131" t="s">
        <v>1604</v>
      </c>
      <c r="W26" s="136"/>
    </row>
    <row r="27" spans="1:23" ht="18" customHeight="1" x14ac:dyDescent="0.25">
      <c r="A27" s="308">
        <f>IF('Table 3-A| Emission Units'!A50=0,0,'Table 5-A| Criteria MPTE'!A108)</f>
        <v>0</v>
      </c>
      <c r="B27" s="309" t="str">
        <f>IF(OR('Table 3-A| Emission Units'!$B50&gt;'Table 3-A| Emission Units'!$E$4,ISBLANK('Table 3-A| Emission Units'!$E$4)),"",'Table 3-A| Emission Units'!C50)</f>
        <v/>
      </c>
      <c r="C27" s="310"/>
      <c r="D27" s="311">
        <f>IF(OR(ISBLANK('Table 5-A| Criteria MPTE'!C108),A27="No"),"",'Table 5-A| Criteria MPTE'!E108)</f>
        <v>0</v>
      </c>
      <c r="E27" s="449"/>
      <c r="F27" s="311" t="str">
        <f>IF(ISBLANK('Table 5-A| Criteria MPTE'!D108),"",'Table 5-A| Criteria MPTE'!D108&amp;"/yr")</f>
        <v>bushels/yr</v>
      </c>
      <c r="G27" s="310"/>
      <c r="H27" s="440"/>
      <c r="I27" s="310"/>
      <c r="J27" s="310"/>
      <c r="K27" s="704">
        <f>IFERROR(VLOOKUP(I27,'Emission Controls'!$A$3:$B$16,2,),0)</f>
        <v>0</v>
      </c>
      <c r="L27" s="1304" t="str">
        <f>IF(A27=0,"",'Table 3-A| Emission Units'!E50)</f>
        <v/>
      </c>
      <c r="M27" s="1305"/>
      <c r="N27" s="1305"/>
      <c r="O27" s="1305"/>
      <c r="P27" s="1305"/>
      <c r="Q27" s="1305"/>
      <c r="R27" s="1306"/>
      <c r="V27" s="131" t="s">
        <v>1603</v>
      </c>
      <c r="W27" s="136"/>
    </row>
    <row r="28" spans="1:23" ht="18" customHeight="1" x14ac:dyDescent="0.25">
      <c r="A28" s="308">
        <f>IF('Table 3-A| Emission Units'!A51=0,0,'Table 5-A| Criteria MPTE'!A109)</f>
        <v>0</v>
      </c>
      <c r="B28" s="309" t="str">
        <f>IF(OR('Table 3-A| Emission Units'!$B51&gt;'Table 3-A| Emission Units'!$E$4,ISBLANK('Table 3-A| Emission Units'!$E$4)),"",'Table 3-A| Emission Units'!C51)</f>
        <v/>
      </c>
      <c r="C28" s="310"/>
      <c r="D28" s="311">
        <f>IF(OR(ISBLANK('Table 5-A| Criteria MPTE'!C109),A28="No"),"",'Table 5-A| Criteria MPTE'!E109)</f>
        <v>0</v>
      </c>
      <c r="E28" s="449"/>
      <c r="F28" s="311" t="str">
        <f>IF(ISBLANK('Table 5-A| Criteria MPTE'!D109),"",'Table 5-A| Criteria MPTE'!D109&amp;"/yr")</f>
        <v>bushels/yr</v>
      </c>
      <c r="G28" s="310"/>
      <c r="H28" s="440"/>
      <c r="I28" s="310"/>
      <c r="J28" s="310"/>
      <c r="K28" s="704">
        <f>IFERROR(VLOOKUP(I28,'Emission Controls'!$A$3:$B$16,2,),0)</f>
        <v>0</v>
      </c>
      <c r="L28" s="1304" t="str">
        <f>IF(A28=0,"",'Table 3-A| Emission Units'!E51)</f>
        <v/>
      </c>
      <c r="M28" s="1305"/>
      <c r="N28" s="1305"/>
      <c r="O28" s="1305"/>
      <c r="P28" s="1305"/>
      <c r="Q28" s="1305"/>
      <c r="R28" s="1306"/>
      <c r="V28" s="131" t="s">
        <v>1602</v>
      </c>
      <c r="W28" s="136"/>
    </row>
    <row r="29" spans="1:23" ht="18" customHeight="1" x14ac:dyDescent="0.25">
      <c r="A29" s="308">
        <f>IF('Table 3-A| Emission Units'!A52=0,0,'Table 5-A| Criteria MPTE'!A110)</f>
        <v>0</v>
      </c>
      <c r="B29" s="309" t="str">
        <f>IF(OR('Table 3-A| Emission Units'!$B52&gt;'Table 3-A| Emission Units'!$E$4,ISBLANK('Table 3-A| Emission Units'!$E$4)),"",'Table 3-A| Emission Units'!C52)</f>
        <v/>
      </c>
      <c r="C29" s="310"/>
      <c r="D29" s="311">
        <f>IF(OR(ISBLANK('Table 5-A| Criteria MPTE'!C110),A29="No"),"",'Table 5-A| Criteria MPTE'!E110)</f>
        <v>0</v>
      </c>
      <c r="E29" s="449"/>
      <c r="F29" s="311" t="str">
        <f>IF(ISBLANK('Table 5-A| Criteria MPTE'!D110),"",'Table 5-A| Criteria MPTE'!D110&amp;"/yr")</f>
        <v>bushels/yr</v>
      </c>
      <c r="G29" s="310"/>
      <c r="H29" s="440"/>
      <c r="I29" s="310"/>
      <c r="J29" s="310"/>
      <c r="K29" s="704">
        <f>IFERROR(VLOOKUP(I29,'Emission Controls'!$A$3:$B$16,2,),0)</f>
        <v>0</v>
      </c>
      <c r="L29" s="1304" t="str">
        <f>IF(A29=0,"",'Table 3-A| Emission Units'!E52)</f>
        <v/>
      </c>
      <c r="M29" s="1305"/>
      <c r="N29" s="1305"/>
      <c r="O29" s="1305"/>
      <c r="P29" s="1305"/>
      <c r="Q29" s="1305"/>
      <c r="R29" s="1306"/>
      <c r="V29" s="131" t="s">
        <v>1592</v>
      </c>
      <c r="W29" s="136"/>
    </row>
    <row r="30" spans="1:23" ht="18" customHeight="1" x14ac:dyDescent="0.25">
      <c r="A30" s="308">
        <f>IF('Table 3-A| Emission Units'!A53=0,0,'Table 5-A| Criteria MPTE'!A111)</f>
        <v>0</v>
      </c>
      <c r="B30" s="309" t="str">
        <f>IF(OR('Table 3-A| Emission Units'!$B53&gt;'Table 3-A| Emission Units'!$E$4,ISBLANK('Table 3-A| Emission Units'!$E$4)),"",'Table 3-A| Emission Units'!C53)</f>
        <v/>
      </c>
      <c r="C30" s="310"/>
      <c r="D30" s="311">
        <f>IF(OR(ISBLANK('Table 5-A| Criteria MPTE'!C111),A30="No"),"",'Table 5-A| Criteria MPTE'!E111)</f>
        <v>0</v>
      </c>
      <c r="E30" s="449"/>
      <c r="F30" s="311" t="str">
        <f>IF(ISBLANK('Table 5-A| Criteria MPTE'!D111),"",'Table 5-A| Criteria MPTE'!D111&amp;"/yr")</f>
        <v>bushels/yr</v>
      </c>
      <c r="G30" s="310"/>
      <c r="H30" s="440"/>
      <c r="I30" s="310"/>
      <c r="J30" s="310"/>
      <c r="K30" s="704">
        <f>IFERROR(VLOOKUP(I30,'Emission Controls'!$A$3:$B$16,2,),0)</f>
        <v>0</v>
      </c>
      <c r="L30" s="1304" t="str">
        <f>IF(A30=0,"",'Table 3-A| Emission Units'!E53)</f>
        <v/>
      </c>
      <c r="M30" s="1305"/>
      <c r="N30" s="1305"/>
      <c r="O30" s="1305"/>
      <c r="P30" s="1305"/>
      <c r="Q30" s="1305"/>
      <c r="R30" s="1306"/>
      <c r="V30" s="131" t="s">
        <v>1600</v>
      </c>
      <c r="W30" s="136"/>
    </row>
    <row r="31" spans="1:23" ht="18" customHeight="1" x14ac:dyDescent="0.25">
      <c r="A31" s="308">
        <f>IF('Table 3-A| Emission Units'!A54=0,0,'Table 5-A| Criteria MPTE'!A112)</f>
        <v>0</v>
      </c>
      <c r="B31" s="309" t="str">
        <f>IF(OR('Table 3-A| Emission Units'!$B54&gt;'Table 3-A| Emission Units'!$E$4,ISBLANK('Table 3-A| Emission Units'!$E$4)),"",'Table 3-A| Emission Units'!C54)</f>
        <v/>
      </c>
      <c r="C31" s="310"/>
      <c r="D31" s="311">
        <f>IF(OR(ISBLANK('Table 5-A| Criteria MPTE'!C112),A31="No"),"",'Table 5-A| Criteria MPTE'!E112)</f>
        <v>0</v>
      </c>
      <c r="E31" s="449"/>
      <c r="F31" s="311" t="str">
        <f>IF(ISBLANK('Table 5-A| Criteria MPTE'!D112),"",'Table 5-A| Criteria MPTE'!D112&amp;"/yr")</f>
        <v>bushels/yr</v>
      </c>
      <c r="G31" s="310"/>
      <c r="H31" s="440"/>
      <c r="I31" s="310"/>
      <c r="J31" s="310"/>
      <c r="K31" s="704">
        <f>IFERROR(VLOOKUP(I31,'Emission Controls'!$A$3:$B$16,2,),0)</f>
        <v>0</v>
      </c>
      <c r="L31" s="1304" t="str">
        <f>IF(A31=0,"",'Table 3-A| Emission Units'!E54)</f>
        <v/>
      </c>
      <c r="M31" s="1305"/>
      <c r="N31" s="1305"/>
      <c r="O31" s="1305"/>
      <c r="P31" s="1305"/>
      <c r="Q31" s="1305"/>
      <c r="R31" s="1306"/>
      <c r="V31" s="131" t="s">
        <v>1586</v>
      </c>
    </row>
    <row r="32" spans="1:23" ht="18" customHeight="1" thickBot="1" x14ac:dyDescent="0.3">
      <c r="A32" s="308">
        <f>IF('Table 3-A| Emission Units'!A55=0,0,'Table 5-A| Criteria MPTE'!A113)</f>
        <v>0</v>
      </c>
      <c r="B32" s="309" t="str">
        <f>IF(OR('Table 3-A| Emission Units'!$B55&gt;'Table 3-A| Emission Units'!$E$4,ISBLANK('Table 3-A| Emission Units'!$E$4)),"",'Table 3-A| Emission Units'!C55)</f>
        <v/>
      </c>
      <c r="C32" s="310"/>
      <c r="D32" s="311">
        <f>IF(OR(ISBLANK('Table 5-A| Criteria MPTE'!C113),A32="No"),"",'Table 5-A| Criteria MPTE'!E113)</f>
        <v>0</v>
      </c>
      <c r="E32" s="449"/>
      <c r="F32" s="311" t="str">
        <f>IF(ISBLANK('Table 5-A| Criteria MPTE'!D113),"",'Table 5-A| Criteria MPTE'!D113&amp;"/yr")</f>
        <v>bushels/yr</v>
      </c>
      <c r="G32" s="310"/>
      <c r="H32" s="440"/>
      <c r="I32" s="310"/>
      <c r="J32" s="310"/>
      <c r="K32" s="704">
        <f>IFERROR(VLOOKUP(I32,'Emission Controls'!$A$3:$B$16,2,),0)</f>
        <v>0</v>
      </c>
      <c r="L32" s="1304" t="str">
        <f>IF(A32=0,"",'Table 3-A| Emission Units'!E55)</f>
        <v/>
      </c>
      <c r="M32" s="1305"/>
      <c r="N32" s="1305"/>
      <c r="O32" s="1305"/>
      <c r="P32" s="1305"/>
      <c r="Q32" s="1305"/>
      <c r="R32" s="1306"/>
      <c r="V32" s="132" t="s">
        <v>1595</v>
      </c>
    </row>
    <row r="33" spans="1:18" ht="18" customHeight="1" x14ac:dyDescent="0.25">
      <c r="A33" s="1301" t="str">
        <f>'Table 5-A| Criteria MPTE'!A114:O114</f>
        <v>Grain Shipping Emission Units</v>
      </c>
      <c r="B33" s="1302"/>
      <c r="C33" s="1302"/>
      <c r="D33" s="1302"/>
      <c r="E33" s="1302"/>
      <c r="F33" s="1302"/>
      <c r="G33" s="1302"/>
      <c r="H33" s="1302"/>
      <c r="I33" s="1302"/>
      <c r="J33" s="1303"/>
      <c r="K33" s="704">
        <f>IFERROR(VLOOKUP(I33,'Emission Controls'!$A$3:$B$16,2,),0)</f>
        <v>0</v>
      </c>
      <c r="L33" s="1307" t="str">
        <f>A33</f>
        <v>Grain Shipping Emission Units</v>
      </c>
      <c r="M33" s="1308"/>
      <c r="N33" s="1308"/>
      <c r="O33" s="1308"/>
      <c r="P33" s="1308"/>
      <c r="Q33" s="1308"/>
      <c r="R33" s="1309"/>
    </row>
    <row r="34" spans="1:18" ht="18" customHeight="1" x14ac:dyDescent="0.25">
      <c r="A34" s="308">
        <f>IF('Table 3-A| Emission Units'!A57=0,0,'Table 5-A| Criteria MPTE'!A115)</f>
        <v>0</v>
      </c>
      <c r="B34" s="309" t="str">
        <f>IF(OR('Table 3-A| Emission Units'!$B57&gt;'Table 3-A| Emission Units'!$E$5,ISBLANK('Table 3-A| Emission Units'!$E$5)),"",'Table 3-A| Emission Units'!C57)</f>
        <v/>
      </c>
      <c r="C34" s="310"/>
      <c r="D34" s="311">
        <f>IF(OR(ISBLANK('Table 5-A| Criteria MPTE'!C115),A34="No"),"",'Table 5-A| Criteria MPTE'!E115)</f>
        <v>0</v>
      </c>
      <c r="E34" s="449"/>
      <c r="F34" s="311" t="str">
        <f>IF(ISBLANK('Table 5-A| Criteria MPTE'!D115),"",'Table 5-A| Criteria MPTE'!D115&amp;"/yr")</f>
        <v>bushels/yr</v>
      </c>
      <c r="G34" s="310"/>
      <c r="H34" s="440"/>
      <c r="I34" s="310"/>
      <c r="J34" s="310"/>
      <c r="K34" s="704">
        <f>IFERROR(VLOOKUP(I34,'Emission Controls'!$A$3:$B$16,2,),0)</f>
        <v>0</v>
      </c>
      <c r="L34" s="1304" t="str">
        <f>IF(A34=0,"",'Table 3-A| Emission Units'!E57)</f>
        <v/>
      </c>
      <c r="M34" s="1305"/>
      <c r="N34" s="1305"/>
      <c r="O34" s="1305"/>
      <c r="P34" s="1305"/>
      <c r="Q34" s="1305"/>
      <c r="R34" s="1306"/>
    </row>
    <row r="35" spans="1:18" ht="18" customHeight="1" x14ac:dyDescent="0.25">
      <c r="A35" s="308">
        <f>IF('Table 3-A| Emission Units'!A58=0,0,'Table 5-A| Criteria MPTE'!A116)</f>
        <v>0</v>
      </c>
      <c r="B35" s="309" t="str">
        <f>IF(OR('Table 3-A| Emission Units'!$B58&gt;'Table 3-A| Emission Units'!$E$5,ISBLANK('Table 3-A| Emission Units'!$E$5)),"",'Table 3-A| Emission Units'!C58)</f>
        <v/>
      </c>
      <c r="C35" s="310"/>
      <c r="D35" s="311">
        <f>IF(OR(ISBLANK('Table 5-A| Criteria MPTE'!C116),A35="No"),"",'Table 5-A| Criteria MPTE'!E116)</f>
        <v>0</v>
      </c>
      <c r="E35" s="449"/>
      <c r="F35" s="311" t="str">
        <f>IF(ISBLANK('Table 5-A| Criteria MPTE'!D116),"",'Table 5-A| Criteria MPTE'!D116&amp;"/yr")</f>
        <v>bushels/yr</v>
      </c>
      <c r="G35" s="310"/>
      <c r="H35" s="440"/>
      <c r="I35" s="310"/>
      <c r="J35" s="310"/>
      <c r="K35" s="704">
        <f>IFERROR(VLOOKUP(I35,'Emission Controls'!$A$3:$B$16,2,),0)</f>
        <v>0</v>
      </c>
      <c r="L35" s="1304" t="str">
        <f>IF(A35=0,"",'Table 3-A| Emission Units'!E58)</f>
        <v/>
      </c>
      <c r="M35" s="1305"/>
      <c r="N35" s="1305"/>
      <c r="O35" s="1305"/>
      <c r="P35" s="1305"/>
      <c r="Q35" s="1305"/>
      <c r="R35" s="1306"/>
    </row>
    <row r="36" spans="1:18" ht="18" customHeight="1" x14ac:dyDescent="0.25">
      <c r="A36" s="308">
        <f>IF('Table 3-A| Emission Units'!A59=0,0,'Table 5-A| Criteria MPTE'!A117)</f>
        <v>0</v>
      </c>
      <c r="B36" s="309" t="str">
        <f>IF(OR('Table 3-A| Emission Units'!$B59&gt;'Table 3-A| Emission Units'!$E$5,ISBLANK('Table 3-A| Emission Units'!$E$5)),"",'Table 3-A| Emission Units'!C59)</f>
        <v/>
      </c>
      <c r="C36" s="310"/>
      <c r="D36" s="311">
        <f>IF(OR(ISBLANK('Table 5-A| Criteria MPTE'!C117),A36="No"),"",'Table 5-A| Criteria MPTE'!E117)</f>
        <v>0</v>
      </c>
      <c r="E36" s="449"/>
      <c r="F36" s="311" t="str">
        <f>IF(ISBLANK('Table 5-A| Criteria MPTE'!D117),"",'Table 5-A| Criteria MPTE'!D117&amp;"/yr")</f>
        <v>bushels/yr</v>
      </c>
      <c r="G36" s="310"/>
      <c r="H36" s="440"/>
      <c r="I36" s="310"/>
      <c r="J36" s="310"/>
      <c r="K36" s="704">
        <f>IFERROR(VLOOKUP(I36,'Emission Controls'!$A$3:$B$16,2,),0)</f>
        <v>0</v>
      </c>
      <c r="L36" s="1304" t="str">
        <f>IF(A36=0,"",'Table 3-A| Emission Units'!E59)</f>
        <v/>
      </c>
      <c r="M36" s="1305"/>
      <c r="N36" s="1305"/>
      <c r="O36" s="1305"/>
      <c r="P36" s="1305"/>
      <c r="Q36" s="1305"/>
      <c r="R36" s="1306"/>
    </row>
    <row r="37" spans="1:18" ht="18" customHeight="1" x14ac:dyDescent="0.25">
      <c r="A37" s="308">
        <f>IF('Table 3-A| Emission Units'!A60=0,0,'Table 5-A| Criteria MPTE'!A118)</f>
        <v>0</v>
      </c>
      <c r="B37" s="309" t="str">
        <f>IF(OR('Table 3-A| Emission Units'!$B60&gt;'Table 3-A| Emission Units'!$E$5,ISBLANK('Table 3-A| Emission Units'!$E$5)),"",'Table 3-A| Emission Units'!C60)</f>
        <v/>
      </c>
      <c r="C37" s="310"/>
      <c r="D37" s="311">
        <f>IF(OR(ISBLANK('Table 5-A| Criteria MPTE'!C118),A37="No"),"",'Table 5-A| Criteria MPTE'!E118)</f>
        <v>0</v>
      </c>
      <c r="E37" s="449"/>
      <c r="F37" s="311" t="str">
        <f>IF(ISBLANK('Table 5-A| Criteria MPTE'!D118),"",'Table 5-A| Criteria MPTE'!D118&amp;"/yr")</f>
        <v>bushels/yr</v>
      </c>
      <c r="G37" s="310"/>
      <c r="H37" s="440"/>
      <c r="I37" s="310"/>
      <c r="J37" s="310"/>
      <c r="K37" s="704">
        <f>IFERROR(VLOOKUP(I37,'Emission Controls'!$A$3:$B$16,2,),0)</f>
        <v>0</v>
      </c>
      <c r="L37" s="1304" t="str">
        <f>IF(A37=0,"",'Table 3-A| Emission Units'!E60)</f>
        <v/>
      </c>
      <c r="M37" s="1305"/>
      <c r="N37" s="1305"/>
      <c r="O37" s="1305"/>
      <c r="P37" s="1305"/>
      <c r="Q37" s="1305"/>
      <c r="R37" s="1306"/>
    </row>
    <row r="38" spans="1:18" ht="18" customHeight="1" x14ac:dyDescent="0.25">
      <c r="A38" s="308">
        <f>IF('Table 3-A| Emission Units'!A61=0,0,'Table 5-A| Criteria MPTE'!A119)</f>
        <v>0</v>
      </c>
      <c r="B38" s="309" t="str">
        <f>IF(OR('Table 3-A| Emission Units'!$B61&gt;'Table 3-A| Emission Units'!$E$5,ISBLANK('Table 3-A| Emission Units'!$E$5)),"",'Table 3-A| Emission Units'!C61)</f>
        <v/>
      </c>
      <c r="C38" s="310"/>
      <c r="D38" s="311">
        <f>IF(OR(ISBLANK('Table 5-A| Criteria MPTE'!C119),A38="No"),"",'Table 5-A| Criteria MPTE'!E119)</f>
        <v>0</v>
      </c>
      <c r="E38" s="449"/>
      <c r="F38" s="311" t="str">
        <f>IF(ISBLANK('Table 5-A| Criteria MPTE'!D119),"",'Table 5-A| Criteria MPTE'!D119&amp;"/yr")</f>
        <v>bushels/yr</v>
      </c>
      <c r="G38" s="310"/>
      <c r="H38" s="440"/>
      <c r="I38" s="310"/>
      <c r="J38" s="310"/>
      <c r="K38" s="704">
        <f>IFERROR(VLOOKUP(I38,'Emission Controls'!$A$3:$B$16,2,),0)</f>
        <v>0</v>
      </c>
      <c r="L38" s="1304" t="str">
        <f>IF(A38=0,"",'Table 3-A| Emission Units'!E61)</f>
        <v/>
      </c>
      <c r="M38" s="1305"/>
      <c r="N38" s="1305"/>
      <c r="O38" s="1305"/>
      <c r="P38" s="1305"/>
      <c r="Q38" s="1305"/>
      <c r="R38" s="1306"/>
    </row>
    <row r="39" spans="1:18" ht="18" customHeight="1" thickBot="1" x14ac:dyDescent="0.3">
      <c r="A39" s="308">
        <f>IF('Table 3-A| Emission Units'!A62=0,0,'Table 5-A| Criteria MPTE'!A120)</f>
        <v>0</v>
      </c>
      <c r="B39" s="309" t="str">
        <f>IF(OR('Table 3-A| Emission Units'!$B62&gt;'Table 3-A| Emission Units'!$E$5,ISBLANK('Table 3-A| Emission Units'!$E$5)),"",'Table 3-A| Emission Units'!C62)</f>
        <v/>
      </c>
      <c r="C39" s="310"/>
      <c r="D39" s="311">
        <f>IF(OR(ISBLANK('Table 5-A| Criteria MPTE'!C120),A39="No"),"",'Table 5-A| Criteria MPTE'!E120)</f>
        <v>0</v>
      </c>
      <c r="E39" s="449"/>
      <c r="F39" s="311" t="str">
        <f>IF(ISBLANK('Table 5-A| Criteria MPTE'!D120),"",'Table 5-A| Criteria MPTE'!D120&amp;"/yr")</f>
        <v>bushels/yr</v>
      </c>
      <c r="G39" s="310"/>
      <c r="H39" s="440"/>
      <c r="I39" s="310"/>
      <c r="J39" s="310"/>
      <c r="K39" s="704">
        <f>IFERROR(VLOOKUP(I39,'Emission Controls'!$A$3:$B$16,2,),0)</f>
        <v>0</v>
      </c>
      <c r="L39" s="1304" t="str">
        <f>IF(A39=0,"",'Table 3-A| Emission Units'!E62)</f>
        <v/>
      </c>
      <c r="M39" s="1305"/>
      <c r="N39" s="1305"/>
      <c r="O39" s="1305"/>
      <c r="P39" s="1305"/>
      <c r="Q39" s="1305"/>
      <c r="R39" s="1306"/>
    </row>
    <row r="40" spans="1:18" ht="18" customHeight="1" x14ac:dyDescent="0.25">
      <c r="A40" s="1301" t="str">
        <f>'Table 5-A| Criteria MPTE'!A121:O121</f>
        <v>Haul Road Emission Units</v>
      </c>
      <c r="B40" s="1302"/>
      <c r="C40" s="1302"/>
      <c r="D40" s="1302"/>
      <c r="E40" s="1302"/>
      <c r="F40" s="1302"/>
      <c r="G40" s="1302"/>
      <c r="H40" s="1302"/>
      <c r="I40" s="1302"/>
      <c r="J40" s="1303"/>
      <c r="K40" s="704">
        <f>IFERROR(VLOOKUP(I40,'Emission Controls'!$A$3:$B$16,2,),0)</f>
        <v>0</v>
      </c>
      <c r="L40" s="1307" t="str">
        <f>A40</f>
        <v>Haul Road Emission Units</v>
      </c>
      <c r="M40" s="1308"/>
      <c r="N40" s="1308"/>
      <c r="O40" s="1308"/>
      <c r="P40" s="1308"/>
      <c r="Q40" s="1308"/>
      <c r="R40" s="1309"/>
    </row>
    <row r="41" spans="1:18" ht="18" customHeight="1" x14ac:dyDescent="0.25">
      <c r="A41" s="308">
        <f>IF('Table 3-A| Emission Units'!A64=0,0,'Table 5-A| Criteria MPTE'!A122)</f>
        <v>0</v>
      </c>
      <c r="B41" s="309" t="str">
        <f>IF(OR(ISBLANK('Table 3-A| Emission Units'!$E$6),'Table 3-A| Emission Units'!$E$6="Unpaved Roads"),"",'Table 3-A| Emission Units'!C64)</f>
        <v/>
      </c>
      <c r="C41" s="705" t="s">
        <v>73</v>
      </c>
      <c r="D41" s="311">
        <f>IF(OR(ISBLANK('Table 5-A| Criteria MPTE'!C122),A41="No"),"",'Table 5-A| Criteria MPTE'!E122)</f>
        <v>0</v>
      </c>
      <c r="E41" s="449"/>
      <c r="F41" s="311" t="str">
        <f>IF('Table 5-A| Criteria MPTE'!D122="","",'Table 5-A| Criteria MPTE'!D122&amp;"/yr")</f>
        <v/>
      </c>
      <c r="G41" s="310"/>
      <c r="H41" s="440"/>
      <c r="I41" s="310"/>
      <c r="J41" s="310"/>
      <c r="K41" s="704">
        <f>IFERROR(VLOOKUP(I41,'Emission Controls'!$A$3:$B$16,2,),0)</f>
        <v>0</v>
      </c>
      <c r="L41" s="1304" t="str">
        <f>'Table 3-A| Emission Units'!E64</f>
        <v>Paved Haul Roads</v>
      </c>
      <c r="M41" s="1305"/>
      <c r="N41" s="1305"/>
      <c r="O41" s="1305"/>
      <c r="P41" s="1305"/>
      <c r="Q41" s="1305"/>
      <c r="R41" s="1306"/>
    </row>
    <row r="42" spans="1:18" ht="18" customHeight="1" thickBot="1" x14ac:dyDescent="0.3">
      <c r="A42" s="308">
        <f>IF('Table 3-A| Emission Units'!A65=0,0,'Table 5-A| Criteria MPTE'!A123)</f>
        <v>0</v>
      </c>
      <c r="B42" s="309" t="str">
        <f>IF(OR(ISBLANK('Table 3-A| Emission Units'!$E$6),'Table 3-A| Emission Units'!$E$6="Paved Roads"),"",'Table 3-A| Emission Units'!C65)</f>
        <v/>
      </c>
      <c r="C42" s="705" t="s">
        <v>73</v>
      </c>
      <c r="D42" s="311">
        <f>IF(OR(ISBLANK('Table 5-A| Criteria MPTE'!C123),A42="No"),"",'Table 5-A| Criteria MPTE'!E123)</f>
        <v>0</v>
      </c>
      <c r="E42" s="449"/>
      <c r="F42" s="311" t="str">
        <f>IF('Table 5-A| Criteria MPTE'!D123="","",'Table 5-A| Criteria MPTE'!D123&amp;"/yr")</f>
        <v/>
      </c>
      <c r="G42" s="310"/>
      <c r="H42" s="440"/>
      <c r="I42" s="310"/>
      <c r="J42" s="310"/>
      <c r="K42" s="704">
        <f>IFERROR(VLOOKUP(I42,'Emission Controls'!$A$3:$B$16,2,),0)</f>
        <v>0</v>
      </c>
      <c r="L42" s="1304" t="str">
        <f>'Table 3-A| Emission Units'!E65</f>
        <v>Unpaved Haul Roads</v>
      </c>
      <c r="M42" s="1305"/>
      <c r="N42" s="1305"/>
      <c r="O42" s="1305"/>
      <c r="P42" s="1305"/>
      <c r="Q42" s="1305"/>
      <c r="R42" s="1306"/>
    </row>
    <row r="43" spans="1:18" ht="18" customHeight="1" x14ac:dyDescent="0.25">
      <c r="A43" s="1301" t="str">
        <f>'Table 5-A| Criteria MPTE'!A124:O124</f>
        <v>Grain Storage Emission Units</v>
      </c>
      <c r="B43" s="1302"/>
      <c r="C43" s="1302"/>
      <c r="D43" s="1302"/>
      <c r="E43" s="1302"/>
      <c r="F43" s="1302"/>
      <c r="G43" s="1302"/>
      <c r="H43" s="1302"/>
      <c r="I43" s="1302"/>
      <c r="J43" s="1303"/>
      <c r="K43" s="704">
        <f>IFERROR(VLOOKUP(I43,'Emission Controls'!$A$3:$B$16,2,),0)</f>
        <v>0</v>
      </c>
      <c r="L43" s="1307" t="str">
        <f>A43</f>
        <v>Grain Storage Emission Units</v>
      </c>
      <c r="M43" s="1308"/>
      <c r="N43" s="1308"/>
      <c r="O43" s="1308"/>
      <c r="P43" s="1308"/>
      <c r="Q43" s="1308"/>
      <c r="R43" s="1309"/>
    </row>
    <row r="44" spans="1:18" ht="18" customHeight="1" thickBot="1" x14ac:dyDescent="0.3">
      <c r="A44" s="308" t="str">
        <f>IF('Table 3-A| Emission Units'!A67=0,0,'Table 5-A| Criteria MPTE'!A125)</f>
        <v>1-1</v>
      </c>
      <c r="B44" s="309">
        <f>IF('Table 3-A| Emission Units'!A67=0,"",'Table 3-A| Emission Units'!C67)</f>
        <v>30200540</v>
      </c>
      <c r="C44" s="705" t="s">
        <v>73</v>
      </c>
      <c r="D44" s="311">
        <f>IF(OR(ISBLANK('Table 5-A| Criteria MPTE'!C125),A44="No"),"",'Table 5-A| Criteria MPTE'!E125)</f>
        <v>0</v>
      </c>
      <c r="E44" s="449"/>
      <c r="F44" s="311" t="str">
        <f>IF('Table 5-A| Criteria MPTE'!D125="","",'Table 5-A| Criteria MPTE'!D125&amp;"/yr")</f>
        <v>bushels/yr</v>
      </c>
      <c r="G44" s="310"/>
      <c r="H44" s="440"/>
      <c r="I44" s="310"/>
      <c r="J44" s="310"/>
      <c r="K44" s="704">
        <f>IFERROR(VLOOKUP(I44,'Emission Controls'!$A$3:$B$16,2,),0)</f>
        <v>0</v>
      </c>
      <c r="L44" s="1310" t="str">
        <f>TEXT('Table 3-A| Emission Units'!E67,"#,###")&amp;" bushels of storage"</f>
        <v xml:space="preserve"> bushels of storage</v>
      </c>
      <c r="M44" s="1311"/>
      <c r="N44" s="1311"/>
      <c r="O44" s="1311"/>
      <c r="P44" s="1311"/>
      <c r="Q44" s="1311"/>
      <c r="R44" s="1312"/>
    </row>
    <row r="45" spans="1:18" ht="18" customHeight="1" x14ac:dyDescent="0.25">
      <c r="A45" s="1301" t="str">
        <f>'Table 5-A| Criteria MPTE'!A126:O126</f>
        <v>Grain Cleaning Emission Units</v>
      </c>
      <c r="B45" s="1302"/>
      <c r="C45" s="1302"/>
      <c r="D45" s="1302"/>
      <c r="E45" s="1302"/>
      <c r="F45" s="1302"/>
      <c r="G45" s="1302"/>
      <c r="H45" s="1302"/>
      <c r="I45" s="1302"/>
      <c r="J45" s="1303"/>
      <c r="K45" s="704">
        <f>IFERROR(VLOOKUP(I45,'Emission Controls'!$A$3:$B$16,2,),0)</f>
        <v>0</v>
      </c>
      <c r="L45" s="1307" t="str">
        <f>A45</f>
        <v>Grain Cleaning Emission Units</v>
      </c>
      <c r="M45" s="1308"/>
      <c r="N45" s="1308"/>
      <c r="O45" s="1308"/>
      <c r="P45" s="1308"/>
      <c r="Q45" s="1308"/>
      <c r="R45" s="1309"/>
    </row>
    <row r="46" spans="1:18" ht="18" customHeight="1" x14ac:dyDescent="0.25">
      <c r="A46" s="308">
        <f>IF('Table 3-A| Emission Units'!A69=0,0,'Table 5-A| Criteria MPTE'!A127)</f>
        <v>0</v>
      </c>
      <c r="B46" s="309" t="str">
        <f>IF(OR('Table 3-A| Emission Units'!$B69&gt;'Table 3-A| Emission Units'!$E$11,ISBLANK('Table 3-A| Emission Units'!$E$11)),"",'Table 3-A| Emission Units'!C69)</f>
        <v/>
      </c>
      <c r="C46" s="310"/>
      <c r="D46" s="311">
        <f>IF(OR(ISBLANK('Table 5-A| Criteria MPTE'!C127),A46="No"),"",'Table 5-A| Criteria MPTE'!E127)</f>
        <v>0</v>
      </c>
      <c r="E46" s="449"/>
      <c r="F46" s="311" t="str">
        <f>IF(ISBLANK('Table 5-A| Criteria MPTE'!D127),"",'Table 5-A| Criteria MPTE'!D127&amp;"/yr")</f>
        <v>bushels/yr</v>
      </c>
      <c r="G46" s="310"/>
      <c r="H46" s="440"/>
      <c r="I46" s="310"/>
      <c r="J46" s="310"/>
      <c r="K46" s="704">
        <f>IFERROR(VLOOKUP(I46,'Emission Controls'!$A$3:$B$16,2,),0)</f>
        <v>0</v>
      </c>
      <c r="L46" s="1304" t="str">
        <f>IF(A46=0,"",'Table 3-A| Emission Units'!E69)</f>
        <v/>
      </c>
      <c r="M46" s="1305"/>
      <c r="N46" s="1305"/>
      <c r="O46" s="1305"/>
      <c r="P46" s="1305"/>
      <c r="Q46" s="1305"/>
      <c r="R46" s="1306"/>
    </row>
    <row r="47" spans="1:18" ht="18" customHeight="1" x14ac:dyDescent="0.25">
      <c r="A47" s="308">
        <f>IF('Table 3-A| Emission Units'!A70=0,0,'Table 5-A| Criteria MPTE'!A128)</f>
        <v>0</v>
      </c>
      <c r="B47" s="309" t="str">
        <f>IF(OR('Table 3-A| Emission Units'!$B70&gt;'Table 3-A| Emission Units'!$E$11,ISBLANK('Table 3-A| Emission Units'!$E$11)),"",'Table 3-A| Emission Units'!C70)</f>
        <v/>
      </c>
      <c r="C47" s="310"/>
      <c r="D47" s="311">
        <f>IF(OR(ISBLANK('Table 5-A| Criteria MPTE'!C128),A47="No"),"",'Table 5-A| Criteria MPTE'!E128)</f>
        <v>0</v>
      </c>
      <c r="E47" s="449"/>
      <c r="F47" s="311" t="str">
        <f>IF(ISBLANK('Table 5-A| Criteria MPTE'!D128),"",'Table 5-A| Criteria MPTE'!D128&amp;"/yr")</f>
        <v>bushels/yr</v>
      </c>
      <c r="G47" s="310"/>
      <c r="H47" s="440"/>
      <c r="I47" s="310"/>
      <c r="J47" s="310"/>
      <c r="K47" s="704">
        <f>IFERROR(VLOOKUP(I47,'Emission Controls'!$A$3:$B$16,2,),0)</f>
        <v>0</v>
      </c>
      <c r="L47" s="1304" t="str">
        <f>IF(A47=0,"",'Table 3-A| Emission Units'!E70)</f>
        <v/>
      </c>
      <c r="M47" s="1305"/>
      <c r="N47" s="1305"/>
      <c r="O47" s="1305"/>
      <c r="P47" s="1305"/>
      <c r="Q47" s="1305"/>
      <c r="R47" s="1306"/>
    </row>
    <row r="48" spans="1:18" ht="18" customHeight="1" x14ac:dyDescent="0.25">
      <c r="A48" s="308">
        <f>IF('Table 3-A| Emission Units'!A71=0,0,'Table 5-A| Criteria MPTE'!A129)</f>
        <v>0</v>
      </c>
      <c r="B48" s="309" t="str">
        <f>IF(OR('Table 3-A| Emission Units'!$B71&gt;'Table 3-A| Emission Units'!$E$11,ISBLANK('Table 3-A| Emission Units'!$E$11)),"",'Table 3-A| Emission Units'!C71)</f>
        <v/>
      </c>
      <c r="C48" s="310"/>
      <c r="D48" s="311">
        <f>IF(OR(ISBLANK('Table 5-A| Criteria MPTE'!C129),A48="No"),"",'Table 5-A| Criteria MPTE'!E129)</f>
        <v>0</v>
      </c>
      <c r="E48" s="449"/>
      <c r="F48" s="311" t="str">
        <f>IF(ISBLANK('Table 5-A| Criteria MPTE'!D129),"",'Table 5-A| Criteria MPTE'!D129&amp;"/yr")</f>
        <v>bushels/yr</v>
      </c>
      <c r="G48" s="310"/>
      <c r="H48" s="440"/>
      <c r="I48" s="310"/>
      <c r="J48" s="310"/>
      <c r="K48" s="704">
        <f>IFERROR(VLOOKUP(I48,'Emission Controls'!$A$3:$B$16,2,),0)</f>
        <v>0</v>
      </c>
      <c r="L48" s="1304" t="str">
        <f>IF(A48=0,"",'Table 3-A| Emission Units'!E71)</f>
        <v/>
      </c>
      <c r="M48" s="1305"/>
      <c r="N48" s="1305"/>
      <c r="O48" s="1305"/>
      <c r="P48" s="1305"/>
      <c r="Q48" s="1305"/>
      <c r="R48" s="1306"/>
    </row>
    <row r="49" spans="1:18" ht="18" customHeight="1" thickBot="1" x14ac:dyDescent="0.3">
      <c r="A49" s="308">
        <f>IF('Table 3-A| Emission Units'!A72=0,0,'Table 5-A| Criteria MPTE'!A130)</f>
        <v>0</v>
      </c>
      <c r="B49" s="309" t="str">
        <f>IF(OR('Table 3-A| Emission Units'!$B72&gt;'Table 3-A| Emission Units'!$E$11,ISBLANK('Table 3-A| Emission Units'!$E$11)),"",'Table 3-A| Emission Units'!C72)</f>
        <v/>
      </c>
      <c r="C49" s="310"/>
      <c r="D49" s="311">
        <f>IF(OR(ISBLANK('Table 5-A| Criteria MPTE'!C130),A49="No"),"",'Table 5-A| Criteria MPTE'!E130)</f>
        <v>0</v>
      </c>
      <c r="E49" s="449"/>
      <c r="F49" s="311" t="str">
        <f>IF(ISBLANK('Table 5-A| Criteria MPTE'!D130),"",'Table 5-A| Criteria MPTE'!D130&amp;"/yr")</f>
        <v>bushels/yr</v>
      </c>
      <c r="G49" s="310"/>
      <c r="H49" s="440"/>
      <c r="I49" s="310"/>
      <c r="J49" s="310"/>
      <c r="K49" s="704">
        <f>IFERROR(VLOOKUP(I49,'Emission Controls'!$A$3:$B$16,2,),0)</f>
        <v>0</v>
      </c>
      <c r="L49" s="1304" t="str">
        <f>IF(A49=0,"",'Table 3-A| Emission Units'!E72)</f>
        <v/>
      </c>
      <c r="M49" s="1305"/>
      <c r="N49" s="1305"/>
      <c r="O49" s="1305"/>
      <c r="P49" s="1305"/>
      <c r="Q49" s="1305"/>
      <c r="R49" s="1306"/>
    </row>
    <row r="50" spans="1:18" ht="18" customHeight="1" x14ac:dyDescent="0.25">
      <c r="A50" s="1301" t="str">
        <f>'Table 5-A| Criteria MPTE'!A131:O131</f>
        <v>Grain Drying Emission Units</v>
      </c>
      <c r="B50" s="1302"/>
      <c r="C50" s="1302"/>
      <c r="D50" s="1302"/>
      <c r="E50" s="1302"/>
      <c r="F50" s="1302"/>
      <c r="G50" s="1302"/>
      <c r="H50" s="1302"/>
      <c r="I50" s="1302"/>
      <c r="J50" s="1303"/>
      <c r="K50" s="704">
        <f>IFERROR(VLOOKUP(I50,'Emission Controls'!$A$3:$B$16,2,),0)</f>
        <v>0</v>
      </c>
      <c r="L50" s="1307" t="str">
        <f>A50</f>
        <v>Grain Drying Emission Units</v>
      </c>
      <c r="M50" s="1308"/>
      <c r="N50" s="1308"/>
      <c r="O50" s="1308"/>
      <c r="P50" s="1308"/>
      <c r="Q50" s="1308"/>
      <c r="R50" s="1309"/>
    </row>
    <row r="51" spans="1:18" ht="18" customHeight="1" x14ac:dyDescent="0.25">
      <c r="A51" s="308">
        <f>IF('Table 3-A| Emission Units'!A74=0,0,'Table 5-A| Criteria MPTE'!A132)</f>
        <v>0</v>
      </c>
      <c r="B51" s="309" t="str">
        <f>IF(OR('Table 3-A| Emission Units'!$B74&gt;'Table 3-A| Emission Units'!$E$12,ISBLANK('Table 3-A| Emission Units'!$E$12)),"",'Table 3-A| Emission Units'!C74)</f>
        <v/>
      </c>
      <c r="C51" s="310" t="s">
        <v>75</v>
      </c>
      <c r="D51" s="311">
        <f>IF(OR(ISBLANK('Table 5-A| Criteria MPTE'!C132),A51="No"),"",'Table 5-A| Criteria MPTE'!E132)</f>
        <v>0</v>
      </c>
      <c r="E51" s="449"/>
      <c r="F51" s="311" t="str">
        <f>IF(ISBLANK('Table 5-A| Criteria MPTE'!D132),"",'Table 5-A| Criteria MPTE'!D132&amp;"/yr")</f>
        <v>bushels/yr</v>
      </c>
      <c r="G51" s="310"/>
      <c r="H51" s="440"/>
      <c r="I51" s="310"/>
      <c r="J51" s="310"/>
      <c r="K51" s="704">
        <f>IFERROR(VLOOKUP(I51,'Emission Controls'!$A$3:$B$16,2,),0)</f>
        <v>0</v>
      </c>
      <c r="L51" s="1304" t="str">
        <f>IF(A51=0,"",'Table 3-A| Emission Units'!E74)</f>
        <v/>
      </c>
      <c r="M51" s="1305"/>
      <c r="N51" s="1305"/>
      <c r="O51" s="1305"/>
      <c r="P51" s="1305"/>
      <c r="Q51" s="1305"/>
      <c r="R51" s="1306"/>
    </row>
    <row r="52" spans="1:18" ht="18" customHeight="1" x14ac:dyDescent="0.25">
      <c r="A52" s="308">
        <f>IF('Table 3-A| Emission Units'!A75=0,0,'Table 5-A| Criteria MPTE'!A133)</f>
        <v>0</v>
      </c>
      <c r="B52" s="309" t="str">
        <f>IF(OR('Table 3-A| Emission Units'!$B75&gt;'Table 3-A| Emission Units'!$E$12,ISBLANK('Table 3-A| Emission Units'!$E$12)),"",'Table 3-A| Emission Units'!C75)</f>
        <v/>
      </c>
      <c r="C52" s="705" t="s">
        <v>73</v>
      </c>
      <c r="D52" s="311">
        <f>IF(OR(ISBLANK('Table 5-A| Criteria MPTE'!C133),A52="No"),"",'Table 5-A| Criteria MPTE'!E133)</f>
        <v>0</v>
      </c>
      <c r="E52" s="706"/>
      <c r="F52" s="311" t="str">
        <f>IF('Table 5-A| Criteria MPTE'!D133="","",'Table 5-A| Criteria MPTE'!D133&amp;"/yr")</f>
        <v/>
      </c>
      <c r="G52" s="705" t="s">
        <v>73</v>
      </c>
      <c r="H52" s="707"/>
      <c r="I52" s="311"/>
      <c r="J52" s="311"/>
      <c r="K52" s="704">
        <f>IFERROR(VLOOKUP(I52,'Emission Controls'!$A$3:$B$16,2,),0)</f>
        <v>0</v>
      </c>
      <c r="L52" s="1304" t="str">
        <f>IF(A52=0,"",'Table 3-A| Emission Units'!E75)</f>
        <v/>
      </c>
      <c r="M52" s="1305"/>
      <c r="N52" s="1305"/>
      <c r="O52" s="1305"/>
      <c r="P52" s="1305"/>
      <c r="Q52" s="1305"/>
      <c r="R52" s="1306"/>
    </row>
    <row r="53" spans="1:18" ht="18" customHeight="1" x14ac:dyDescent="0.25">
      <c r="A53" s="308">
        <f>IF('Table 3-A| Emission Units'!A76=0,0,'Table 5-A| Criteria MPTE'!A134)</f>
        <v>0</v>
      </c>
      <c r="B53" s="309" t="str">
        <f>IF(OR('Table 3-A| Emission Units'!$B76&gt;'Table 3-A| Emission Units'!$E$12,ISBLANK('Table 3-A| Emission Units'!$E$12)),"",'Table 3-A| Emission Units'!C76)</f>
        <v/>
      </c>
      <c r="C53" s="310"/>
      <c r="D53" s="311">
        <f>IF(OR(ISBLANK('Table 5-A| Criteria MPTE'!C134),A53="No"),"",'Table 5-A| Criteria MPTE'!E134)</f>
        <v>0</v>
      </c>
      <c r="E53" s="449"/>
      <c r="F53" s="311" t="str">
        <f>IF(ISBLANK('Table 5-A| Criteria MPTE'!D134),"",'Table 5-A| Criteria MPTE'!D134&amp;"/yr")</f>
        <v>bushels/yr</v>
      </c>
      <c r="G53" s="310"/>
      <c r="H53" s="440"/>
      <c r="I53" s="310"/>
      <c r="J53" s="310"/>
      <c r="K53" s="704">
        <f>IFERROR(VLOOKUP(I53,'Emission Controls'!$A$3:$B$16,2,),0)</f>
        <v>0</v>
      </c>
      <c r="L53" s="1304" t="str">
        <f>IF(A53=0,"",'Table 3-A| Emission Units'!E76)</f>
        <v/>
      </c>
      <c r="M53" s="1305"/>
      <c r="N53" s="1305"/>
      <c r="O53" s="1305"/>
      <c r="P53" s="1305"/>
      <c r="Q53" s="1305"/>
      <c r="R53" s="1306"/>
    </row>
    <row r="54" spans="1:18" ht="18" customHeight="1" x14ac:dyDescent="0.25">
      <c r="A54" s="308">
        <f>IF('Table 3-A| Emission Units'!A77=0,0,'Table 5-A| Criteria MPTE'!A135)</f>
        <v>0</v>
      </c>
      <c r="B54" s="309" t="str">
        <f>IF(OR('Table 3-A| Emission Units'!$B77&gt;'Table 3-A| Emission Units'!$E$12,ISBLANK('Table 3-A| Emission Units'!$E$12)),"",'Table 3-A| Emission Units'!C77)</f>
        <v/>
      </c>
      <c r="C54" s="705" t="s">
        <v>73</v>
      </c>
      <c r="D54" s="311">
        <f>IF(OR(ISBLANK('Table 5-A| Criteria MPTE'!C135),A54="No"),"",'Table 5-A| Criteria MPTE'!E135)</f>
        <v>0</v>
      </c>
      <c r="E54" s="706"/>
      <c r="F54" s="311" t="str">
        <f>IF('Table 5-A| Criteria MPTE'!D135="","",'Table 5-A| Criteria MPTE'!D135&amp;"/yr")</f>
        <v/>
      </c>
      <c r="G54" s="705" t="s">
        <v>73</v>
      </c>
      <c r="H54" s="707"/>
      <c r="I54" s="311"/>
      <c r="J54" s="311"/>
      <c r="K54" s="704">
        <f>IFERROR(VLOOKUP(I54,'Emission Controls'!$A$3:$B$16,2,),0)</f>
        <v>0</v>
      </c>
      <c r="L54" s="1304" t="str">
        <f>IF(A54=0,"",'Table 3-A| Emission Units'!E77)</f>
        <v/>
      </c>
      <c r="M54" s="1305"/>
      <c r="N54" s="1305"/>
      <c r="O54" s="1305"/>
      <c r="P54" s="1305"/>
      <c r="Q54" s="1305"/>
      <c r="R54" s="1306"/>
    </row>
    <row r="55" spans="1:18" ht="18" customHeight="1" x14ac:dyDescent="0.25">
      <c r="A55" s="308">
        <f>IF('Table 3-A| Emission Units'!A78=0,0,'Table 5-A| Criteria MPTE'!A136)</f>
        <v>0</v>
      </c>
      <c r="B55" s="309" t="str">
        <f>IF(OR('Table 3-A| Emission Units'!$B78&gt;'Table 3-A| Emission Units'!$E$12,ISBLANK('Table 3-A| Emission Units'!$E$12)),"",'Table 3-A| Emission Units'!C78)</f>
        <v/>
      </c>
      <c r="C55" s="310"/>
      <c r="D55" s="311">
        <f>IF(OR(ISBLANK('Table 5-A| Criteria MPTE'!C136),A55="No"),"",'Table 5-A| Criteria MPTE'!E136)</f>
        <v>0</v>
      </c>
      <c r="E55" s="449"/>
      <c r="F55" s="311" t="str">
        <f>IF(ISBLANK('Table 5-A| Criteria MPTE'!D136),"",'Table 5-A| Criteria MPTE'!D136&amp;"/yr")</f>
        <v>bushels/yr</v>
      </c>
      <c r="G55" s="310"/>
      <c r="H55" s="440"/>
      <c r="I55" s="310"/>
      <c r="J55" s="310"/>
      <c r="K55" s="704">
        <f>IFERROR(VLOOKUP(I55,'Emission Controls'!$A$3:$B$16,2,),0)</f>
        <v>0</v>
      </c>
      <c r="L55" s="1304" t="str">
        <f>IF(A55=0,"",'Table 3-A| Emission Units'!E78)</f>
        <v/>
      </c>
      <c r="M55" s="1305"/>
      <c r="N55" s="1305"/>
      <c r="O55" s="1305"/>
      <c r="P55" s="1305"/>
      <c r="Q55" s="1305"/>
      <c r="R55" s="1306"/>
    </row>
    <row r="56" spans="1:18" ht="18" customHeight="1" x14ac:dyDescent="0.25">
      <c r="A56" s="308">
        <f>IF('Table 3-A| Emission Units'!A79=0,0,'Table 5-A| Criteria MPTE'!A137)</f>
        <v>0</v>
      </c>
      <c r="B56" s="309" t="str">
        <f>IF(OR('Table 3-A| Emission Units'!$B79&gt;'Table 3-A| Emission Units'!$E$12,ISBLANK('Table 3-A| Emission Units'!$E$12)),"",'Table 3-A| Emission Units'!C79)</f>
        <v/>
      </c>
      <c r="C56" s="705" t="s">
        <v>73</v>
      </c>
      <c r="D56" s="311">
        <f>IF(OR(ISBLANK('Table 5-A| Criteria MPTE'!C137),A56="No"),"",'Table 5-A| Criteria MPTE'!E137)</f>
        <v>0</v>
      </c>
      <c r="E56" s="706"/>
      <c r="F56" s="311" t="str">
        <f>IF('Table 5-A| Criteria MPTE'!D137="","",'Table 5-A| Criteria MPTE'!D137&amp;"/yr")</f>
        <v/>
      </c>
      <c r="G56" s="705" t="s">
        <v>73</v>
      </c>
      <c r="H56" s="707"/>
      <c r="I56" s="311"/>
      <c r="J56" s="311"/>
      <c r="K56" s="704">
        <f>IFERROR(VLOOKUP(I56,'Emission Controls'!$A$3:$B$16,2,),0)</f>
        <v>0</v>
      </c>
      <c r="L56" s="1304" t="str">
        <f>IF(A56=0,"",'Table 3-A| Emission Units'!E79)</f>
        <v/>
      </c>
      <c r="M56" s="1305"/>
      <c r="N56" s="1305"/>
      <c r="O56" s="1305"/>
      <c r="P56" s="1305"/>
      <c r="Q56" s="1305"/>
      <c r="R56" s="1306"/>
    </row>
    <row r="57" spans="1:18" ht="18" customHeight="1" x14ac:dyDescent="0.25">
      <c r="A57" s="308">
        <f>IF('Table 3-A| Emission Units'!A80=0,0,'Table 5-A| Criteria MPTE'!A138)</f>
        <v>0</v>
      </c>
      <c r="B57" s="309" t="str">
        <f>IF(OR('Table 3-A| Emission Units'!$B80&gt;'Table 3-A| Emission Units'!$E$12,ISBLANK('Table 3-A| Emission Units'!$E$12)),"",'Table 3-A| Emission Units'!C80)</f>
        <v/>
      </c>
      <c r="C57" s="310"/>
      <c r="D57" s="311">
        <f>IF(OR(ISBLANK('Table 5-A| Criteria MPTE'!C138),A57="No"),"",'Table 5-A| Criteria MPTE'!E138)</f>
        <v>0</v>
      </c>
      <c r="E57" s="449"/>
      <c r="F57" s="311" t="str">
        <f>IF(ISBLANK('Table 5-A| Criteria MPTE'!D138),"",'Table 5-A| Criteria MPTE'!D138&amp;"/yr")</f>
        <v>bushels/yr</v>
      </c>
      <c r="G57" s="310"/>
      <c r="H57" s="440"/>
      <c r="I57" s="310"/>
      <c r="J57" s="310"/>
      <c r="K57" s="704">
        <f>IFERROR(VLOOKUP(I57,'Emission Controls'!$A$3:$B$16,2,),0)</f>
        <v>0</v>
      </c>
      <c r="L57" s="1304" t="str">
        <f>IF(A57=0,"",'Table 3-A| Emission Units'!E80)</f>
        <v/>
      </c>
      <c r="M57" s="1305"/>
      <c r="N57" s="1305"/>
      <c r="O57" s="1305"/>
      <c r="P57" s="1305"/>
      <c r="Q57" s="1305"/>
      <c r="R57" s="1306"/>
    </row>
    <row r="58" spans="1:18" ht="18" customHeight="1" thickBot="1" x14ac:dyDescent="0.3">
      <c r="A58" s="308">
        <f>IF('Table 3-A| Emission Units'!A81=0,0,'Table 5-A| Criteria MPTE'!A139)</f>
        <v>0</v>
      </c>
      <c r="B58" s="309" t="str">
        <f>IF(OR('Table 3-A| Emission Units'!$B81&gt;'Table 3-A| Emission Units'!$E$12,ISBLANK('Table 3-A| Emission Units'!$E$12)),"",'Table 3-A| Emission Units'!C81)</f>
        <v/>
      </c>
      <c r="C58" s="705" t="s">
        <v>73</v>
      </c>
      <c r="D58" s="311">
        <f>IF(OR(ISBLANK('Table 5-A| Criteria MPTE'!C139),A58="No"),"",'Table 5-A| Criteria MPTE'!E139)</f>
        <v>0</v>
      </c>
      <c r="E58" s="706"/>
      <c r="F58" s="311" t="str">
        <f>IF('Table 5-A| Criteria MPTE'!D139="","",'Table 5-A| Criteria MPTE'!D139&amp;"/yr")</f>
        <v/>
      </c>
      <c r="G58" s="705" t="s">
        <v>73</v>
      </c>
      <c r="H58" s="707"/>
      <c r="I58" s="311"/>
      <c r="J58" s="311"/>
      <c r="K58" s="704">
        <f>IFERROR(VLOOKUP(I58,'Emission Controls'!$A$3:$B$16,2,),0)</f>
        <v>0</v>
      </c>
      <c r="L58" s="1304" t="str">
        <f>IF(A58=0,"",'Table 3-A| Emission Units'!E81)</f>
        <v/>
      </c>
      <c r="M58" s="1305"/>
      <c r="N58" s="1305"/>
      <c r="O58" s="1305"/>
      <c r="P58" s="1305"/>
      <c r="Q58" s="1305"/>
      <c r="R58" s="1306"/>
    </row>
    <row r="59" spans="1:18" ht="18" customHeight="1" x14ac:dyDescent="0.25">
      <c r="A59" s="1301" t="str">
        <f>'Table 5-A| Criteria MPTE'!A140:O140</f>
        <v>Grain Milling - Grain Cracking Emission Units</v>
      </c>
      <c r="B59" s="1302"/>
      <c r="C59" s="1302"/>
      <c r="D59" s="1302"/>
      <c r="E59" s="1302"/>
      <c r="F59" s="1302"/>
      <c r="G59" s="1302"/>
      <c r="H59" s="1302"/>
      <c r="I59" s="1302"/>
      <c r="J59" s="1303"/>
      <c r="K59" s="704">
        <f>IFERROR(VLOOKUP(I59,'Emission Controls'!$A$3:$B$16,2,),0)</f>
        <v>0</v>
      </c>
      <c r="L59" s="1307" t="str">
        <f>A59</f>
        <v>Grain Milling - Grain Cracking Emission Units</v>
      </c>
      <c r="M59" s="1308"/>
      <c r="N59" s="1308"/>
      <c r="O59" s="1308"/>
      <c r="P59" s="1308"/>
      <c r="Q59" s="1308"/>
      <c r="R59" s="1309"/>
    </row>
    <row r="60" spans="1:18" ht="18" customHeight="1" x14ac:dyDescent="0.25">
      <c r="A60" s="308">
        <f>IF('Table 3-A| Emission Units'!A83=0,0,'Table 5-A| Criteria MPTE'!A141)</f>
        <v>0</v>
      </c>
      <c r="B60" s="309" t="str">
        <f>IF(OR('Table 3-A| Emission Units'!$B83&gt;'Table 3-A| Emission Units'!$E$17,ISBLANK('Table 3-A| Emission Units'!$E$17)),"",'Table 3-A| Emission Units'!C83)</f>
        <v/>
      </c>
      <c r="C60" s="310"/>
      <c r="D60" s="311">
        <f>IF(OR(ISBLANK('Table 5-A| Criteria MPTE'!C141),A60="No"),"",'Table 5-A| Criteria MPTE'!E141)</f>
        <v>0</v>
      </c>
      <c r="E60" s="449"/>
      <c r="F60" s="311" t="str">
        <f>IF(ISBLANK('Table 5-A| Criteria MPTE'!D141),"",'Table 5-A| Criteria MPTE'!D141&amp;"/yr")</f>
        <v>bushels/yr</v>
      </c>
      <c r="G60" s="310"/>
      <c r="H60" s="440"/>
      <c r="I60" s="310"/>
      <c r="J60" s="310"/>
      <c r="K60" s="704">
        <f>IFERROR(VLOOKUP(I60,'Emission Controls'!$A$3:$B$16,2,),0)</f>
        <v>0</v>
      </c>
      <c r="L60" s="1304" t="str">
        <f>IF(A60=0,"",'Table 3-A| Emission Units'!E83)</f>
        <v/>
      </c>
      <c r="M60" s="1305"/>
      <c r="N60" s="1305"/>
      <c r="O60" s="1305"/>
      <c r="P60" s="1305"/>
      <c r="Q60" s="1305"/>
      <c r="R60" s="1306"/>
    </row>
    <row r="61" spans="1:18" ht="18" customHeight="1" x14ac:dyDescent="0.25">
      <c r="A61" s="308">
        <f>IF('Table 3-A| Emission Units'!A84=0,0,'Table 5-A| Criteria MPTE'!A142)</f>
        <v>0</v>
      </c>
      <c r="B61" s="309" t="str">
        <f>IF(OR('Table 3-A| Emission Units'!$B84&gt;'Table 3-A| Emission Units'!$E$17,ISBLANK('Table 3-A| Emission Units'!$E$17)),"",'Table 3-A| Emission Units'!C84)</f>
        <v/>
      </c>
      <c r="C61" s="310"/>
      <c r="D61" s="311">
        <f>IF(OR(ISBLANK('Table 5-A| Criteria MPTE'!C142),A61="No"),"",'Table 5-A| Criteria MPTE'!E142)</f>
        <v>0</v>
      </c>
      <c r="E61" s="449"/>
      <c r="F61" s="311" t="str">
        <f>IF(ISBLANK('Table 5-A| Criteria MPTE'!D142),"",'Table 5-A| Criteria MPTE'!D142&amp;"/yr")</f>
        <v>bushels/yr</v>
      </c>
      <c r="G61" s="310"/>
      <c r="H61" s="440"/>
      <c r="I61" s="310"/>
      <c r="J61" s="310"/>
      <c r="K61" s="704">
        <f>IFERROR(VLOOKUP(I61,'Emission Controls'!$A$3:$B$16,2,),0)</f>
        <v>0</v>
      </c>
      <c r="L61" s="1304" t="str">
        <f>IF(A61=0,"",'Table 3-A| Emission Units'!E84)</f>
        <v/>
      </c>
      <c r="M61" s="1305"/>
      <c r="N61" s="1305"/>
      <c r="O61" s="1305"/>
      <c r="P61" s="1305"/>
      <c r="Q61" s="1305"/>
      <c r="R61" s="1306"/>
    </row>
    <row r="62" spans="1:18" ht="18" customHeight="1" x14ac:dyDescent="0.25">
      <c r="A62" s="308">
        <f>IF('Table 3-A| Emission Units'!A85=0,0,'Table 5-A| Criteria MPTE'!A143)</f>
        <v>0</v>
      </c>
      <c r="B62" s="309" t="str">
        <f>IF(OR('Table 3-A| Emission Units'!$B85&gt;'Table 3-A| Emission Units'!$E$17,ISBLANK('Table 3-A| Emission Units'!$E$17)),"",'Table 3-A| Emission Units'!C85)</f>
        <v/>
      </c>
      <c r="C62" s="310"/>
      <c r="D62" s="311">
        <f>IF(OR(ISBLANK('Table 5-A| Criteria MPTE'!C143),A62="No"),"",'Table 5-A| Criteria MPTE'!E143)</f>
        <v>0</v>
      </c>
      <c r="E62" s="449"/>
      <c r="F62" s="311" t="str">
        <f>IF(ISBLANK('Table 5-A| Criteria MPTE'!D143),"",'Table 5-A| Criteria MPTE'!D143&amp;"/yr")</f>
        <v>bushels/yr</v>
      </c>
      <c r="G62" s="310"/>
      <c r="H62" s="440"/>
      <c r="I62" s="310"/>
      <c r="J62" s="310"/>
      <c r="K62" s="704">
        <f>IFERROR(VLOOKUP(I62,'Emission Controls'!$A$3:$B$16,2,),0)</f>
        <v>0</v>
      </c>
      <c r="L62" s="1304" t="str">
        <f>IF(A62=0,"",'Table 3-A| Emission Units'!E85)</f>
        <v/>
      </c>
      <c r="M62" s="1305"/>
      <c r="N62" s="1305"/>
      <c r="O62" s="1305"/>
      <c r="P62" s="1305"/>
      <c r="Q62" s="1305"/>
      <c r="R62" s="1306"/>
    </row>
    <row r="63" spans="1:18" ht="18" customHeight="1" thickBot="1" x14ac:dyDescent="0.3">
      <c r="A63" s="308">
        <f>IF('Table 3-A| Emission Units'!A86=0,0,'Table 5-A| Criteria MPTE'!A144)</f>
        <v>0</v>
      </c>
      <c r="B63" s="309" t="str">
        <f>IF(OR('Table 3-A| Emission Units'!$B86&gt;'Table 3-A| Emission Units'!$E$17,ISBLANK('Table 3-A| Emission Units'!$E$17)),"",'Table 3-A| Emission Units'!C86)</f>
        <v/>
      </c>
      <c r="C63" s="310"/>
      <c r="D63" s="311">
        <f>IF(OR(ISBLANK('Table 5-A| Criteria MPTE'!C144),A63="No"),"",'Table 5-A| Criteria MPTE'!E144)</f>
        <v>0</v>
      </c>
      <c r="E63" s="449"/>
      <c r="F63" s="311" t="str">
        <f>IF(ISBLANK('Table 5-A| Criteria MPTE'!D144),"",'Table 5-A| Criteria MPTE'!D144&amp;"/yr")</f>
        <v>bushels/yr</v>
      </c>
      <c r="G63" s="310"/>
      <c r="H63" s="440"/>
      <c r="I63" s="310"/>
      <c r="J63" s="310"/>
      <c r="K63" s="704">
        <f>IFERROR(VLOOKUP(I63,'Emission Controls'!$A$3:$B$16,2,),0)</f>
        <v>0</v>
      </c>
      <c r="L63" s="1304" t="str">
        <f>IF(A63=0,"",'Table 3-A| Emission Units'!E86)</f>
        <v/>
      </c>
      <c r="M63" s="1305"/>
      <c r="N63" s="1305"/>
      <c r="O63" s="1305"/>
      <c r="P63" s="1305"/>
      <c r="Q63" s="1305"/>
      <c r="R63" s="1306"/>
    </row>
    <row r="64" spans="1:18" ht="18" customHeight="1" x14ac:dyDescent="0.25">
      <c r="A64" s="1301" t="str">
        <f>'Table 5-A| Criteria MPTE'!A145:O145</f>
        <v>Grain Milling - Grain Grinding Emission Units</v>
      </c>
      <c r="B64" s="1302"/>
      <c r="C64" s="1302"/>
      <c r="D64" s="1302"/>
      <c r="E64" s="1302"/>
      <c r="F64" s="1302"/>
      <c r="G64" s="1302"/>
      <c r="H64" s="1302"/>
      <c r="I64" s="1302"/>
      <c r="J64" s="1303"/>
      <c r="K64" s="704">
        <f>IFERROR(VLOOKUP(I64,'Emission Controls'!$A$3:$B$16,2,),0)</f>
        <v>0</v>
      </c>
      <c r="L64" s="1307" t="str">
        <f>A64</f>
        <v>Grain Milling - Grain Grinding Emission Units</v>
      </c>
      <c r="M64" s="1308"/>
      <c r="N64" s="1308"/>
      <c r="O64" s="1308"/>
      <c r="P64" s="1308"/>
      <c r="Q64" s="1308"/>
      <c r="R64" s="1309"/>
    </row>
    <row r="65" spans="1:18" ht="18" customHeight="1" x14ac:dyDescent="0.25">
      <c r="A65" s="308">
        <f>IF('Table 3-A| Emission Units'!A88=0,0,'Table 5-A| Criteria MPTE'!A146)</f>
        <v>0</v>
      </c>
      <c r="B65" s="309" t="str">
        <f>IF(OR('Table 3-A| Emission Units'!$B88&gt;'Table 3-A| Emission Units'!$E$18,ISBLANK('Table 3-A| Emission Units'!$E$18)),"",'Table 3-A| Emission Units'!C88)</f>
        <v/>
      </c>
      <c r="C65" s="310"/>
      <c r="D65" s="311">
        <f>IF(OR(ISBLANK('Table 5-A| Criteria MPTE'!C146),A65="No"),"",'Table 5-A| Criteria MPTE'!E146)</f>
        <v>0</v>
      </c>
      <c r="E65" s="449"/>
      <c r="F65" s="311" t="str">
        <f>IF(ISBLANK('Table 5-A| Criteria MPTE'!D146),"",'Table 5-A| Criteria MPTE'!D146&amp;"/yr")</f>
        <v>bushels/yr</v>
      </c>
      <c r="G65" s="310"/>
      <c r="H65" s="440"/>
      <c r="I65" s="310"/>
      <c r="J65" s="310"/>
      <c r="K65" s="704">
        <f>IFERROR(VLOOKUP(I65,'Emission Controls'!$A$3:$B$16,2,),0)</f>
        <v>0</v>
      </c>
      <c r="L65" s="1304" t="str">
        <f>IF(A65=0,"",'Table 3-A| Emission Units'!E88)</f>
        <v/>
      </c>
      <c r="M65" s="1305"/>
      <c r="N65" s="1305"/>
      <c r="O65" s="1305"/>
      <c r="P65" s="1305"/>
      <c r="Q65" s="1305"/>
      <c r="R65" s="1306"/>
    </row>
    <row r="66" spans="1:18" ht="18" customHeight="1" x14ac:dyDescent="0.25">
      <c r="A66" s="308">
        <f>IF('Table 3-A| Emission Units'!A89=0,0,'Table 5-A| Criteria MPTE'!A147)</f>
        <v>0</v>
      </c>
      <c r="B66" s="309" t="str">
        <f>IF(OR('Table 3-A| Emission Units'!$B89&gt;'Table 3-A| Emission Units'!$E$18,ISBLANK('Table 3-A| Emission Units'!$E$18)),"",'Table 3-A| Emission Units'!C89)</f>
        <v/>
      </c>
      <c r="C66" s="310"/>
      <c r="D66" s="311">
        <f>IF(OR(ISBLANK('Table 5-A| Criteria MPTE'!C147),A66="No"),"",'Table 5-A| Criteria MPTE'!E147)</f>
        <v>0</v>
      </c>
      <c r="E66" s="449"/>
      <c r="F66" s="311" t="str">
        <f>IF(ISBLANK('Table 5-A| Criteria MPTE'!D147),"",'Table 5-A| Criteria MPTE'!D147&amp;"/yr")</f>
        <v>bushels/yr</v>
      </c>
      <c r="G66" s="310"/>
      <c r="H66" s="440"/>
      <c r="I66" s="310"/>
      <c r="J66" s="310"/>
      <c r="K66" s="704">
        <f>IFERROR(VLOOKUP(I66,'Emission Controls'!$A$3:$B$16,2,),0)</f>
        <v>0</v>
      </c>
      <c r="L66" s="1304" t="str">
        <f>IF(A66=0,"",'Table 3-A| Emission Units'!E89)</f>
        <v/>
      </c>
      <c r="M66" s="1305"/>
      <c r="N66" s="1305"/>
      <c r="O66" s="1305"/>
      <c r="P66" s="1305"/>
      <c r="Q66" s="1305"/>
      <c r="R66" s="1306"/>
    </row>
    <row r="67" spans="1:18" ht="18" customHeight="1" x14ac:dyDescent="0.25">
      <c r="A67" s="308">
        <f>IF('Table 3-A| Emission Units'!A90=0,0,'Table 5-A| Criteria MPTE'!A148)</f>
        <v>0</v>
      </c>
      <c r="B67" s="309" t="str">
        <f>IF(OR('Table 3-A| Emission Units'!$B90&gt;'Table 3-A| Emission Units'!$E$18,ISBLANK('Table 3-A| Emission Units'!$E$18)),"",'Table 3-A| Emission Units'!C90)</f>
        <v/>
      </c>
      <c r="C67" s="310"/>
      <c r="D67" s="311">
        <f>IF(OR(ISBLANK('Table 5-A| Criteria MPTE'!C148),A67="No"),"",'Table 5-A| Criteria MPTE'!E148)</f>
        <v>0</v>
      </c>
      <c r="E67" s="449"/>
      <c r="F67" s="311" t="str">
        <f>IF(ISBLANK('Table 5-A| Criteria MPTE'!D148),"",'Table 5-A| Criteria MPTE'!D148&amp;"/yr")</f>
        <v>bushels/yr</v>
      </c>
      <c r="G67" s="310"/>
      <c r="H67" s="440"/>
      <c r="I67" s="310"/>
      <c r="J67" s="310"/>
      <c r="K67" s="704">
        <f>IFERROR(VLOOKUP(I67,'Emission Controls'!$A$3:$B$16,2,),0)</f>
        <v>0</v>
      </c>
      <c r="L67" s="1304" t="str">
        <f>IF(A67=0,"",'Table 3-A| Emission Units'!E90)</f>
        <v/>
      </c>
      <c r="M67" s="1305"/>
      <c r="N67" s="1305"/>
      <c r="O67" s="1305"/>
      <c r="P67" s="1305"/>
      <c r="Q67" s="1305"/>
      <c r="R67" s="1306"/>
    </row>
    <row r="68" spans="1:18" ht="18" customHeight="1" thickBot="1" x14ac:dyDescent="0.3">
      <c r="A68" s="308">
        <f>IF('Table 3-A| Emission Units'!A91=0,0,'Table 5-A| Criteria MPTE'!A149)</f>
        <v>0</v>
      </c>
      <c r="B68" s="309" t="str">
        <f>IF(OR('Table 3-A| Emission Units'!$B91&gt;'Table 3-A| Emission Units'!$E$18,ISBLANK('Table 3-A| Emission Units'!$E$18)),"",'Table 3-A| Emission Units'!C91)</f>
        <v/>
      </c>
      <c r="C68" s="310"/>
      <c r="D68" s="311">
        <f>IF(OR(ISBLANK('Table 5-A| Criteria MPTE'!C149),A68="No"),"",'Table 5-A| Criteria MPTE'!E149)</f>
        <v>0</v>
      </c>
      <c r="E68" s="449"/>
      <c r="F68" s="311" t="str">
        <f>IF(ISBLANK('Table 5-A| Criteria MPTE'!D149),"",'Table 5-A| Criteria MPTE'!D149&amp;"/yr")</f>
        <v>bushels/yr</v>
      </c>
      <c r="G68" s="310"/>
      <c r="H68" s="440"/>
      <c r="I68" s="310"/>
      <c r="J68" s="310"/>
      <c r="K68" s="704">
        <f>IFERROR(VLOOKUP(I68,'Emission Controls'!$A$3:$B$16,2,),0)</f>
        <v>0</v>
      </c>
      <c r="L68" s="1304" t="str">
        <f>IF(A68=0,"",'Table 3-A| Emission Units'!E91)</f>
        <v/>
      </c>
      <c r="M68" s="1305"/>
      <c r="N68" s="1305"/>
      <c r="O68" s="1305"/>
      <c r="P68" s="1305"/>
      <c r="Q68" s="1305"/>
      <c r="R68" s="1306"/>
    </row>
    <row r="69" spans="1:18" ht="18" customHeight="1" x14ac:dyDescent="0.25">
      <c r="A69" s="1301" t="str">
        <f>'Table 5-A| Criteria MPTE'!A150:O150</f>
        <v>Grain Milling - Hammermilling Emission Units</v>
      </c>
      <c r="B69" s="1302"/>
      <c r="C69" s="1302"/>
      <c r="D69" s="1302"/>
      <c r="E69" s="1302"/>
      <c r="F69" s="1302"/>
      <c r="G69" s="1302"/>
      <c r="H69" s="1302"/>
      <c r="I69" s="1302"/>
      <c r="J69" s="1303"/>
      <c r="K69" s="704">
        <f>IFERROR(VLOOKUP(I69,'Emission Controls'!$A$3:$B$16,2,),0)</f>
        <v>0</v>
      </c>
      <c r="L69" s="1307" t="str">
        <f>A69</f>
        <v>Grain Milling - Hammermilling Emission Units</v>
      </c>
      <c r="M69" s="1308"/>
      <c r="N69" s="1308"/>
      <c r="O69" s="1308"/>
      <c r="P69" s="1308"/>
      <c r="Q69" s="1308"/>
      <c r="R69" s="1309"/>
    </row>
    <row r="70" spans="1:18" ht="18" customHeight="1" x14ac:dyDescent="0.25">
      <c r="A70" s="308">
        <f>IF('Table 3-A| Emission Units'!A93=0,0,'Table 5-A| Criteria MPTE'!A151)</f>
        <v>0</v>
      </c>
      <c r="B70" s="309" t="str">
        <f>IF(OR('Table 3-A| Emission Units'!$B93&gt;'Table 3-A| Emission Units'!$E$19,ISBLANK('Table 3-A| Emission Units'!$E$19)),"",'Table 3-A| Emission Units'!C93)</f>
        <v/>
      </c>
      <c r="C70" s="310"/>
      <c r="D70" s="311">
        <f>IF(OR(ISBLANK('Table 5-A| Criteria MPTE'!C151),A70="No"),"",'Table 5-A| Criteria MPTE'!E151)</f>
        <v>0</v>
      </c>
      <c r="E70" s="449"/>
      <c r="F70" s="311" t="str">
        <f>IF(ISBLANK('Table 5-A| Criteria MPTE'!D151),"",'Table 5-A| Criteria MPTE'!D151&amp;"/yr")</f>
        <v>bushels/yr</v>
      </c>
      <c r="G70" s="310"/>
      <c r="H70" s="440"/>
      <c r="I70" s="310"/>
      <c r="J70" s="310"/>
      <c r="K70" s="704">
        <f>IFERROR(VLOOKUP(I70,'Emission Controls'!$A$3:$B$16,2,),0)</f>
        <v>0</v>
      </c>
      <c r="L70" s="1304" t="str">
        <f>IF(A70=0,"",'Table 3-A| Emission Units'!E93)</f>
        <v/>
      </c>
      <c r="M70" s="1305"/>
      <c r="N70" s="1305"/>
      <c r="O70" s="1305"/>
      <c r="P70" s="1305"/>
      <c r="Q70" s="1305"/>
      <c r="R70" s="1306"/>
    </row>
    <row r="71" spans="1:18" ht="18" customHeight="1" x14ac:dyDescent="0.25">
      <c r="A71" s="308">
        <f>IF('Table 3-A| Emission Units'!A94=0,0,'Table 5-A| Criteria MPTE'!A152)</f>
        <v>0</v>
      </c>
      <c r="B71" s="309" t="str">
        <f>IF(OR('Table 3-A| Emission Units'!$B94&gt;'Table 3-A| Emission Units'!$E$19,ISBLANK('Table 3-A| Emission Units'!$E$19)),"",'Table 3-A| Emission Units'!C94)</f>
        <v/>
      </c>
      <c r="C71" s="310"/>
      <c r="D71" s="311">
        <f>IF(OR(ISBLANK('Table 5-A| Criteria MPTE'!C152),A71="No"),"",'Table 5-A| Criteria MPTE'!E152)</f>
        <v>0</v>
      </c>
      <c r="E71" s="449"/>
      <c r="F71" s="311" t="str">
        <f>IF(ISBLANK('Table 5-A| Criteria MPTE'!D152),"",'Table 5-A| Criteria MPTE'!D152&amp;"/yr")</f>
        <v>bushels/yr</v>
      </c>
      <c r="G71" s="310"/>
      <c r="H71" s="440"/>
      <c r="I71" s="310"/>
      <c r="J71" s="310"/>
      <c r="K71" s="704">
        <f>IFERROR(VLOOKUP(I71,'Emission Controls'!$A$3:$B$16,2,),0)</f>
        <v>0</v>
      </c>
      <c r="L71" s="1304" t="str">
        <f>IF(A71=0,"",'Table 3-A| Emission Units'!E94)</f>
        <v/>
      </c>
      <c r="M71" s="1305"/>
      <c r="N71" s="1305"/>
      <c r="O71" s="1305"/>
      <c r="P71" s="1305"/>
      <c r="Q71" s="1305"/>
      <c r="R71" s="1306"/>
    </row>
    <row r="72" spans="1:18" ht="18" customHeight="1" x14ac:dyDescent="0.25">
      <c r="A72" s="308">
        <f>IF('Table 3-A| Emission Units'!A95=0,0,'Table 5-A| Criteria MPTE'!A153)</f>
        <v>0</v>
      </c>
      <c r="B72" s="309" t="str">
        <f>IF(OR('Table 3-A| Emission Units'!$B95&gt;'Table 3-A| Emission Units'!$E$19,ISBLANK('Table 3-A| Emission Units'!$E$19)),"",'Table 3-A| Emission Units'!C95)</f>
        <v/>
      </c>
      <c r="C72" s="310"/>
      <c r="D72" s="311">
        <f>IF(OR(ISBLANK('Table 5-A| Criteria MPTE'!C153),A72="No"),"",'Table 5-A| Criteria MPTE'!E153)</f>
        <v>0</v>
      </c>
      <c r="E72" s="449"/>
      <c r="F72" s="311" t="str">
        <f>IF(ISBLANK('Table 5-A| Criteria MPTE'!D153),"",'Table 5-A| Criteria MPTE'!D153&amp;"/yr")</f>
        <v>bushels/yr</v>
      </c>
      <c r="G72" s="310"/>
      <c r="H72" s="440"/>
      <c r="I72" s="310"/>
      <c r="J72" s="310"/>
      <c r="K72" s="704">
        <f>IFERROR(VLOOKUP(I72,'Emission Controls'!$A$3:$B$16,2,),0)</f>
        <v>0</v>
      </c>
      <c r="L72" s="1304" t="str">
        <f>IF(A72=0,"",'Table 3-A| Emission Units'!E95)</f>
        <v/>
      </c>
      <c r="M72" s="1305"/>
      <c r="N72" s="1305"/>
      <c r="O72" s="1305"/>
      <c r="P72" s="1305"/>
      <c r="Q72" s="1305"/>
      <c r="R72" s="1306"/>
    </row>
    <row r="73" spans="1:18" ht="18" customHeight="1" thickBot="1" x14ac:dyDescent="0.3">
      <c r="A73" s="308">
        <f>IF('Table 3-A| Emission Units'!A96=0,0,'Table 5-A| Criteria MPTE'!A154)</f>
        <v>0</v>
      </c>
      <c r="B73" s="309" t="str">
        <f>IF(OR('Table 3-A| Emission Units'!$B96&gt;'Table 3-A| Emission Units'!$E$19,ISBLANK('Table 3-A| Emission Units'!$E$19)),"",'Table 3-A| Emission Units'!C96)</f>
        <v/>
      </c>
      <c r="C73" s="310"/>
      <c r="D73" s="311">
        <f>IF(OR(ISBLANK('Table 5-A| Criteria MPTE'!C154),A73="No"),"",'Table 5-A| Criteria MPTE'!E154)</f>
        <v>0</v>
      </c>
      <c r="E73" s="449"/>
      <c r="F73" s="311" t="str">
        <f>IF(ISBLANK('Table 5-A| Criteria MPTE'!D154),"",'Table 5-A| Criteria MPTE'!D154&amp;"/yr")</f>
        <v>bushels/yr</v>
      </c>
      <c r="G73" s="310"/>
      <c r="H73" s="440"/>
      <c r="I73" s="310"/>
      <c r="J73" s="310"/>
      <c r="K73" s="704">
        <f>IFERROR(VLOOKUP(I73,'Emission Controls'!$A$3:$B$16,2,),0)</f>
        <v>0</v>
      </c>
      <c r="L73" s="1304" t="str">
        <f>IF(A73=0,"",'Table 3-A| Emission Units'!E96)</f>
        <v/>
      </c>
      <c r="M73" s="1305"/>
      <c r="N73" s="1305"/>
      <c r="O73" s="1305"/>
      <c r="P73" s="1305"/>
      <c r="Q73" s="1305"/>
      <c r="R73" s="1306"/>
    </row>
    <row r="74" spans="1:18" ht="18" customHeight="1" x14ac:dyDescent="0.25">
      <c r="A74" s="1301" t="str">
        <f>'Table 5-A| Criteria MPTE'!A155:O155</f>
        <v>Grain Milling - Grain Flaking Emission Units</v>
      </c>
      <c r="B74" s="1302"/>
      <c r="C74" s="1302"/>
      <c r="D74" s="1302"/>
      <c r="E74" s="1302"/>
      <c r="F74" s="1302"/>
      <c r="G74" s="1302"/>
      <c r="H74" s="1302"/>
      <c r="I74" s="1302"/>
      <c r="J74" s="1303"/>
      <c r="K74" s="704">
        <f>IFERROR(VLOOKUP(I74,'Emission Controls'!$A$3:$B$16,2,),0)</f>
        <v>0</v>
      </c>
      <c r="L74" s="1307" t="str">
        <f>A74</f>
        <v>Grain Milling - Grain Flaking Emission Units</v>
      </c>
      <c r="M74" s="1308"/>
      <c r="N74" s="1308"/>
      <c r="O74" s="1308"/>
      <c r="P74" s="1308"/>
      <c r="Q74" s="1308"/>
      <c r="R74" s="1309"/>
    </row>
    <row r="75" spans="1:18" ht="18" customHeight="1" x14ac:dyDescent="0.25">
      <c r="A75" s="308">
        <f>IF('Table 3-A| Emission Units'!A98=0,0,'Table 5-A| Criteria MPTE'!A156)</f>
        <v>0</v>
      </c>
      <c r="B75" s="309" t="str">
        <f>IF(OR('Table 3-A| Emission Units'!$B98&gt;'Table 3-A| Emission Units'!$E$20,ISBLANK('Table 3-A| Emission Units'!$E$20)),"",'Table 3-A| Emission Units'!C98)</f>
        <v/>
      </c>
      <c r="C75" s="310"/>
      <c r="D75" s="311">
        <f>IF(OR(ISBLANK('Table 5-A| Criteria MPTE'!C156),A75="No"),"",'Table 5-A| Criteria MPTE'!E156)</f>
        <v>0</v>
      </c>
      <c r="E75" s="449"/>
      <c r="F75" s="311" t="str">
        <f>IF(ISBLANK('Table 5-A| Criteria MPTE'!D156),"",'Table 5-A| Criteria MPTE'!D156&amp;"/yr")</f>
        <v>bushels/yr</v>
      </c>
      <c r="G75" s="310"/>
      <c r="H75" s="440"/>
      <c r="I75" s="310"/>
      <c r="J75" s="310"/>
      <c r="K75" s="704">
        <f>IFERROR(VLOOKUP(I75,'Emission Controls'!$A$3:$B$16,2,),0)</f>
        <v>0</v>
      </c>
      <c r="L75" s="1304" t="str">
        <f>IF(A75=0,"",'Table 3-A| Emission Units'!E98)</f>
        <v/>
      </c>
      <c r="M75" s="1305"/>
      <c r="N75" s="1305"/>
      <c r="O75" s="1305"/>
      <c r="P75" s="1305"/>
      <c r="Q75" s="1305"/>
      <c r="R75" s="1306"/>
    </row>
    <row r="76" spans="1:18" ht="18" customHeight="1" x14ac:dyDescent="0.25">
      <c r="A76" s="308">
        <f>IF('Table 3-A| Emission Units'!A99=0,0,'Table 5-A| Criteria MPTE'!A157)</f>
        <v>0</v>
      </c>
      <c r="B76" s="309" t="str">
        <f>IF(OR('Table 3-A| Emission Units'!$B99&gt;'Table 3-A| Emission Units'!$E$20,ISBLANK('Table 3-A| Emission Units'!$E$20)),"",'Table 3-A| Emission Units'!C99)</f>
        <v/>
      </c>
      <c r="C76" s="310"/>
      <c r="D76" s="311">
        <f>IF(OR(ISBLANK('Table 5-A| Criteria MPTE'!C157),A76="No"),"",'Table 5-A| Criteria MPTE'!E157)</f>
        <v>0</v>
      </c>
      <c r="E76" s="449"/>
      <c r="F76" s="311" t="str">
        <f>IF(ISBLANK('Table 5-A| Criteria MPTE'!D157),"",'Table 5-A| Criteria MPTE'!D157&amp;"/yr")</f>
        <v>bushels/yr</v>
      </c>
      <c r="G76" s="310"/>
      <c r="H76" s="440"/>
      <c r="I76" s="310"/>
      <c r="J76" s="310"/>
      <c r="K76" s="704">
        <f>IFERROR(VLOOKUP(I76,'Emission Controls'!$A$3:$B$16,2,),0)</f>
        <v>0</v>
      </c>
      <c r="L76" s="1304" t="str">
        <f>IF(A76=0,"",'Table 3-A| Emission Units'!E99)</f>
        <v/>
      </c>
      <c r="M76" s="1305"/>
      <c r="N76" s="1305"/>
      <c r="O76" s="1305"/>
      <c r="P76" s="1305"/>
      <c r="Q76" s="1305"/>
      <c r="R76" s="1306"/>
    </row>
    <row r="77" spans="1:18" ht="18" customHeight="1" x14ac:dyDescent="0.25">
      <c r="A77" s="308">
        <f>IF('Table 3-A| Emission Units'!A100=0,0,'Table 5-A| Criteria MPTE'!A158)</f>
        <v>0</v>
      </c>
      <c r="B77" s="309" t="str">
        <f>IF(OR('Table 3-A| Emission Units'!$B100&gt;'Table 3-A| Emission Units'!$E$20,ISBLANK('Table 3-A| Emission Units'!$E$20)),"",'Table 3-A| Emission Units'!C100)</f>
        <v/>
      </c>
      <c r="C77" s="310"/>
      <c r="D77" s="311">
        <f>IF(OR(ISBLANK('Table 5-A| Criteria MPTE'!C158),A77="No"),"",'Table 5-A| Criteria MPTE'!E158)</f>
        <v>0</v>
      </c>
      <c r="E77" s="449"/>
      <c r="F77" s="311" t="str">
        <f>IF(ISBLANK('Table 5-A| Criteria MPTE'!D158),"",'Table 5-A| Criteria MPTE'!D158&amp;"/yr")</f>
        <v>bushels/yr</v>
      </c>
      <c r="G77" s="310"/>
      <c r="H77" s="440"/>
      <c r="I77" s="310"/>
      <c r="J77" s="310"/>
      <c r="K77" s="704">
        <f>IFERROR(VLOOKUP(I77,'Emission Controls'!$A$3:$B$16,2,),0)</f>
        <v>0</v>
      </c>
      <c r="L77" s="1304" t="str">
        <f>IF(A77=0,"",'Table 3-A| Emission Units'!E100)</f>
        <v/>
      </c>
      <c r="M77" s="1305"/>
      <c r="N77" s="1305"/>
      <c r="O77" s="1305"/>
      <c r="P77" s="1305"/>
      <c r="Q77" s="1305"/>
      <c r="R77" s="1306"/>
    </row>
    <row r="78" spans="1:18" ht="18" customHeight="1" thickBot="1" x14ac:dyDescent="0.3">
      <c r="A78" s="308">
        <f>IF('Table 3-A| Emission Units'!A101=0,0,'Table 5-A| Criteria MPTE'!A159)</f>
        <v>0</v>
      </c>
      <c r="B78" s="309" t="str">
        <f>IF(OR('Table 3-A| Emission Units'!$B101&gt;'Table 3-A| Emission Units'!$E$20,ISBLANK('Table 3-A| Emission Units'!$E$20)),"",'Table 3-A| Emission Units'!C101)</f>
        <v/>
      </c>
      <c r="C78" s="310"/>
      <c r="D78" s="311">
        <f>IF(OR(ISBLANK('Table 5-A| Criteria MPTE'!C159),A78="No"),"",'Table 5-A| Criteria MPTE'!E159)</f>
        <v>0</v>
      </c>
      <c r="E78" s="449"/>
      <c r="F78" s="311" t="str">
        <f>IF(ISBLANK('Table 5-A| Criteria MPTE'!D159),"",'Table 5-A| Criteria MPTE'!D159&amp;"/yr")</f>
        <v>bushels/yr</v>
      </c>
      <c r="G78" s="310"/>
      <c r="H78" s="440"/>
      <c r="I78" s="310"/>
      <c r="J78" s="310"/>
      <c r="K78" s="704">
        <f>IFERROR(VLOOKUP(I78,'Emission Controls'!$A$3:$B$16,2,),0)</f>
        <v>0</v>
      </c>
      <c r="L78" s="1304" t="str">
        <f>IF(A78=0,"",'Table 3-A| Emission Units'!E101)</f>
        <v/>
      </c>
      <c r="M78" s="1305"/>
      <c r="N78" s="1305"/>
      <c r="O78" s="1305"/>
      <c r="P78" s="1305"/>
      <c r="Q78" s="1305"/>
      <c r="R78" s="1306"/>
    </row>
    <row r="79" spans="1:18" ht="18" customHeight="1" x14ac:dyDescent="0.25">
      <c r="A79" s="1301" t="str">
        <f>'Table 5-A| Criteria MPTE'!A160:O160</f>
        <v>Grain Milling - Pellet Cooling Emission Units</v>
      </c>
      <c r="B79" s="1302"/>
      <c r="C79" s="1302"/>
      <c r="D79" s="1302"/>
      <c r="E79" s="1302"/>
      <c r="F79" s="1302"/>
      <c r="G79" s="1302"/>
      <c r="H79" s="1302"/>
      <c r="I79" s="1302"/>
      <c r="J79" s="1303"/>
      <c r="K79" s="704">
        <f>IFERROR(VLOOKUP(I79,'Emission Controls'!$A$3:$B$16,2,),0)</f>
        <v>0</v>
      </c>
      <c r="L79" s="1307" t="str">
        <f>A79</f>
        <v>Grain Milling - Pellet Cooling Emission Units</v>
      </c>
      <c r="M79" s="1308"/>
      <c r="N79" s="1308"/>
      <c r="O79" s="1308"/>
      <c r="P79" s="1308"/>
      <c r="Q79" s="1308"/>
      <c r="R79" s="1309"/>
    </row>
    <row r="80" spans="1:18" ht="18" customHeight="1" x14ac:dyDescent="0.25">
      <c r="A80" s="308">
        <f>IF('Table 3-A| Emission Units'!A103=0,0,'Table 5-A| Criteria MPTE'!A161)</f>
        <v>0</v>
      </c>
      <c r="B80" s="309" t="str">
        <f>IF(OR('Table 3-A| Emission Units'!$B103&gt;'Table 3-A| Emission Units'!$E$21,ISBLANK('Table 3-A| Emission Units'!$E$21)),"",'Table 3-A| Emission Units'!C103)</f>
        <v/>
      </c>
      <c r="C80" s="310"/>
      <c r="D80" s="311">
        <f>IF(OR(ISBLANK('Table 5-A| Criteria MPTE'!C161),A80="No"),"",'Table 5-A| Criteria MPTE'!E161)</f>
        <v>0</v>
      </c>
      <c r="E80" s="449"/>
      <c r="F80" s="311" t="str">
        <f>IF(ISBLANK('Table 5-A| Criteria MPTE'!D161),"",'Table 5-A| Criteria MPTE'!D161&amp;"/yr")</f>
        <v>bushels/yr</v>
      </c>
      <c r="G80" s="310"/>
      <c r="H80" s="440"/>
      <c r="I80" s="310"/>
      <c r="J80" s="310"/>
      <c r="K80" s="704">
        <f>IFERROR(VLOOKUP(I80,'Emission Controls'!$A$3:$B$16,2,),0)</f>
        <v>0</v>
      </c>
      <c r="L80" s="1304" t="str">
        <f>IF(A80=0,"",'Table 3-A| Emission Units'!E103)</f>
        <v/>
      </c>
      <c r="M80" s="1305"/>
      <c r="N80" s="1305"/>
      <c r="O80" s="1305"/>
      <c r="P80" s="1305"/>
      <c r="Q80" s="1305"/>
      <c r="R80" s="1306"/>
    </row>
    <row r="81" spans="1:18" ht="18" customHeight="1" x14ac:dyDescent="0.25">
      <c r="A81" s="308">
        <f>IF('Table 3-A| Emission Units'!A104=0,0,'Table 5-A| Criteria MPTE'!A162)</f>
        <v>0</v>
      </c>
      <c r="B81" s="309" t="str">
        <f>IF(OR('Table 3-A| Emission Units'!$B104&gt;'Table 3-A| Emission Units'!$E$21,ISBLANK('Table 3-A| Emission Units'!$E$21)),"",'Table 3-A| Emission Units'!C104)</f>
        <v/>
      </c>
      <c r="C81" s="310"/>
      <c r="D81" s="311">
        <f>IF(OR(ISBLANK('Table 5-A| Criteria MPTE'!C162),A81="No"),"",'Table 5-A| Criteria MPTE'!E162)</f>
        <v>0</v>
      </c>
      <c r="E81" s="449"/>
      <c r="F81" s="311" t="str">
        <f>IF(ISBLANK('Table 5-A| Criteria MPTE'!D162),"",'Table 5-A| Criteria MPTE'!D162&amp;"/yr")</f>
        <v>bushels/yr</v>
      </c>
      <c r="G81" s="310"/>
      <c r="H81" s="440"/>
      <c r="I81" s="310"/>
      <c r="J81" s="310"/>
      <c r="K81" s="704">
        <f>IFERROR(VLOOKUP(I81,'Emission Controls'!$A$3:$B$16,2,),0)</f>
        <v>0</v>
      </c>
      <c r="L81" s="1304" t="str">
        <f>IF(A81=0,"",'Table 3-A| Emission Units'!E104)</f>
        <v/>
      </c>
      <c r="M81" s="1305"/>
      <c r="N81" s="1305"/>
      <c r="O81" s="1305"/>
      <c r="P81" s="1305"/>
      <c r="Q81" s="1305"/>
      <c r="R81" s="1306"/>
    </row>
    <row r="82" spans="1:18" ht="18" customHeight="1" x14ac:dyDescent="0.25">
      <c r="A82" s="308">
        <f>IF('Table 3-A| Emission Units'!A105=0,0,'Table 5-A| Criteria MPTE'!A163)</f>
        <v>0</v>
      </c>
      <c r="B82" s="309" t="str">
        <f>IF(OR('Table 3-A| Emission Units'!$B105&gt;'Table 3-A| Emission Units'!$E$21,ISBLANK('Table 3-A| Emission Units'!$E$21)),"",'Table 3-A| Emission Units'!C105)</f>
        <v/>
      </c>
      <c r="C82" s="310"/>
      <c r="D82" s="311">
        <f>IF(OR(ISBLANK('Table 5-A| Criteria MPTE'!C163),A82="No"),"",'Table 5-A| Criteria MPTE'!E163)</f>
        <v>0</v>
      </c>
      <c r="E82" s="449"/>
      <c r="F82" s="311" t="str">
        <f>IF(ISBLANK('Table 5-A| Criteria MPTE'!D163),"",'Table 5-A| Criteria MPTE'!D163&amp;"/yr")</f>
        <v>bushels/yr</v>
      </c>
      <c r="G82" s="310"/>
      <c r="H82" s="440"/>
      <c r="I82" s="310"/>
      <c r="J82" s="310"/>
      <c r="K82" s="704">
        <f>IFERROR(VLOOKUP(I82,'Emission Controls'!$A$3:$B$16,2,),0)</f>
        <v>0</v>
      </c>
      <c r="L82" s="1304" t="str">
        <f>IF(A82=0,"",'Table 3-A| Emission Units'!E105)</f>
        <v/>
      </c>
      <c r="M82" s="1305"/>
      <c r="N82" s="1305"/>
      <c r="O82" s="1305"/>
      <c r="P82" s="1305"/>
      <c r="Q82" s="1305"/>
      <c r="R82" s="1306"/>
    </row>
    <row r="83" spans="1:18" ht="18" customHeight="1" thickBot="1" x14ac:dyDescent="0.3">
      <c r="A83" s="308">
        <f>IF('Table 3-A| Emission Units'!A106=0,0,'Table 5-A| Criteria MPTE'!A164)</f>
        <v>0</v>
      </c>
      <c r="B83" s="309" t="str">
        <f>IF(OR('Table 3-A| Emission Units'!$B106&gt;'Table 3-A| Emission Units'!$E$21,ISBLANK('Table 3-A| Emission Units'!$E$21)),"",'Table 3-A| Emission Units'!C106)</f>
        <v/>
      </c>
      <c r="C83" s="310"/>
      <c r="D83" s="311">
        <f>IF(OR(ISBLANK('Table 5-A| Criteria MPTE'!C164),A83="No"),"",'Table 5-A| Criteria MPTE'!E164)</f>
        <v>0</v>
      </c>
      <c r="E83" s="449"/>
      <c r="F83" s="311" t="str">
        <f>IF(ISBLANK('Table 5-A| Criteria MPTE'!D164),"",'Table 5-A| Criteria MPTE'!D164&amp;"/yr")</f>
        <v>bushels/yr</v>
      </c>
      <c r="G83" s="310"/>
      <c r="H83" s="440"/>
      <c r="I83" s="310"/>
      <c r="J83" s="310"/>
      <c r="K83" s="704">
        <f>IFERROR(VLOOKUP(I83,'Emission Controls'!$A$3:$B$16,2,),0)</f>
        <v>0</v>
      </c>
      <c r="L83" s="1304" t="str">
        <f>IF(A83=0,"",'Table 3-A| Emission Units'!E106)</f>
        <v/>
      </c>
      <c r="M83" s="1305"/>
      <c r="N83" s="1305"/>
      <c r="O83" s="1305"/>
      <c r="P83" s="1305"/>
      <c r="Q83" s="1305"/>
      <c r="R83" s="1306"/>
    </row>
    <row r="84" spans="1:18" ht="18" customHeight="1" x14ac:dyDescent="0.25">
      <c r="A84" s="1301" t="str">
        <f>'Table 5-A| Criteria MPTE'!A165:O165</f>
        <v>Miscellaneous Emission Units</v>
      </c>
      <c r="B84" s="1302"/>
      <c r="C84" s="1302"/>
      <c r="D84" s="1302"/>
      <c r="E84" s="1302"/>
      <c r="F84" s="1302"/>
      <c r="G84" s="1302"/>
      <c r="H84" s="1302"/>
      <c r="I84" s="1302"/>
      <c r="J84" s="1303"/>
      <c r="K84" s="704">
        <f>IFERROR(VLOOKUP(I84,'Emission Controls'!$A$3:$B$16,2,),0)</f>
        <v>0</v>
      </c>
      <c r="L84" s="1307" t="str">
        <f>A84</f>
        <v>Miscellaneous Emission Units</v>
      </c>
      <c r="M84" s="1308"/>
      <c r="N84" s="1308"/>
      <c r="O84" s="1308"/>
      <c r="P84" s="1308"/>
      <c r="Q84" s="1308"/>
      <c r="R84" s="1309"/>
    </row>
    <row r="85" spans="1:18" ht="18" customHeight="1" x14ac:dyDescent="0.25">
      <c r="A85" s="308">
        <f>IF('Table 3-A| Emission Units'!A108=0,0,'Table 5-A| Criteria MPTE'!A166)</f>
        <v>0</v>
      </c>
      <c r="B85" s="309" t="str">
        <f>IF(OR(ISBLANK('Table 3-A| Emission Units'!C108),ISTEXT('Table 3-A| Emission Units'!C108)),"",'Table 3-A| Emission Units'!C108)</f>
        <v/>
      </c>
      <c r="C85" s="310"/>
      <c r="D85" s="311" t="str">
        <f>IF(OR(ISBLANK('Table 5-A| Criteria MPTE'!C166),A85="No"),"",'Table 5-A| Criteria MPTE'!E166)</f>
        <v/>
      </c>
      <c r="E85" s="449"/>
      <c r="F85" s="311" t="str">
        <f>IF(ISBLANK('Table 5-A| Criteria MPTE'!D166),"",'Table 5-A| Criteria MPTE'!D166&amp;"/yr")</f>
        <v/>
      </c>
      <c r="G85" s="310"/>
      <c r="H85" s="440"/>
      <c r="I85" s="310"/>
      <c r="J85" s="310"/>
      <c r="K85" s="704">
        <f>IFERROR(VLOOKUP(I85,'Emission Controls'!$A$3:$B$16,2,),0)</f>
        <v>0</v>
      </c>
      <c r="L85" s="1304" t="str">
        <f>IF(A85=0,"",'Table 3-A| Emission Units'!D108&amp;" - "&amp;'Table 3-A| Emission Units'!E108)</f>
        <v/>
      </c>
      <c r="M85" s="1305"/>
      <c r="N85" s="1305"/>
      <c r="O85" s="1305"/>
      <c r="P85" s="1305"/>
      <c r="Q85" s="1305"/>
      <c r="R85" s="1306"/>
    </row>
    <row r="86" spans="1:18" ht="18" customHeight="1" x14ac:dyDescent="0.25">
      <c r="A86" s="308">
        <f>IF('Table 3-A| Emission Units'!A109=0,0,'Table 5-A| Criteria MPTE'!A167)</f>
        <v>0</v>
      </c>
      <c r="B86" s="309" t="str">
        <f>IF(OR(ISBLANK('Table 3-A| Emission Units'!C109),ISTEXT('Table 3-A| Emission Units'!C109)),"",'Table 3-A| Emission Units'!C109)</f>
        <v/>
      </c>
      <c r="C86" s="310"/>
      <c r="D86" s="311" t="str">
        <f>IF(OR(ISBLANK('Table 5-A| Criteria MPTE'!C167),A86="No"),"",'Table 5-A| Criteria MPTE'!E167)</f>
        <v/>
      </c>
      <c r="E86" s="449"/>
      <c r="F86" s="311" t="str">
        <f>IF(ISBLANK('Table 5-A| Criteria MPTE'!D167),"",'Table 5-A| Criteria MPTE'!D167&amp;"/yr")</f>
        <v/>
      </c>
      <c r="G86" s="310"/>
      <c r="H86" s="440"/>
      <c r="I86" s="310"/>
      <c r="J86" s="310"/>
      <c r="K86" s="704">
        <f>IFERROR(VLOOKUP(I86,'Emission Controls'!$A$3:$B$16,2,),0)</f>
        <v>0</v>
      </c>
      <c r="L86" s="1304" t="s">
        <v>2341</v>
      </c>
      <c r="M86" s="1305"/>
      <c r="N86" s="1305"/>
      <c r="O86" s="1305"/>
      <c r="P86" s="1305"/>
      <c r="Q86" s="1305"/>
      <c r="R86" s="1306"/>
    </row>
    <row r="87" spans="1:18" ht="18" customHeight="1" x14ac:dyDescent="0.25">
      <c r="A87" s="308">
        <f>IF('Table 3-A| Emission Units'!A110=0,0,'Table 5-A| Criteria MPTE'!A168)</f>
        <v>0</v>
      </c>
      <c r="B87" s="309" t="str">
        <f>IF(OR(ISBLANK('Table 3-A| Emission Units'!C110),ISTEXT('Table 3-A| Emission Units'!C110)),"",'Table 3-A| Emission Units'!C110)</f>
        <v/>
      </c>
      <c r="C87" s="310"/>
      <c r="D87" s="311" t="str">
        <f>IF(OR(ISBLANK('Table 5-A| Criteria MPTE'!C168),A87="No"),"",'Table 5-A| Criteria MPTE'!E168)</f>
        <v/>
      </c>
      <c r="E87" s="449"/>
      <c r="F87" s="311" t="str">
        <f>IF(ISBLANK('Table 5-A| Criteria MPTE'!D168),"",'Table 5-A| Criteria MPTE'!D168&amp;"/yr")</f>
        <v/>
      </c>
      <c r="G87" s="310"/>
      <c r="H87" s="440"/>
      <c r="I87" s="310"/>
      <c r="J87" s="310"/>
      <c r="K87" s="704">
        <f>IFERROR(VLOOKUP(I87,'Emission Controls'!$A$3:$B$16,2,),0)</f>
        <v>0</v>
      </c>
      <c r="L87" s="1304" t="str">
        <f>IF(A87=0,"",'Table 3-A| Emission Units'!E110)</f>
        <v/>
      </c>
      <c r="M87" s="1305"/>
      <c r="N87" s="1305"/>
      <c r="O87" s="1305"/>
      <c r="P87" s="1305"/>
      <c r="Q87" s="1305"/>
      <c r="R87" s="1306"/>
    </row>
    <row r="88" spans="1:18" ht="18" customHeight="1" x14ac:dyDescent="0.25">
      <c r="A88" s="308">
        <f>IF('Table 3-A| Emission Units'!A111=0,0,'Table 5-A| Criteria MPTE'!A169)</f>
        <v>0</v>
      </c>
      <c r="B88" s="309" t="str">
        <f>IF(OR(ISBLANK('Table 3-A| Emission Units'!C111),ISTEXT('Table 3-A| Emission Units'!C111)),"",'Table 3-A| Emission Units'!C111)</f>
        <v/>
      </c>
      <c r="C88" s="310"/>
      <c r="D88" s="311" t="str">
        <f>IF(OR(ISBLANK('Table 5-A| Criteria MPTE'!C169),A88="No"),"",'Table 5-A| Criteria MPTE'!E169)</f>
        <v/>
      </c>
      <c r="E88" s="449"/>
      <c r="F88" s="311" t="str">
        <f>IF(ISBLANK('Table 5-A| Criteria MPTE'!D169),"",'Table 5-A| Criteria MPTE'!D169&amp;"/yr")</f>
        <v/>
      </c>
      <c r="G88" s="310"/>
      <c r="H88" s="440"/>
      <c r="I88" s="310"/>
      <c r="J88" s="310"/>
      <c r="K88" s="704">
        <f>IFERROR(VLOOKUP(I88,'Emission Controls'!$A$3:$B$16,2,),0)</f>
        <v>0</v>
      </c>
      <c r="L88" s="1304" t="str">
        <f>IF(A88=0,"",'Table 3-A| Emission Units'!E111)</f>
        <v/>
      </c>
      <c r="M88" s="1305"/>
      <c r="N88" s="1305"/>
      <c r="O88" s="1305"/>
      <c r="P88" s="1305"/>
      <c r="Q88" s="1305"/>
      <c r="R88" s="1306"/>
    </row>
    <row r="89" spans="1:18" ht="18" customHeight="1" x14ac:dyDescent="0.25">
      <c r="A89" s="308">
        <f>IF('Table 3-A| Emission Units'!A112=0,0,'Table 5-A| Criteria MPTE'!A170)</f>
        <v>0</v>
      </c>
      <c r="B89" s="309" t="str">
        <f>IF(OR(ISBLANK('Table 3-A| Emission Units'!C112),ISTEXT('Table 3-A| Emission Units'!C112)),"",'Table 3-A| Emission Units'!C112)</f>
        <v/>
      </c>
      <c r="C89" s="310"/>
      <c r="D89" s="311" t="str">
        <f>IF(OR(ISBLANK('Table 5-A| Criteria MPTE'!C170),A89="No"),"",'Table 5-A| Criteria MPTE'!E170)</f>
        <v/>
      </c>
      <c r="E89" s="449"/>
      <c r="F89" s="311" t="str">
        <f>IF(ISBLANK('Table 5-A| Criteria MPTE'!D170),"",'Table 5-A| Criteria MPTE'!D170&amp;"/yr")</f>
        <v/>
      </c>
      <c r="G89" s="310"/>
      <c r="H89" s="440"/>
      <c r="I89" s="310"/>
      <c r="J89" s="310"/>
      <c r="K89" s="704">
        <f>IFERROR(VLOOKUP(I89,'Emission Controls'!$A$3:$B$16,2,),0)</f>
        <v>0</v>
      </c>
      <c r="L89" s="1304" t="str">
        <f>IF(A89=0,"",'Table 3-A| Emission Units'!E112)</f>
        <v/>
      </c>
      <c r="M89" s="1305"/>
      <c r="N89" s="1305"/>
      <c r="O89" s="1305"/>
      <c r="P89" s="1305"/>
      <c r="Q89" s="1305"/>
      <c r="R89" s="1306"/>
    </row>
    <row r="90" spans="1:18" ht="18" customHeight="1" x14ac:dyDescent="0.25">
      <c r="A90" s="308">
        <f>IF('Table 3-A| Emission Units'!A113=0,0,'Table 5-A| Criteria MPTE'!A171)</f>
        <v>0</v>
      </c>
      <c r="B90" s="309" t="str">
        <f>IF(OR(ISBLANK('Table 3-A| Emission Units'!C113),ISTEXT('Table 3-A| Emission Units'!C113)),"",'Table 3-A| Emission Units'!C113)</f>
        <v/>
      </c>
      <c r="C90" s="310"/>
      <c r="D90" s="311" t="str">
        <f>IF(OR(ISBLANK('Table 5-A| Criteria MPTE'!C171),A90="No"),"",'Table 5-A| Criteria MPTE'!E171)</f>
        <v/>
      </c>
      <c r="E90" s="449"/>
      <c r="F90" s="311" t="str">
        <f>IF(ISBLANK('Table 5-A| Criteria MPTE'!D171),"",'Table 5-A| Criteria MPTE'!D171&amp;"/yr")</f>
        <v/>
      </c>
      <c r="G90" s="310"/>
      <c r="H90" s="440"/>
      <c r="I90" s="310"/>
      <c r="J90" s="310"/>
      <c r="K90" s="704">
        <f>IFERROR(VLOOKUP(I90,'Emission Controls'!$A$3:$B$16,2,),0)</f>
        <v>0</v>
      </c>
      <c r="L90" s="1304" t="str">
        <f>IF(A90=0,"",'Table 3-A| Emission Units'!E113)</f>
        <v/>
      </c>
      <c r="M90" s="1305"/>
      <c r="N90" s="1305"/>
      <c r="O90" s="1305"/>
      <c r="P90" s="1305"/>
      <c r="Q90" s="1305"/>
      <c r="R90" s="1306"/>
    </row>
    <row r="91" spans="1:18" ht="18" customHeight="1" x14ac:dyDescent="0.25">
      <c r="A91" s="308">
        <f>IF('Table 3-A| Emission Units'!A114=0,0,'Table 5-A| Criteria MPTE'!A172)</f>
        <v>0</v>
      </c>
      <c r="B91" s="309" t="str">
        <f>IF(OR(ISBLANK('Table 3-A| Emission Units'!C114),ISTEXT('Table 3-A| Emission Units'!C114)),"",'Table 3-A| Emission Units'!C114)</f>
        <v/>
      </c>
      <c r="C91" s="310"/>
      <c r="D91" s="311" t="str">
        <f>IF(OR(ISBLANK('Table 5-A| Criteria MPTE'!C172),A91="No"),"",'Table 5-A| Criteria MPTE'!E172)</f>
        <v/>
      </c>
      <c r="E91" s="449"/>
      <c r="F91" s="311" t="str">
        <f>IF(ISBLANK('Table 5-A| Criteria MPTE'!D172),"",'Table 5-A| Criteria MPTE'!D172&amp;"/yr")</f>
        <v/>
      </c>
      <c r="G91" s="310"/>
      <c r="H91" s="440"/>
      <c r="I91" s="310"/>
      <c r="J91" s="310"/>
      <c r="K91" s="704">
        <f>IFERROR(VLOOKUP(I91,'Emission Controls'!$A$3:$B$16,2,),0)</f>
        <v>0</v>
      </c>
      <c r="L91" s="1304" t="str">
        <f>IF(A91=0,"",'Table 3-A| Emission Units'!E114)</f>
        <v/>
      </c>
      <c r="M91" s="1305"/>
      <c r="N91" s="1305"/>
      <c r="O91" s="1305"/>
      <c r="P91" s="1305"/>
      <c r="Q91" s="1305"/>
      <c r="R91" s="1306"/>
    </row>
    <row r="92" spans="1:18" ht="18" customHeight="1" x14ac:dyDescent="0.25">
      <c r="A92" s="308">
        <f>IF('Table 3-A| Emission Units'!A115=0,0,'Table 5-A| Criteria MPTE'!A173)</f>
        <v>0</v>
      </c>
      <c r="B92" s="309" t="str">
        <f>IF(OR(ISBLANK('Table 3-A| Emission Units'!C115),ISTEXT('Table 3-A| Emission Units'!C115)),"",'Table 3-A| Emission Units'!C115)</f>
        <v/>
      </c>
      <c r="C92" s="310"/>
      <c r="D92" s="311" t="str">
        <f>IF(OR(ISBLANK('Table 5-A| Criteria MPTE'!C173),A92="No"),"",'Table 5-A| Criteria MPTE'!E173)</f>
        <v/>
      </c>
      <c r="E92" s="449"/>
      <c r="F92" s="311" t="str">
        <f>IF(ISBLANK('Table 5-A| Criteria MPTE'!D173),"",'Table 5-A| Criteria MPTE'!D173&amp;"/yr")</f>
        <v/>
      </c>
      <c r="G92" s="310"/>
      <c r="H92" s="440"/>
      <c r="I92" s="310"/>
      <c r="J92" s="310"/>
      <c r="K92" s="704">
        <f>IFERROR(VLOOKUP(I92,'Emission Controls'!$A$3:$B$16,2,),0)</f>
        <v>0</v>
      </c>
      <c r="L92" s="1304" t="str">
        <f>IF(A92=0,"",'Table 3-A| Emission Units'!E115)</f>
        <v/>
      </c>
      <c r="M92" s="1305"/>
      <c r="N92" s="1305"/>
      <c r="O92" s="1305"/>
      <c r="P92" s="1305"/>
      <c r="Q92" s="1305"/>
      <c r="R92" s="1306"/>
    </row>
    <row r="93" spans="1:18" ht="18" customHeight="1" x14ac:dyDescent="0.25">
      <c r="A93" s="308">
        <f>IF('Table 3-A| Emission Units'!A116=0,0,'Table 5-A| Criteria MPTE'!A174)</f>
        <v>0</v>
      </c>
      <c r="B93" s="309" t="str">
        <f>IF(OR(ISBLANK('Table 3-A| Emission Units'!C116),ISTEXT('Table 3-A| Emission Units'!C116)),"",'Table 3-A| Emission Units'!C116)</f>
        <v/>
      </c>
      <c r="C93" s="310"/>
      <c r="D93" s="311" t="str">
        <f>IF(OR(ISBLANK('Table 5-A| Criteria MPTE'!C174),A93="No"),"",'Table 5-A| Criteria MPTE'!E174)</f>
        <v/>
      </c>
      <c r="E93" s="449"/>
      <c r="F93" s="311" t="str">
        <f>IF(ISBLANK('Table 5-A| Criteria MPTE'!D174),"",'Table 5-A| Criteria MPTE'!D174&amp;"/yr")</f>
        <v/>
      </c>
      <c r="G93" s="310"/>
      <c r="H93" s="440"/>
      <c r="I93" s="310"/>
      <c r="J93" s="310"/>
      <c r="K93" s="704">
        <f>IFERROR(VLOOKUP(I93,'Emission Controls'!$A$3:$B$16,2,),0)</f>
        <v>0</v>
      </c>
      <c r="L93" s="1304" t="str">
        <f>IF(A93=0,"",'Table 3-A| Emission Units'!E116)</f>
        <v/>
      </c>
      <c r="M93" s="1305"/>
      <c r="N93" s="1305"/>
      <c r="O93" s="1305"/>
      <c r="P93" s="1305"/>
      <c r="Q93" s="1305"/>
      <c r="R93" s="1306"/>
    </row>
    <row r="94" spans="1:18" ht="18" customHeight="1" x14ac:dyDescent="0.25">
      <c r="A94" s="308">
        <f>IF('Table 3-A| Emission Units'!A117=0,0,'Table 5-A| Criteria MPTE'!A175)</f>
        <v>0</v>
      </c>
      <c r="B94" s="309" t="str">
        <f>IF(OR(ISBLANK('Table 3-A| Emission Units'!C117),ISTEXT('Table 3-A| Emission Units'!C117)),"",'Table 3-A| Emission Units'!C117)</f>
        <v/>
      </c>
      <c r="C94" s="310"/>
      <c r="D94" s="311" t="str">
        <f>IF(OR(ISBLANK('Table 5-A| Criteria MPTE'!C175),A94="No"),"",'Table 5-A| Criteria MPTE'!E175)</f>
        <v/>
      </c>
      <c r="E94" s="449"/>
      <c r="F94" s="311" t="str">
        <f>IF(ISBLANK('Table 5-A| Criteria MPTE'!D175),"",'Table 5-A| Criteria MPTE'!D175&amp;"/yr")</f>
        <v/>
      </c>
      <c r="G94" s="310"/>
      <c r="H94" s="440"/>
      <c r="I94" s="310"/>
      <c r="J94" s="310"/>
      <c r="K94" s="704">
        <f>IFERROR(VLOOKUP(I94,'Emission Controls'!$A$3:$B$16,2,),0)</f>
        <v>0</v>
      </c>
      <c r="L94" s="1304" t="str">
        <f>IF(A94=0,"",'Table 3-A| Emission Units'!E117)</f>
        <v/>
      </c>
      <c r="M94" s="1305"/>
      <c r="N94" s="1305"/>
      <c r="O94" s="1305"/>
      <c r="P94" s="1305"/>
      <c r="Q94" s="1305"/>
      <c r="R94" s="1306"/>
    </row>
    <row r="95" spans="1:18" ht="18" customHeight="1" x14ac:dyDescent="0.25">
      <c r="A95" s="308">
        <f>IF('Table 3-A| Emission Units'!A118=0,0,'Table 5-A| Criteria MPTE'!A176)</f>
        <v>0</v>
      </c>
      <c r="B95" s="309" t="str">
        <f>IF(OR(ISBLANK('Table 3-A| Emission Units'!C118),ISTEXT('Table 3-A| Emission Units'!C118)),"",'Table 3-A| Emission Units'!C118)</f>
        <v/>
      </c>
      <c r="C95" s="310"/>
      <c r="D95" s="311" t="str">
        <f>IF(OR(ISBLANK('Table 5-A| Criteria MPTE'!C176),A95="No"),"",'Table 5-A| Criteria MPTE'!E176)</f>
        <v/>
      </c>
      <c r="E95" s="449"/>
      <c r="F95" s="311" t="str">
        <f>IF(ISBLANK('Table 5-A| Criteria MPTE'!D176),"",'Table 5-A| Criteria MPTE'!D176&amp;"/yr")</f>
        <v/>
      </c>
      <c r="G95" s="310"/>
      <c r="H95" s="440"/>
      <c r="I95" s="310"/>
      <c r="J95" s="310"/>
      <c r="K95" s="704">
        <f>IFERROR(VLOOKUP(I95,'Emission Controls'!$A$3:$B$16,2,),0)</f>
        <v>0</v>
      </c>
      <c r="L95" s="1304" t="str">
        <f>IF(A95=0,"",'Table 3-A| Emission Units'!E118)</f>
        <v/>
      </c>
      <c r="M95" s="1305"/>
      <c r="N95" s="1305"/>
      <c r="O95" s="1305"/>
      <c r="P95" s="1305"/>
      <c r="Q95" s="1305"/>
      <c r="R95" s="1306"/>
    </row>
    <row r="96" spans="1:18" ht="18" customHeight="1" x14ac:dyDescent="0.25">
      <c r="A96" s="308">
        <f>IF('Table 3-A| Emission Units'!A119=0,0,'Table 5-A| Criteria MPTE'!A177)</f>
        <v>0</v>
      </c>
      <c r="B96" s="309" t="str">
        <f>IF(OR(ISBLANK('Table 3-A| Emission Units'!C119),ISTEXT('Table 3-A| Emission Units'!C119)),"",'Table 3-A| Emission Units'!C119)</f>
        <v/>
      </c>
      <c r="C96" s="310"/>
      <c r="D96" s="311" t="str">
        <f>IF(OR(ISBLANK('Table 5-A| Criteria MPTE'!C177),A96="No"),"",'Table 5-A| Criteria MPTE'!E177)</f>
        <v/>
      </c>
      <c r="E96" s="449"/>
      <c r="F96" s="311" t="str">
        <f>IF(ISBLANK('Table 5-A| Criteria MPTE'!D177),"",'Table 5-A| Criteria MPTE'!D177&amp;"/yr")</f>
        <v/>
      </c>
      <c r="G96" s="310"/>
      <c r="H96" s="440"/>
      <c r="I96" s="310"/>
      <c r="J96" s="310"/>
      <c r="K96" s="704">
        <f>IFERROR(VLOOKUP(I96,'Emission Controls'!$A$3:$B$16,2,),0)</f>
        <v>0</v>
      </c>
      <c r="L96" s="1304" t="str">
        <f>IF(A96=0,"",'Table 3-A| Emission Units'!E119)</f>
        <v/>
      </c>
      <c r="M96" s="1305"/>
      <c r="N96" s="1305"/>
      <c r="O96" s="1305"/>
      <c r="P96" s="1305"/>
      <c r="Q96" s="1305"/>
      <c r="R96" s="1306"/>
    </row>
    <row r="97" spans="1:18" ht="18" customHeight="1" x14ac:dyDescent="0.25">
      <c r="A97" s="308">
        <f>IF('Table 3-A| Emission Units'!A120=0,0,'Table 5-A| Criteria MPTE'!A178)</f>
        <v>0</v>
      </c>
      <c r="B97" s="309" t="str">
        <f>IF(OR(ISBLANK('Table 3-A| Emission Units'!C120),ISTEXT('Table 3-A| Emission Units'!C120)),"",'Table 3-A| Emission Units'!C120)</f>
        <v/>
      </c>
      <c r="C97" s="310"/>
      <c r="D97" s="311" t="str">
        <f>IF(OR(ISBLANK('Table 5-A| Criteria MPTE'!C178),A97="No"),"",'Table 5-A| Criteria MPTE'!E178)</f>
        <v/>
      </c>
      <c r="E97" s="449"/>
      <c r="F97" s="311" t="str">
        <f>IF(ISBLANK('Table 5-A| Criteria MPTE'!D178),"",'Table 5-A| Criteria MPTE'!D178&amp;"/yr")</f>
        <v/>
      </c>
      <c r="G97" s="310"/>
      <c r="H97" s="440"/>
      <c r="I97" s="310"/>
      <c r="J97" s="310"/>
      <c r="K97" s="704">
        <f>IFERROR(VLOOKUP(I97,'Emission Controls'!$A$3:$B$16,2,),0)</f>
        <v>0</v>
      </c>
      <c r="L97" s="1304" t="str">
        <f>IF(A97=0,"",'Table 3-A| Emission Units'!E120)</f>
        <v/>
      </c>
      <c r="M97" s="1305"/>
      <c r="N97" s="1305"/>
      <c r="O97" s="1305"/>
      <c r="P97" s="1305"/>
      <c r="Q97" s="1305"/>
      <c r="R97" s="1306"/>
    </row>
    <row r="98" spans="1:18" ht="18" customHeight="1" x14ac:dyDescent="0.25">
      <c r="A98" s="308">
        <f>IF('Table 3-A| Emission Units'!A121=0,0,'Table 5-A| Criteria MPTE'!A179)</f>
        <v>0</v>
      </c>
      <c r="B98" s="309" t="str">
        <f>IF(OR(ISBLANK('Table 3-A| Emission Units'!C121),ISTEXT('Table 3-A| Emission Units'!C121)),"",'Table 3-A| Emission Units'!C121)</f>
        <v/>
      </c>
      <c r="C98" s="310"/>
      <c r="D98" s="311" t="str">
        <f>IF(OR(ISBLANK('Table 5-A| Criteria MPTE'!C179),A98="No"),"",'Table 5-A| Criteria MPTE'!E179)</f>
        <v/>
      </c>
      <c r="E98" s="449"/>
      <c r="F98" s="311" t="str">
        <f>IF(ISBLANK('Table 5-A| Criteria MPTE'!D179),"",'Table 5-A| Criteria MPTE'!D179&amp;"/yr")</f>
        <v/>
      </c>
      <c r="G98" s="310"/>
      <c r="H98" s="440"/>
      <c r="I98" s="310"/>
      <c r="J98" s="310"/>
      <c r="K98" s="704">
        <f>IFERROR(VLOOKUP(I98,'Emission Controls'!$A$3:$B$16,2,),0)</f>
        <v>0</v>
      </c>
      <c r="L98" s="1304" t="str">
        <f>IF(A98=0,"",'Table 3-A| Emission Units'!E121)</f>
        <v/>
      </c>
      <c r="M98" s="1305"/>
      <c r="N98" s="1305"/>
      <c r="O98" s="1305"/>
      <c r="P98" s="1305"/>
      <c r="Q98" s="1305"/>
      <c r="R98" s="1306"/>
    </row>
    <row r="99" spans="1:18" ht="18" customHeight="1" x14ac:dyDescent="0.25">
      <c r="A99" s="308">
        <f>IF('Table 3-A| Emission Units'!A122=0,0,'Table 5-A| Criteria MPTE'!A180)</f>
        <v>0</v>
      </c>
      <c r="B99" s="309" t="str">
        <f>IF(OR(ISBLANK('Table 3-A| Emission Units'!C122),ISTEXT('Table 3-A| Emission Units'!C122)),"",'Table 3-A| Emission Units'!C122)</f>
        <v/>
      </c>
      <c r="C99" s="310"/>
      <c r="D99" s="311" t="str">
        <f>IF(OR(ISBLANK('Table 5-A| Criteria MPTE'!C180),A99="No"),"",'Table 5-A| Criteria MPTE'!E180)</f>
        <v/>
      </c>
      <c r="E99" s="449"/>
      <c r="F99" s="311" t="str">
        <f>IF(ISBLANK('Table 5-A| Criteria MPTE'!D180),"",'Table 5-A| Criteria MPTE'!D180&amp;"/yr")</f>
        <v/>
      </c>
      <c r="G99" s="310"/>
      <c r="H99" s="440"/>
      <c r="I99" s="310"/>
      <c r="J99" s="310"/>
      <c r="K99" s="704">
        <f>IFERROR(VLOOKUP(I99,'Emission Controls'!$A$3:$B$16,2,),0)</f>
        <v>0</v>
      </c>
      <c r="L99" s="1304" t="str">
        <f>IF(A99=0,"",'Table 3-A| Emission Units'!E122)</f>
        <v/>
      </c>
      <c r="M99" s="1305"/>
      <c r="N99" s="1305"/>
      <c r="O99" s="1305"/>
      <c r="P99" s="1305"/>
      <c r="Q99" s="1305"/>
      <c r="R99" s="1306"/>
    </row>
    <row r="100" spans="1:18" ht="18" customHeight="1" x14ac:dyDescent="0.25">
      <c r="A100" s="308">
        <f>IF('Table 3-A| Emission Units'!A123=0,0,'Table 5-A| Criteria MPTE'!A181)</f>
        <v>0</v>
      </c>
      <c r="B100" s="309" t="str">
        <f>IF(OR(ISBLANK('Table 3-A| Emission Units'!C123),ISTEXT('Table 3-A| Emission Units'!C123)),"",'Table 3-A| Emission Units'!C123)</f>
        <v/>
      </c>
      <c r="C100" s="310"/>
      <c r="D100" s="311" t="str">
        <f>IF(OR(ISBLANK('Table 5-A| Criteria MPTE'!C181),A100="No"),"",'Table 5-A| Criteria MPTE'!E181)</f>
        <v/>
      </c>
      <c r="E100" s="449"/>
      <c r="F100" s="311" t="str">
        <f>IF(ISBLANK('Table 5-A| Criteria MPTE'!D181),"",'Table 5-A| Criteria MPTE'!D181&amp;"/yr")</f>
        <v/>
      </c>
      <c r="G100" s="310"/>
      <c r="H100" s="440"/>
      <c r="I100" s="310"/>
      <c r="J100" s="310"/>
      <c r="K100" s="704">
        <f>IFERROR(VLOOKUP(I100,'Emission Controls'!$A$3:$B$16,2,),0)</f>
        <v>0</v>
      </c>
      <c r="L100" s="1304" t="str">
        <f>IF(A100=0,"",'Table 3-A| Emission Units'!E123)</f>
        <v/>
      </c>
      <c r="M100" s="1305"/>
      <c r="N100" s="1305"/>
      <c r="O100" s="1305"/>
      <c r="P100" s="1305"/>
      <c r="Q100" s="1305"/>
      <c r="R100" s="1306"/>
    </row>
    <row r="101" spans="1:18" ht="18" customHeight="1" x14ac:dyDescent="0.25">
      <c r="A101" s="308">
        <f>IF('Table 3-A| Emission Units'!A124=0,0,'Table 5-A| Criteria MPTE'!A182)</f>
        <v>0</v>
      </c>
      <c r="B101" s="309" t="str">
        <f>IF(OR(ISBLANK('Table 3-A| Emission Units'!C124),ISTEXT('Table 3-A| Emission Units'!C124)),"",'Table 3-A| Emission Units'!C124)</f>
        <v/>
      </c>
      <c r="C101" s="310"/>
      <c r="D101" s="311" t="str">
        <f>IF(OR(ISBLANK('Table 5-A| Criteria MPTE'!C182),A101="No"),"",'Table 5-A| Criteria MPTE'!E182)</f>
        <v/>
      </c>
      <c r="E101" s="449"/>
      <c r="F101" s="311" t="str">
        <f>IF(ISBLANK('Table 5-A| Criteria MPTE'!D182),"",'Table 5-A| Criteria MPTE'!D182&amp;"/yr")</f>
        <v/>
      </c>
      <c r="G101" s="310"/>
      <c r="H101" s="440"/>
      <c r="I101" s="310"/>
      <c r="J101" s="310"/>
      <c r="K101" s="704">
        <f>IFERROR(VLOOKUP(I101,'Emission Controls'!$A$3:$B$16,2,),0)</f>
        <v>0</v>
      </c>
      <c r="L101" s="1304" t="str">
        <f>IF(A101=0,"",'Table 3-A| Emission Units'!E124)</f>
        <v/>
      </c>
      <c r="M101" s="1305"/>
      <c r="N101" s="1305"/>
      <c r="O101" s="1305"/>
      <c r="P101" s="1305"/>
      <c r="Q101" s="1305"/>
      <c r="R101" s="1306"/>
    </row>
    <row r="102" spans="1:18" ht="18" customHeight="1" x14ac:dyDescent="0.25">
      <c r="A102" s="308">
        <f>IF('Table 3-A| Emission Units'!A125=0,0,'Table 5-A| Criteria MPTE'!A183)</f>
        <v>0</v>
      </c>
      <c r="B102" s="309" t="str">
        <f>IF(OR(ISBLANK('Table 3-A| Emission Units'!C125),ISTEXT('Table 3-A| Emission Units'!C125)),"",'Table 3-A| Emission Units'!C125)</f>
        <v/>
      </c>
      <c r="C102" s="310"/>
      <c r="D102" s="311" t="str">
        <f>IF(OR(ISBLANK('Table 5-A| Criteria MPTE'!C183),A102="No"),"",'Table 5-A| Criteria MPTE'!E183)</f>
        <v/>
      </c>
      <c r="E102" s="449"/>
      <c r="F102" s="311" t="str">
        <f>IF(ISBLANK('Table 5-A| Criteria MPTE'!D183),"",'Table 5-A| Criteria MPTE'!D183&amp;"/yr")</f>
        <v/>
      </c>
      <c r="G102" s="310"/>
      <c r="H102" s="440"/>
      <c r="I102" s="310"/>
      <c r="J102" s="310"/>
      <c r="K102" s="704">
        <f>IFERROR(VLOOKUP(I102,'Emission Controls'!$A$3:$B$16,2,),0)</f>
        <v>0</v>
      </c>
      <c r="L102" s="1304" t="str">
        <f>IF(A102=0,"",'Table 3-A| Emission Units'!E125)</f>
        <v/>
      </c>
      <c r="M102" s="1305"/>
      <c r="N102" s="1305"/>
      <c r="O102" s="1305"/>
      <c r="P102" s="1305"/>
      <c r="Q102" s="1305"/>
      <c r="R102" s="1306"/>
    </row>
    <row r="103" spans="1:18" ht="18" customHeight="1" x14ac:dyDescent="0.25">
      <c r="A103" s="308">
        <f>IF('Table 3-A| Emission Units'!A126=0,0,'Table 5-A| Criteria MPTE'!A184)</f>
        <v>0</v>
      </c>
      <c r="B103" s="309" t="str">
        <f>IF(OR(ISBLANK('Table 3-A| Emission Units'!C126),ISTEXT('Table 3-A| Emission Units'!C126)),"",'Table 3-A| Emission Units'!C126)</f>
        <v/>
      </c>
      <c r="C103" s="310"/>
      <c r="D103" s="311" t="str">
        <f>IF(OR(ISBLANK('Table 5-A| Criteria MPTE'!C184),A103="No"),"",'Table 5-A| Criteria MPTE'!E184)</f>
        <v/>
      </c>
      <c r="E103" s="449"/>
      <c r="F103" s="311" t="str">
        <f>IF(ISBLANK('Table 5-A| Criteria MPTE'!D184),"",'Table 5-A| Criteria MPTE'!D184&amp;"/yr")</f>
        <v/>
      </c>
      <c r="G103" s="310"/>
      <c r="H103" s="440"/>
      <c r="I103" s="310"/>
      <c r="J103" s="310"/>
      <c r="K103" s="704">
        <f>IFERROR(VLOOKUP(I103,'Emission Controls'!$A$3:$B$16,2,),0)</f>
        <v>0</v>
      </c>
      <c r="L103" s="1304" t="str">
        <f>IF(A103=0,"",'Table 3-A| Emission Units'!E126)</f>
        <v/>
      </c>
      <c r="M103" s="1305"/>
      <c r="N103" s="1305"/>
      <c r="O103" s="1305"/>
      <c r="P103" s="1305"/>
      <c r="Q103" s="1305"/>
      <c r="R103" s="1306"/>
    </row>
    <row r="104" spans="1:18" ht="18" customHeight="1" x14ac:dyDescent="0.25">
      <c r="A104" s="308">
        <f>IF('Table 3-A| Emission Units'!A127=0,0,'Table 5-A| Criteria MPTE'!A185)</f>
        <v>0</v>
      </c>
      <c r="B104" s="309" t="str">
        <f>IF(OR(ISBLANK('Table 3-A| Emission Units'!C127),ISTEXT('Table 3-A| Emission Units'!C127)),"",'Table 3-A| Emission Units'!C127)</f>
        <v/>
      </c>
      <c r="C104" s="310"/>
      <c r="D104" s="311" t="str">
        <f>IF(OR(ISBLANK('Table 5-A| Criteria MPTE'!C185),A104="No"),"",'Table 5-A| Criteria MPTE'!E185)</f>
        <v/>
      </c>
      <c r="E104" s="449"/>
      <c r="F104" s="311" t="str">
        <f>IF(ISBLANK('Table 5-A| Criteria MPTE'!D185),"",'Table 5-A| Criteria MPTE'!D185&amp;"/yr")</f>
        <v/>
      </c>
      <c r="G104" s="310"/>
      <c r="H104" s="440"/>
      <c r="I104" s="310"/>
      <c r="J104" s="310"/>
      <c r="K104" s="704">
        <f>IFERROR(VLOOKUP(I104,'Emission Controls'!$A$3:$B$16,2,),0)</f>
        <v>0</v>
      </c>
      <c r="L104" s="1304" t="str">
        <f>IF(A104=0,"",'Table 3-A| Emission Units'!E127)</f>
        <v/>
      </c>
      <c r="M104" s="1305"/>
      <c r="N104" s="1305"/>
      <c r="O104" s="1305"/>
      <c r="P104" s="1305"/>
      <c r="Q104" s="1305"/>
      <c r="R104" s="1306"/>
    </row>
    <row r="105" spans="1:18" ht="18" customHeight="1" x14ac:dyDescent="0.25">
      <c r="A105" s="308">
        <f>IF('Table 3-A| Emission Units'!A128=0,0,'Table 5-A| Criteria MPTE'!A186)</f>
        <v>0</v>
      </c>
      <c r="B105" s="309" t="str">
        <f>IF(OR(ISBLANK('Table 3-A| Emission Units'!C128),ISTEXT('Table 3-A| Emission Units'!C128)),"",'Table 3-A| Emission Units'!C128)</f>
        <v/>
      </c>
      <c r="C105" s="310"/>
      <c r="D105" s="311" t="str">
        <f>IF(OR(ISBLANK('Table 5-A| Criteria MPTE'!C186),A105="No"),"",'Table 5-A| Criteria MPTE'!E186)</f>
        <v/>
      </c>
      <c r="E105" s="449"/>
      <c r="F105" s="311" t="str">
        <f>IF(ISBLANK('Table 5-A| Criteria MPTE'!D186),"",'Table 5-A| Criteria MPTE'!D186&amp;"/yr")</f>
        <v/>
      </c>
      <c r="G105" s="310"/>
      <c r="H105" s="440"/>
      <c r="I105" s="310"/>
      <c r="J105" s="310"/>
      <c r="K105" s="704">
        <f>IFERROR(VLOOKUP(I105,'Emission Controls'!$A$3:$B$16,2,),0)</f>
        <v>0</v>
      </c>
      <c r="L105" s="1304" t="str">
        <f>IF(A105=0,"",'Table 3-A| Emission Units'!E128)</f>
        <v/>
      </c>
      <c r="M105" s="1305"/>
      <c r="N105" s="1305"/>
      <c r="O105" s="1305"/>
      <c r="P105" s="1305"/>
      <c r="Q105" s="1305"/>
      <c r="R105" s="1306"/>
    </row>
    <row r="106" spans="1:18" ht="18" customHeight="1" x14ac:dyDescent="0.25">
      <c r="A106" s="308">
        <f>IF('Table 3-A| Emission Units'!A129=0,0,'Table 5-A| Criteria MPTE'!A187)</f>
        <v>0</v>
      </c>
      <c r="B106" s="309" t="str">
        <f>IF(OR(ISBLANK('Table 3-A| Emission Units'!C129),ISTEXT('Table 3-A| Emission Units'!C129)),"",'Table 3-A| Emission Units'!C129)</f>
        <v/>
      </c>
      <c r="C106" s="310"/>
      <c r="D106" s="311" t="str">
        <f>IF(OR(ISBLANK('Table 5-A| Criteria MPTE'!C187),A106="No"),"",'Table 5-A| Criteria MPTE'!E187)</f>
        <v/>
      </c>
      <c r="E106" s="449"/>
      <c r="F106" s="311" t="str">
        <f>IF(ISBLANK('Table 5-A| Criteria MPTE'!D187),"",'Table 5-A| Criteria MPTE'!D187&amp;"/yr")</f>
        <v/>
      </c>
      <c r="G106" s="310"/>
      <c r="H106" s="440"/>
      <c r="I106" s="310"/>
      <c r="J106" s="310"/>
      <c r="K106" s="704">
        <f>IFERROR(VLOOKUP(I106,'Emission Controls'!$A$3:$B$16,2,),0)</f>
        <v>0</v>
      </c>
      <c r="L106" s="1304" t="str">
        <f>IF(A106=0,"",'Table 3-A| Emission Units'!E129)</f>
        <v/>
      </c>
      <c r="M106" s="1305"/>
      <c r="N106" s="1305"/>
      <c r="O106" s="1305"/>
      <c r="P106" s="1305"/>
      <c r="Q106" s="1305"/>
      <c r="R106" s="1306"/>
    </row>
    <row r="107" spans="1:18" ht="18" customHeight="1" thickBot="1" x14ac:dyDescent="0.3">
      <c r="A107" s="315">
        <f>IF('Table 3-A| Emission Units'!A130=0,0,'Table 5-A| Criteria MPTE'!A188)</f>
        <v>0</v>
      </c>
      <c r="B107" s="316" t="str">
        <f>IF(OR(ISBLANK('Table 3-A| Emission Units'!C130),ISTEXT('Table 3-A| Emission Units'!C130)),"",'Table 3-A| Emission Units'!C130)</f>
        <v/>
      </c>
      <c r="C107" s="317"/>
      <c r="D107" s="318" t="str">
        <f>IF(OR(ISBLANK('Table 5-A| Criteria MPTE'!C188),A107="No"),"",'Table 5-A| Criteria MPTE'!E188)</f>
        <v/>
      </c>
      <c r="E107" s="450"/>
      <c r="F107" s="318" t="str">
        <f>IF(ISBLANK('Table 5-A| Criteria MPTE'!D188),"",'Table 5-A| Criteria MPTE'!D188&amp;"/yr")</f>
        <v/>
      </c>
      <c r="G107" s="317"/>
      <c r="H107" s="441"/>
      <c r="I107" s="317"/>
      <c r="J107" s="317"/>
      <c r="K107" s="704">
        <f>IFERROR(VLOOKUP(I107,'Emission Controls'!$A$3:$B$16,2,),0)</f>
        <v>0</v>
      </c>
      <c r="L107" s="1165" t="str">
        <f>IF(A107=0,"",'Table 3-A| Emission Units'!E130)</f>
        <v/>
      </c>
      <c r="M107" s="1166"/>
      <c r="N107" s="1166"/>
      <c r="O107" s="1166"/>
      <c r="P107" s="1166"/>
      <c r="Q107" s="1166"/>
      <c r="R107" s="1167"/>
    </row>
  </sheetData>
  <sheetProtection algorithmName="SHA-512" hashValue="NcBPMrx/mPhqjC8LPbRPtK0YMLv3pZ4w2TdK8gk6xJqixJXW3mAiR79NryXGdPzeDuWNPDeDTK0dg8aXs6xVCA==" saltValue="PLEG+LTh04Io3J7LBGtCng==" spinCount="100000" sheet="1" objects="1" scenarios="1"/>
  <mergeCells count="119">
    <mergeCell ref="L80:R80"/>
    <mergeCell ref="L81:R81"/>
    <mergeCell ref="L82:R82"/>
    <mergeCell ref="L83:R83"/>
    <mergeCell ref="L75:R75"/>
    <mergeCell ref="L76:R76"/>
    <mergeCell ref="L77:R77"/>
    <mergeCell ref="L78:R78"/>
    <mergeCell ref="L79:R79"/>
    <mergeCell ref="L107:R107"/>
    <mergeCell ref="L84:R84"/>
    <mergeCell ref="L85:R85"/>
    <mergeCell ref="L86:R86"/>
    <mergeCell ref="L87:R87"/>
    <mergeCell ref="L88:R88"/>
    <mergeCell ref="L89:R89"/>
    <mergeCell ref="L90:R90"/>
    <mergeCell ref="L91:R91"/>
    <mergeCell ref="L92:R92"/>
    <mergeCell ref="L93:R93"/>
    <mergeCell ref="L94:R94"/>
    <mergeCell ref="L105:R105"/>
    <mergeCell ref="L106:R106"/>
    <mergeCell ref="L100:R100"/>
    <mergeCell ref="L101:R101"/>
    <mergeCell ref="L102:R102"/>
    <mergeCell ref="L103:R103"/>
    <mergeCell ref="L104:R104"/>
    <mergeCell ref="L95:R95"/>
    <mergeCell ref="L96:R96"/>
    <mergeCell ref="L97:R97"/>
    <mergeCell ref="L98:R98"/>
    <mergeCell ref="L99:R99"/>
    <mergeCell ref="L72:R72"/>
    <mergeCell ref="L73:R73"/>
    <mergeCell ref="L74:R74"/>
    <mergeCell ref="L65:R65"/>
    <mergeCell ref="L66:R66"/>
    <mergeCell ref="L67:R67"/>
    <mergeCell ref="L68:R68"/>
    <mergeCell ref="L69:R69"/>
    <mergeCell ref="L60:R60"/>
    <mergeCell ref="L61:R61"/>
    <mergeCell ref="L62:R62"/>
    <mergeCell ref="L63:R63"/>
    <mergeCell ref="L64:R64"/>
    <mergeCell ref="L70:R70"/>
    <mergeCell ref="L71:R71"/>
    <mergeCell ref="L55:R55"/>
    <mergeCell ref="L56:R56"/>
    <mergeCell ref="L57:R57"/>
    <mergeCell ref="L58:R58"/>
    <mergeCell ref="L59:R59"/>
    <mergeCell ref="L50:R50"/>
    <mergeCell ref="L51:R51"/>
    <mergeCell ref="L52:R52"/>
    <mergeCell ref="L53:R53"/>
    <mergeCell ref="L54:R54"/>
    <mergeCell ref="L45:R45"/>
    <mergeCell ref="L46:R46"/>
    <mergeCell ref="L47:R47"/>
    <mergeCell ref="L48:R48"/>
    <mergeCell ref="L49:R49"/>
    <mergeCell ref="L40:R40"/>
    <mergeCell ref="L41:R41"/>
    <mergeCell ref="L42:R42"/>
    <mergeCell ref="L43:R43"/>
    <mergeCell ref="L44:R44"/>
    <mergeCell ref="L36:R36"/>
    <mergeCell ref="L37:R37"/>
    <mergeCell ref="L38:R38"/>
    <mergeCell ref="L39:R39"/>
    <mergeCell ref="L33:R33"/>
    <mergeCell ref="L30:R30"/>
    <mergeCell ref="L31:R31"/>
    <mergeCell ref="L32:R32"/>
    <mergeCell ref="L34:R34"/>
    <mergeCell ref="L35:R35"/>
    <mergeCell ref="L24:R24"/>
    <mergeCell ref="L25:R25"/>
    <mergeCell ref="L27:R27"/>
    <mergeCell ref="L28:R28"/>
    <mergeCell ref="L29:R29"/>
    <mergeCell ref="L26:R26"/>
    <mergeCell ref="L18:R18"/>
    <mergeCell ref="L20:R20"/>
    <mergeCell ref="L21:R21"/>
    <mergeCell ref="L22:R22"/>
    <mergeCell ref="L23:R23"/>
    <mergeCell ref="L19:R19"/>
    <mergeCell ref="A74:J74"/>
    <mergeCell ref="A79:J79"/>
    <mergeCell ref="A84:J84"/>
    <mergeCell ref="A45:J45"/>
    <mergeCell ref="A50:J50"/>
    <mergeCell ref="A59:J59"/>
    <mergeCell ref="A64:J64"/>
    <mergeCell ref="A69:J69"/>
    <mergeCell ref="A19:J19"/>
    <mergeCell ref="A26:J26"/>
    <mergeCell ref="A33:J33"/>
    <mergeCell ref="A40:J40"/>
    <mergeCell ref="A43:J43"/>
    <mergeCell ref="A17:J17"/>
    <mergeCell ref="A12:J12"/>
    <mergeCell ref="A13:J13"/>
    <mergeCell ref="A1:J1"/>
    <mergeCell ref="B10:J10"/>
    <mergeCell ref="B9:J9"/>
    <mergeCell ref="A14:J14"/>
    <mergeCell ref="A15:J15"/>
    <mergeCell ref="A16:J16"/>
    <mergeCell ref="B3:J3"/>
    <mergeCell ref="A2:J2"/>
    <mergeCell ref="B8:J8"/>
    <mergeCell ref="B7:J7"/>
    <mergeCell ref="B6:J6"/>
    <mergeCell ref="B5:J5"/>
    <mergeCell ref="B4:J4"/>
  </mergeCells>
  <conditionalFormatting sqref="A20:J107">
    <cfRule type="expression" dxfId="114" priority="10" stopIfTrue="1">
      <formula>$A20=0</formula>
    </cfRule>
  </conditionalFormatting>
  <conditionalFormatting sqref="B20:B25 B27:B32 B34:B39 B41:B42">
    <cfRule type="expression" dxfId="113" priority="29">
      <formula>B20&gt;99999999</formula>
    </cfRule>
  </conditionalFormatting>
  <conditionalFormatting sqref="B44 B46:B49 B60:B63 B65:B68 B70:B73 B75:B78 B80:B83 B85:B107">
    <cfRule type="expression" dxfId="112" priority="34">
      <formula>B44&gt;99999999</formula>
    </cfRule>
  </conditionalFormatting>
  <conditionalFormatting sqref="B51:B58">
    <cfRule type="expression" dxfId="111" priority="20">
      <formula>B51&gt;99999999</formula>
    </cfRule>
  </conditionalFormatting>
  <conditionalFormatting sqref="C41:C42">
    <cfRule type="expression" dxfId="110" priority="1">
      <formula>AND(NOT($A41=0),ISBLANK(C41))</formula>
    </cfRule>
    <cfRule type="cellIs" dxfId="109" priority="2" operator="greaterThanOrEqual">
      <formula>1000000</formula>
    </cfRule>
    <cfRule type="cellIs" dxfId="108" priority="3" operator="greaterThanOrEqual">
      <formula>1000</formula>
    </cfRule>
  </conditionalFormatting>
  <conditionalFormatting sqref="C44">
    <cfRule type="expression" dxfId="107" priority="7">
      <formula>AND(NOT($A44=0),ISBLANK(C44))</formula>
    </cfRule>
    <cfRule type="cellIs" dxfId="106" priority="8" operator="greaterThanOrEqual">
      <formula>1000000</formula>
    </cfRule>
    <cfRule type="cellIs" dxfId="105" priority="9" operator="greaterThanOrEqual">
      <formula>1000</formula>
    </cfRule>
  </conditionalFormatting>
  <conditionalFormatting sqref="C20:D25 C27:D32 C34:D39 C41:D42 C44:D44 C46:D49 C60:D63 C65:D68 C70:D73 C75:D78 C80:D83 C85:D107">
    <cfRule type="cellIs" dxfId="104" priority="27" operator="greaterThanOrEqual">
      <formula>1000000</formula>
    </cfRule>
  </conditionalFormatting>
  <conditionalFormatting sqref="C51:D58">
    <cfRule type="cellIs" dxfId="103" priority="17" operator="greaterThanOrEqual">
      <formula>1000000</formula>
    </cfRule>
  </conditionalFormatting>
  <conditionalFormatting sqref="C20:E25 C27:E32 C34:E39 C41:E42 C44:E44 C46:E49 C60:E63 C65:E68 C70:E73 C75:E78 C80:E83 C85:E107">
    <cfRule type="cellIs" dxfId="102" priority="28" operator="greaterThanOrEqual">
      <formula>1000</formula>
    </cfRule>
  </conditionalFormatting>
  <conditionalFormatting sqref="C51:E58">
    <cfRule type="cellIs" dxfId="101" priority="18" operator="greaterThanOrEqual">
      <formula>1000</formula>
    </cfRule>
  </conditionalFormatting>
  <conditionalFormatting sqref="E20:E25 E27:E32 E34:E39 E41:E42 E44 E46:E49 E60:E63 E65:E68 E70:E73 E75:E78 E80:E83 E85:E107 C20:C25 G20:G25 C27:C32 G27:G32 C34:C39 G34:G39 C41:C42 G41:G42 C44 G44 C46:C49 G46:G49 C60:C63 G60:G63 C65:C68 G65:G68 C70:C73 G70:G73 C75:C78 G75:G78 C80:C83 G80:G83 C85:C107 G85:G107">
    <cfRule type="expression" dxfId="100" priority="24">
      <formula>AND(NOT($A20=0),ISBLANK(C20))</formula>
    </cfRule>
  </conditionalFormatting>
  <conditionalFormatting sqref="E20:E25 E27:E32 E34:E39 E41:E42 E44 E46:E49 E60:E63 E65:E68 E70:E73 E75:E78 E80:E83 E85:E107">
    <cfRule type="expression" dxfId="99" priority="23" stopIfTrue="1">
      <formula>AND(NOT(ISBLANK(C20)),C20="No")</formula>
    </cfRule>
    <cfRule type="expression" dxfId="98" priority="30">
      <formula>ISTEXT(E20)</formula>
    </cfRule>
  </conditionalFormatting>
  <conditionalFormatting sqref="E51:E58 C51:C58 G51:G58">
    <cfRule type="expression" dxfId="97" priority="14">
      <formula>AND(NOT($A51=0),ISBLANK(C51))</formula>
    </cfRule>
  </conditionalFormatting>
  <conditionalFormatting sqref="E51:E58">
    <cfRule type="expression" dxfId="96" priority="13" stopIfTrue="1">
      <formula>AND(NOT(ISBLANK(C51)),C51="No")</formula>
    </cfRule>
    <cfRule type="expression" dxfId="95" priority="19">
      <formula>ISTEXT(E51)</formula>
    </cfRule>
  </conditionalFormatting>
  <conditionalFormatting sqref="H20:I25 H27:I32 H34:I39 H41:I42 H44:I44 H46:I49 H60:I63 H65:I68 H70:I73 H75:I78 H80:I83 H85:I107">
    <cfRule type="expression" dxfId="94" priority="25">
      <formula>OR(AND($C20="No",NOT($A20=0),NOT(ISBLANK($G20)),ISBLANK(H20)),AND($C20="Yes",NOT($A20=""),NOT(ISBLANK($E20)),NOT(ISBLANK($G20)),ISBLANK(H20)))</formula>
    </cfRule>
  </conditionalFormatting>
  <conditionalFormatting sqref="H51:I58">
    <cfRule type="expression" dxfId="93" priority="15">
      <formula>OR(AND($C51="No",NOT($A51=0),NOT(ISBLANK($G51)),ISBLANK(H51)),AND($C51="Yes",NOT($A51=""),NOT(ISBLANK($E51)),NOT(ISBLANK($G51)),ISBLANK(H51)))</formula>
    </cfRule>
  </conditionalFormatting>
  <conditionalFormatting sqref="H20:J25 H27:J32 H34:J39 H41:J42 H44:J44 H46:J49 H60:J63 H65:J68 H70:J73 H75:J78 H80:J83 H85:J107">
    <cfRule type="expression" dxfId="92" priority="21" stopIfTrue="1">
      <formula>$G20="No"</formula>
    </cfRule>
  </conditionalFormatting>
  <conditionalFormatting sqref="H51:J58">
    <cfRule type="expression" dxfId="91" priority="11" stopIfTrue="1">
      <formula>$G51="No"</formula>
    </cfRule>
  </conditionalFormatting>
  <conditionalFormatting sqref="J20:J25 J27:J32 J34:J39 J41:J42 J44 J46:J49 J60:J63 J65:J68 J70:J73 J75:J78 J80:J83 J85:J107">
    <cfRule type="expression" dxfId="90" priority="22" stopIfTrue="1">
      <formula>AND(NOT(ISBLANK($I20)),NOT($I20="Other"))</formula>
    </cfRule>
    <cfRule type="expression" dxfId="89" priority="26">
      <formula>OR(AND(C20="No",NOT(A20=0),NOT(ISBLANK(G20)),NOT(ISBLANK(H20)),I20="Other",ISBLANK(J20)),AND(C20="Yes",NOT(A20=""),NOT(ISBLANK(E20)),NOT(ISBLANK(G20)),NOT(ISBLANK(H20)),I20="Other",ISBLANK(J20)))</formula>
    </cfRule>
  </conditionalFormatting>
  <conditionalFormatting sqref="J51:J58">
    <cfRule type="expression" dxfId="88" priority="12" stopIfTrue="1">
      <formula>AND(NOT(ISBLANK($I51)),NOT($I51="Other"))</formula>
    </cfRule>
    <cfRule type="expression" dxfId="87" priority="16">
      <formula>OR(AND(C51="No",NOT(A51=0),NOT(ISBLANK(G51)),NOT(ISBLANK(H51)),I51="Other",ISBLANK(J51)),AND(C51="Yes",NOT(A51=""),NOT(ISBLANK(E51)),NOT(ISBLANK(G51)),NOT(ISBLANK(H51)),I51="Other",ISBLANK(J51)))</formula>
    </cfRule>
  </conditionalFormatting>
  <dataValidations xWindow="683" yWindow="717" count="3">
    <dataValidation type="list" errorStyle="warning" showInputMessage="1" showErrorMessage="1" errorTitle="Invalid Entry" error="Must select either &quot;Yes&quot; or &quot;No&quot;!" promptTitle="Emission Controls" prompt="Select &quot;Yes&quot; if you are willing to apply emission controls on this emission unit, and select &quot;No&quot; if you are not." sqref="G20:G25 G27:G32 G80:G83 G75:G78 G70:G73 G65:G68 G60:G63 G85:G107 G46:G49 G44 G41:G42 G34:G39 G51 G53 G55 G57" xr:uid="{00000000-0002-0000-0E00-000000000000}">
      <formula1>$U$19:$U$20</formula1>
    </dataValidation>
    <dataValidation type="list" errorStyle="warning" showInputMessage="1" showErrorMessage="1" errorTitle="Invalid Entry" error="Must select either &quot;Yes&quot; or &quot;No&quot;!" promptTitle="Throughput Limit" prompt="Select &quot;Yes&quot; if you are willing to accept a throughput limit on this emission unit, and select &quot;No&quot; if you are not." sqref="C20:C25 C34:C39 C80:C83 C75:C78 C70:C73 C65:C68 C60:C63 C85:C107 C46:C49 C57 C27:C32 C51 C53 C55" xr:uid="{00000000-0002-0000-0E00-000001000000}">
      <formula1>$T$19:$T$20</formula1>
    </dataValidation>
    <dataValidation type="list" errorStyle="warning" allowBlank="1" showInputMessage="1" showErrorMessage="1" promptTitle="Control Device" prompt="Select the applicable control device.  If device is not included in list, select 'Other'." sqref="I20:I25 I51:I58 I80:I83 I75:I78 I70:I73 I65:I68 I60:I63 I85:I107 I46:I49 I44 I41:I42 I34:I39 I27:I32" xr:uid="{00000000-0002-0000-0E00-000002000000}">
      <formula1>$V$19:$V$32</formula1>
    </dataValidation>
  </dataValidations>
  <printOptions horizontalCentered="1"/>
  <pageMargins left="0.5" right="0.5" top="0.5" bottom="0.5" header="0.3" footer="0.3"/>
  <pageSetup scale="74" fitToHeight="0" orientation="landscape" r:id="rId1"/>
  <headerFooter>
    <oddFooter>&amp;LRev. 2/2014&amp;C&amp;A&amp;RPage &amp;P</oddFooter>
  </headerFooter>
  <rowBreaks count="2" manualBreakCount="2">
    <brk id="49" max="9" man="1"/>
    <brk id="78" max="9" man="1"/>
  </rowBreaks>
  <ignoredErrors>
    <ignoredError sqref="L44" formula="1"/>
  </ignoredError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2060"/>
    <pageSetUpPr fitToPage="1"/>
  </sheetPr>
  <dimension ref="A1:Y57"/>
  <sheetViews>
    <sheetView showGridLines="0" zoomScaleNormal="100" workbookViewId="0">
      <selection sqref="A1:M1"/>
    </sheetView>
  </sheetViews>
  <sheetFormatPr defaultRowHeight="14.25" x14ac:dyDescent="0.25"/>
  <cols>
    <col min="1" max="1" width="10.28515625" style="130" customWidth="1"/>
    <col min="2" max="3" width="16.7109375" style="48" customWidth="1"/>
    <col min="4" max="4" width="12.7109375" style="48" customWidth="1"/>
    <col min="5" max="14" width="11.7109375" style="48" customWidth="1"/>
    <col min="15" max="15" width="3.7109375" style="48" customWidth="1"/>
    <col min="16" max="16384" width="9.140625" style="48"/>
  </cols>
  <sheetData>
    <row r="1" spans="1:14" s="69" customFormat="1" ht="26.25" customHeight="1" thickBot="1" x14ac:dyDescent="0.3">
      <c r="A1" s="1122" t="s">
        <v>1843</v>
      </c>
      <c r="B1" s="1122"/>
      <c r="C1" s="1122"/>
      <c r="D1" s="1122"/>
      <c r="E1" s="1122"/>
      <c r="F1" s="1122"/>
      <c r="G1" s="1122"/>
      <c r="H1" s="1122"/>
      <c r="I1" s="1122"/>
      <c r="J1" s="1122"/>
      <c r="K1" s="1122"/>
      <c r="L1" s="1122"/>
      <c r="M1" s="1122"/>
    </row>
    <row r="2" spans="1:14" s="484" customFormat="1" ht="42.75" customHeight="1" x14ac:dyDescent="0.25">
      <c r="A2" s="1313" t="s">
        <v>2170</v>
      </c>
      <c r="B2" s="1313"/>
      <c r="C2" s="1313"/>
      <c r="D2" s="1313"/>
      <c r="E2" s="1313"/>
      <c r="F2" s="1313"/>
      <c r="G2" s="1313"/>
      <c r="H2" s="1313"/>
      <c r="I2" s="1313"/>
      <c r="J2" s="1313"/>
      <c r="K2" s="1313"/>
      <c r="L2" s="1313"/>
      <c r="M2" s="1313"/>
      <c r="N2" s="1313"/>
    </row>
    <row r="3" spans="1:14" s="164" customFormat="1" ht="54.95" customHeight="1" x14ac:dyDescent="0.25">
      <c r="A3" s="1077" t="s">
        <v>1853</v>
      </c>
      <c r="B3" s="1077"/>
      <c r="C3" s="1077"/>
      <c r="D3" s="1077"/>
      <c r="E3" s="1077"/>
      <c r="F3" s="1077"/>
      <c r="G3" s="1077"/>
      <c r="H3" s="1077"/>
      <c r="I3" s="1077"/>
      <c r="J3" s="1077"/>
      <c r="K3" s="1077"/>
      <c r="L3" s="1077"/>
      <c r="M3" s="1077"/>
      <c r="N3" s="1077"/>
    </row>
    <row r="4" spans="1:14" s="172" customFormat="1" ht="54.95" customHeight="1" x14ac:dyDescent="0.25">
      <c r="A4" s="478">
        <v>1</v>
      </c>
      <c r="B4" s="1173" t="s">
        <v>1850</v>
      </c>
      <c r="C4" s="1173"/>
      <c r="D4" s="1173"/>
      <c r="E4" s="1173"/>
      <c r="F4" s="1173"/>
      <c r="G4" s="1173"/>
      <c r="H4" s="1173"/>
      <c r="I4" s="1173"/>
      <c r="J4" s="1173"/>
      <c r="K4" s="1173"/>
      <c r="L4" s="1173"/>
      <c r="M4" s="1173"/>
      <c r="N4" s="1173"/>
    </row>
    <row r="5" spans="1:14" s="172" customFormat="1" ht="54.95" customHeight="1" x14ac:dyDescent="0.25">
      <c r="A5" s="478">
        <v>2</v>
      </c>
      <c r="B5" s="1173" t="s">
        <v>1849</v>
      </c>
      <c r="C5" s="1173"/>
      <c r="D5" s="1173"/>
      <c r="E5" s="1173"/>
      <c r="F5" s="1173"/>
      <c r="G5" s="1173"/>
      <c r="H5" s="1173"/>
      <c r="I5" s="1173"/>
      <c r="J5" s="1173"/>
      <c r="K5" s="1173"/>
      <c r="L5" s="1173"/>
      <c r="M5" s="1173"/>
      <c r="N5" s="1173"/>
    </row>
    <row r="6" spans="1:14" s="172" customFormat="1" ht="39.950000000000003" customHeight="1" x14ac:dyDescent="0.25">
      <c r="A6" s="478">
        <v>3</v>
      </c>
      <c r="B6" s="1173" t="s">
        <v>1851</v>
      </c>
      <c r="C6" s="1173"/>
      <c r="D6" s="1173"/>
      <c r="E6" s="1173"/>
      <c r="F6" s="1173"/>
      <c r="G6" s="1173"/>
      <c r="H6" s="1173"/>
      <c r="I6" s="1173"/>
      <c r="J6" s="1173"/>
      <c r="K6" s="1173"/>
      <c r="L6" s="1173"/>
      <c r="M6" s="1173"/>
      <c r="N6" s="1173"/>
    </row>
    <row r="7" spans="1:14" s="467" customFormat="1" ht="39.950000000000003" customHeight="1" x14ac:dyDescent="0.25">
      <c r="A7" s="478">
        <v>4</v>
      </c>
      <c r="B7" s="1173" t="s">
        <v>1852</v>
      </c>
      <c r="C7" s="1173"/>
      <c r="D7" s="1173"/>
      <c r="E7" s="1173"/>
      <c r="F7" s="1173"/>
      <c r="G7" s="1173"/>
      <c r="H7" s="1173"/>
      <c r="I7" s="1173"/>
      <c r="J7" s="1173"/>
      <c r="K7" s="1173"/>
      <c r="L7" s="1173"/>
      <c r="M7" s="1173"/>
      <c r="N7" s="1173"/>
    </row>
    <row r="8" spans="1:14" s="172" customFormat="1" ht="24.95" customHeight="1" thickBot="1" x14ac:dyDescent="0.3">
      <c r="A8" s="478">
        <v>5</v>
      </c>
      <c r="B8" s="1173" t="s">
        <v>1848</v>
      </c>
      <c r="C8" s="1173"/>
      <c r="D8" s="1173"/>
      <c r="E8" s="1173"/>
      <c r="F8" s="1173"/>
      <c r="G8" s="1173"/>
      <c r="H8" s="1173"/>
      <c r="I8" s="1173"/>
      <c r="J8" s="1173"/>
      <c r="K8" s="1173"/>
      <c r="L8" s="1173"/>
      <c r="M8" s="1173"/>
      <c r="N8" s="1173"/>
    </row>
    <row r="9" spans="1:14" ht="60.75" thickBot="1" x14ac:dyDescent="0.3">
      <c r="A9" s="106" t="s">
        <v>1840</v>
      </c>
      <c r="B9" s="107" t="s">
        <v>271</v>
      </c>
      <c r="C9" s="107" t="s">
        <v>1847</v>
      </c>
      <c r="D9" s="107" t="s">
        <v>1846</v>
      </c>
      <c r="E9" s="108" t="s">
        <v>26</v>
      </c>
      <c r="F9" s="109" t="s">
        <v>30</v>
      </c>
      <c r="G9" s="109" t="s">
        <v>3</v>
      </c>
      <c r="H9" s="109" t="s">
        <v>4</v>
      </c>
      <c r="I9" s="109" t="s">
        <v>0</v>
      </c>
      <c r="J9" s="109" t="s">
        <v>5</v>
      </c>
      <c r="K9" s="109" t="s">
        <v>2342</v>
      </c>
      <c r="L9" s="109" t="s">
        <v>24</v>
      </c>
      <c r="M9" s="109" t="s">
        <v>1842</v>
      </c>
      <c r="N9" s="110" t="s">
        <v>25</v>
      </c>
    </row>
    <row r="10" spans="1:14" ht="18" customHeight="1" x14ac:dyDescent="0.25">
      <c r="A10" s="396" t="s">
        <v>2173</v>
      </c>
      <c r="B10" s="250">
        <v>20100102</v>
      </c>
      <c r="C10" s="322" t="s">
        <v>73</v>
      </c>
      <c r="D10" s="251" t="s">
        <v>75</v>
      </c>
      <c r="E10" s="476">
        <v>0</v>
      </c>
      <c r="F10" s="323">
        <v>0</v>
      </c>
      <c r="G10" s="323">
        <v>40000</v>
      </c>
      <c r="H10" s="323">
        <v>0</v>
      </c>
      <c r="I10" s="323">
        <v>0</v>
      </c>
      <c r="J10" s="323">
        <v>0</v>
      </c>
      <c r="K10" s="323">
        <v>0</v>
      </c>
      <c r="L10" s="323">
        <v>0</v>
      </c>
      <c r="M10" s="323">
        <v>0</v>
      </c>
      <c r="N10" s="631">
        <v>0</v>
      </c>
    </row>
    <row r="11" spans="1:14" ht="18" customHeight="1" x14ac:dyDescent="0.25">
      <c r="A11" s="397" t="s">
        <v>2174</v>
      </c>
      <c r="B11" s="253">
        <v>10200602</v>
      </c>
      <c r="C11" s="471" t="s">
        <v>73</v>
      </c>
      <c r="D11" s="252" t="s">
        <v>73</v>
      </c>
      <c r="E11" s="632">
        <v>0</v>
      </c>
      <c r="F11" s="633">
        <v>0</v>
      </c>
      <c r="G11" s="633">
        <v>0</v>
      </c>
      <c r="H11" s="633">
        <v>0</v>
      </c>
      <c r="I11" s="633">
        <v>0</v>
      </c>
      <c r="J11" s="633">
        <v>0</v>
      </c>
      <c r="K11" s="633">
        <v>0</v>
      </c>
      <c r="L11" s="633">
        <v>0</v>
      </c>
      <c r="M11" s="633">
        <v>0</v>
      </c>
      <c r="N11" s="634">
        <v>0</v>
      </c>
    </row>
    <row r="12" spans="1:14" ht="18" customHeight="1" x14ac:dyDescent="0.25">
      <c r="A12" s="397" t="s">
        <v>2175</v>
      </c>
      <c r="B12" s="253">
        <v>10200501</v>
      </c>
      <c r="C12" s="471" t="s">
        <v>73</v>
      </c>
      <c r="D12" s="252" t="s">
        <v>73</v>
      </c>
      <c r="E12" s="477">
        <v>0</v>
      </c>
      <c r="F12" s="328">
        <v>0</v>
      </c>
      <c r="G12" s="328">
        <v>0</v>
      </c>
      <c r="H12" s="328">
        <v>0</v>
      </c>
      <c r="I12" s="328">
        <v>0</v>
      </c>
      <c r="J12" s="328">
        <v>0</v>
      </c>
      <c r="K12" s="328">
        <v>0</v>
      </c>
      <c r="L12" s="328">
        <v>0</v>
      </c>
      <c r="M12" s="328">
        <v>0</v>
      </c>
      <c r="N12" s="329">
        <v>0</v>
      </c>
    </row>
    <row r="13" spans="1:14" ht="18" customHeight="1" x14ac:dyDescent="0.25">
      <c r="A13" s="397" t="s">
        <v>2176</v>
      </c>
      <c r="B13" s="253">
        <v>40400204</v>
      </c>
      <c r="C13" s="471" t="s">
        <v>73</v>
      </c>
      <c r="D13" s="252" t="s">
        <v>75</v>
      </c>
      <c r="E13" s="477">
        <v>0</v>
      </c>
      <c r="F13" s="328">
        <v>0</v>
      </c>
      <c r="G13" s="328">
        <v>0</v>
      </c>
      <c r="H13" s="328">
        <v>0</v>
      </c>
      <c r="I13" s="328">
        <v>5000</v>
      </c>
      <c r="J13" s="328">
        <v>0</v>
      </c>
      <c r="K13" s="328">
        <v>0</v>
      </c>
      <c r="L13" s="328">
        <v>0</v>
      </c>
      <c r="M13" s="328">
        <v>0</v>
      </c>
      <c r="N13" s="329">
        <v>0</v>
      </c>
    </row>
    <row r="14" spans="1:14" ht="18" customHeight="1" x14ac:dyDescent="0.25">
      <c r="A14" s="397" t="s">
        <v>2177</v>
      </c>
      <c r="B14" s="253">
        <v>40400107</v>
      </c>
      <c r="C14" s="471" t="s">
        <v>73</v>
      </c>
      <c r="D14" s="252" t="s">
        <v>75</v>
      </c>
      <c r="E14" s="477">
        <v>0</v>
      </c>
      <c r="F14" s="328">
        <v>0</v>
      </c>
      <c r="G14" s="328">
        <v>0</v>
      </c>
      <c r="H14" s="328">
        <v>0</v>
      </c>
      <c r="I14" s="328">
        <v>5000</v>
      </c>
      <c r="J14" s="328">
        <v>0</v>
      </c>
      <c r="K14" s="328">
        <v>0</v>
      </c>
      <c r="L14" s="328">
        <v>0</v>
      </c>
      <c r="M14" s="328">
        <v>0</v>
      </c>
      <c r="N14" s="329">
        <v>0</v>
      </c>
    </row>
    <row r="15" spans="1:14" s="68" customFormat="1" ht="30.75" customHeight="1" x14ac:dyDescent="0.25">
      <c r="A15" s="1319" t="s">
        <v>2166</v>
      </c>
      <c r="B15" s="1319"/>
      <c r="C15" s="1319"/>
      <c r="D15" s="1319"/>
      <c r="E15" s="1319"/>
      <c r="F15" s="1319"/>
      <c r="G15" s="1319"/>
      <c r="H15" s="1319"/>
      <c r="I15" s="1319"/>
      <c r="J15" s="1319"/>
      <c r="K15" s="1319"/>
      <c r="L15" s="1319"/>
      <c r="M15" s="1319"/>
      <c r="N15" s="1319"/>
    </row>
    <row r="16" spans="1:14" s="68" customFormat="1" ht="35.1" customHeight="1" thickBot="1" x14ac:dyDescent="0.3">
      <c r="A16" s="1099"/>
      <c r="B16" s="1099"/>
      <c r="C16" s="1099"/>
      <c r="D16" s="1099"/>
      <c r="E16" s="1099"/>
      <c r="F16" s="1099"/>
      <c r="G16" s="1099"/>
      <c r="H16" s="1099"/>
      <c r="I16" s="1099"/>
      <c r="J16" s="1099"/>
      <c r="K16" s="1099"/>
      <c r="L16" s="1099"/>
      <c r="M16" s="1099"/>
      <c r="N16" s="1099"/>
    </row>
    <row r="17" spans="1:25" s="70" customFormat="1" ht="19.5" thickBot="1" x14ac:dyDescent="0.3">
      <c r="A17" s="1087" t="s">
        <v>1449</v>
      </c>
      <c r="B17" s="1087"/>
      <c r="C17" s="1087"/>
      <c r="D17" s="1087"/>
      <c r="E17" s="1087"/>
      <c r="F17" s="1087"/>
      <c r="G17" s="1087"/>
      <c r="H17" s="1087"/>
      <c r="I17" s="1087"/>
      <c r="J17" s="1087"/>
      <c r="K17" s="1087"/>
      <c r="L17" s="1087"/>
      <c r="M17" s="1087"/>
    </row>
    <row r="18" spans="1:25" ht="60" customHeight="1" x14ac:dyDescent="0.25">
      <c r="A18" s="1179"/>
      <c r="B18" s="1179"/>
      <c r="C18" s="1179"/>
      <c r="D18" s="1179"/>
      <c r="E18" s="1179"/>
      <c r="F18" s="1179"/>
      <c r="G18" s="1179"/>
      <c r="H18" s="1179"/>
      <c r="I18" s="1179"/>
      <c r="J18" s="1179"/>
      <c r="K18" s="1179"/>
      <c r="L18" s="1179"/>
      <c r="M18" s="1179"/>
      <c r="N18" s="1179"/>
    </row>
    <row r="19" spans="1:25" ht="24.95" customHeight="1" thickBot="1" x14ac:dyDescent="0.3">
      <c r="A19" s="1169" t="s">
        <v>2167</v>
      </c>
      <c r="B19" s="1169"/>
      <c r="C19" s="1169"/>
      <c r="D19" s="1169"/>
      <c r="E19" s="1169"/>
      <c r="F19" s="1169"/>
      <c r="G19" s="1169"/>
      <c r="H19" s="1169"/>
      <c r="I19" s="1169"/>
      <c r="J19" s="1169"/>
      <c r="K19" s="1169"/>
      <c r="L19" s="1169"/>
      <c r="M19" s="1169"/>
      <c r="N19" s="1169"/>
    </row>
    <row r="20" spans="1:25" ht="30" customHeight="1" thickBot="1" x14ac:dyDescent="0.3">
      <c r="A20" s="1298" t="s">
        <v>2180</v>
      </c>
      <c r="B20" s="1299"/>
      <c r="C20" s="1299"/>
      <c r="D20" s="1299"/>
      <c r="E20" s="1299"/>
      <c r="F20" s="1299"/>
      <c r="G20" s="1299"/>
      <c r="H20" s="1299"/>
      <c r="I20" s="1299"/>
      <c r="J20" s="1299"/>
      <c r="K20" s="1299"/>
      <c r="L20" s="1299"/>
      <c r="M20" s="1299"/>
      <c r="N20" s="1300"/>
    </row>
    <row r="21" spans="1:25" ht="39.950000000000003" customHeight="1" thickBot="1" x14ac:dyDescent="0.3">
      <c r="A21" s="1314" t="s">
        <v>2182</v>
      </c>
      <c r="B21" s="1315"/>
      <c r="C21" s="1315"/>
      <c r="D21" s="1315"/>
      <c r="E21" s="1315"/>
      <c r="F21" s="1315"/>
      <c r="G21" s="1315"/>
      <c r="H21" s="1315"/>
      <c r="I21" s="1315"/>
      <c r="J21" s="1315"/>
      <c r="K21" s="1315"/>
      <c r="L21" s="1315"/>
      <c r="M21" s="1315"/>
      <c r="N21" s="1315"/>
    </row>
    <row r="22" spans="1:25" ht="39.950000000000003" customHeight="1" thickBot="1" x14ac:dyDescent="0.3">
      <c r="A22" s="1322" t="s">
        <v>2179</v>
      </c>
      <c r="B22" s="1323"/>
      <c r="C22" s="1324"/>
      <c r="D22" s="480" t="s">
        <v>1844</v>
      </c>
      <c r="E22" s="725" t="s">
        <v>26</v>
      </c>
      <c r="F22" s="722" t="s">
        <v>30</v>
      </c>
      <c r="G22" s="722" t="s">
        <v>3</v>
      </c>
      <c r="H22" s="722" t="s">
        <v>4</v>
      </c>
      <c r="I22" s="722" t="s">
        <v>0</v>
      </c>
      <c r="J22" s="722" t="s">
        <v>5</v>
      </c>
      <c r="K22" s="722" t="s">
        <v>2342</v>
      </c>
      <c r="L22" s="722" t="s">
        <v>24</v>
      </c>
      <c r="M22" s="722" t="s">
        <v>1842</v>
      </c>
      <c r="N22" s="726" t="s">
        <v>25</v>
      </c>
      <c r="Q22" s="474" t="b">
        <v>0</v>
      </c>
      <c r="R22" s="474" t="b">
        <v>0</v>
      </c>
      <c r="S22" s="48" t="b">
        <f>IF(OR(AND($Q$22=FALSE,$R$22=FALSE),AND($Q$22=TRUE,$R$22=TRUE)),FALSE,TRUE)</f>
        <v>0</v>
      </c>
      <c r="Y22" s="48" t="s">
        <v>75</v>
      </c>
    </row>
    <row r="23" spans="1:25" ht="39.950000000000003" customHeight="1" thickBot="1" x14ac:dyDescent="0.3">
      <c r="A23" s="1325"/>
      <c r="B23" s="1326"/>
      <c r="C23" s="1327"/>
      <c r="D23" s="481" t="s">
        <v>1845</v>
      </c>
      <c r="E23" s="475"/>
      <c r="F23" s="468"/>
      <c r="G23" s="468"/>
      <c r="H23" s="468"/>
      <c r="I23" s="468"/>
      <c r="J23" s="468"/>
      <c r="K23" s="468"/>
      <c r="L23" s="468"/>
      <c r="M23" s="468"/>
      <c r="N23" s="469"/>
      <c r="Y23" s="48" t="s">
        <v>73</v>
      </c>
    </row>
    <row r="24" spans="1:25" ht="15" customHeight="1" thickBot="1" x14ac:dyDescent="0.3">
      <c r="A24" s="1316"/>
      <c r="B24" s="1317"/>
      <c r="C24" s="1317"/>
      <c r="D24" s="1317"/>
      <c r="E24" s="1317"/>
      <c r="F24" s="1317"/>
      <c r="G24" s="1317"/>
      <c r="H24" s="1317"/>
      <c r="I24" s="1317"/>
      <c r="J24" s="1317"/>
      <c r="K24" s="1317"/>
      <c r="L24" s="1317"/>
      <c r="M24" s="1317"/>
      <c r="N24" s="1318"/>
    </row>
    <row r="25" spans="1:25" ht="30" customHeight="1" thickBot="1" x14ac:dyDescent="0.3">
      <c r="A25" s="1298" t="s">
        <v>2181</v>
      </c>
      <c r="B25" s="1299"/>
      <c r="C25" s="1299"/>
      <c r="D25" s="1299"/>
      <c r="E25" s="1299"/>
      <c r="F25" s="1299"/>
      <c r="G25" s="1299"/>
      <c r="H25" s="1299"/>
      <c r="I25" s="1299"/>
      <c r="J25" s="1299"/>
      <c r="K25" s="1299"/>
      <c r="L25" s="1299"/>
      <c r="M25" s="1299"/>
      <c r="N25" s="1300"/>
    </row>
    <row r="26" spans="1:25" ht="54.95" customHeight="1" thickBot="1" x14ac:dyDescent="0.3">
      <c r="A26" s="1314" t="s">
        <v>2183</v>
      </c>
      <c r="B26" s="1315"/>
      <c r="C26" s="1315"/>
      <c r="D26" s="1315"/>
      <c r="E26" s="1315"/>
      <c r="F26" s="1315"/>
      <c r="G26" s="1315"/>
      <c r="H26" s="1315"/>
      <c r="I26" s="1315"/>
      <c r="J26" s="1315"/>
      <c r="K26" s="1315"/>
      <c r="L26" s="1315"/>
      <c r="M26" s="1315"/>
      <c r="N26" s="1315"/>
    </row>
    <row r="27" spans="1:25" ht="50.1" customHeight="1" thickBot="1" x14ac:dyDescent="0.3">
      <c r="A27" s="1322" t="s">
        <v>2184</v>
      </c>
      <c r="B27" s="1323"/>
      <c r="C27" s="1324"/>
      <c r="D27" s="480" t="s">
        <v>1844</v>
      </c>
      <c r="E27" s="725" t="s">
        <v>26</v>
      </c>
      <c r="F27" s="722" t="s">
        <v>30</v>
      </c>
      <c r="G27" s="722" t="s">
        <v>3</v>
      </c>
      <c r="H27" s="722" t="s">
        <v>4</v>
      </c>
      <c r="I27" s="722" t="s">
        <v>0</v>
      </c>
      <c r="J27" s="722" t="s">
        <v>5</v>
      </c>
      <c r="K27" s="722" t="s">
        <v>2342</v>
      </c>
      <c r="L27" s="722" t="s">
        <v>24</v>
      </c>
      <c r="M27" s="722" t="s">
        <v>1842</v>
      </c>
      <c r="N27" s="726" t="s">
        <v>25</v>
      </c>
      <c r="Q27" s="474" t="b">
        <v>0</v>
      </c>
      <c r="R27" s="474" t="b">
        <v>0</v>
      </c>
      <c r="S27" s="48" t="b">
        <f>IF(OR(AND($Q$27=FALSE,$R$27=FALSE),AND($Q$27=TRUE,$R$27=TRUE)),FALSE,TRUE)</f>
        <v>0</v>
      </c>
    </row>
    <row r="28" spans="1:25" ht="50.1" customHeight="1" thickBot="1" x14ac:dyDescent="0.3">
      <c r="A28" s="1325"/>
      <c r="B28" s="1326"/>
      <c r="C28" s="1327"/>
      <c r="D28" s="481" t="s">
        <v>1845</v>
      </c>
      <c r="E28" s="475"/>
      <c r="F28" s="468"/>
      <c r="G28" s="468"/>
      <c r="H28" s="468"/>
      <c r="I28" s="468"/>
      <c r="J28" s="468"/>
      <c r="K28" s="468"/>
      <c r="L28" s="468"/>
      <c r="M28" s="468"/>
      <c r="N28" s="469"/>
    </row>
    <row r="29" spans="1:25" ht="60" customHeight="1" x14ac:dyDescent="0.25">
      <c r="A29" s="1179"/>
      <c r="B29" s="1179"/>
      <c r="C29" s="1179"/>
      <c r="D29" s="1179"/>
      <c r="E29" s="1179"/>
      <c r="F29" s="1179"/>
      <c r="G29" s="1179"/>
      <c r="H29" s="1179"/>
      <c r="I29" s="1179"/>
      <c r="J29" s="1179"/>
      <c r="K29" s="1179"/>
      <c r="L29" s="1179"/>
      <c r="M29" s="1179"/>
      <c r="N29" s="1179"/>
    </row>
    <row r="30" spans="1:25" ht="24.95" customHeight="1" thickBot="1" x14ac:dyDescent="0.3">
      <c r="A30" s="1169" t="s">
        <v>2167</v>
      </c>
      <c r="B30" s="1169"/>
      <c r="C30" s="1169"/>
      <c r="D30" s="1169"/>
      <c r="E30" s="1169"/>
      <c r="F30" s="1169"/>
      <c r="G30" s="1169"/>
      <c r="H30" s="1169"/>
      <c r="I30" s="1169"/>
      <c r="J30" s="1169"/>
      <c r="K30" s="1169"/>
      <c r="L30" s="1169"/>
      <c r="M30" s="1169"/>
      <c r="N30" s="1169"/>
    </row>
    <row r="31" spans="1:25" ht="24.95" customHeight="1" thickBot="1" x14ac:dyDescent="0.3">
      <c r="A31" s="1298" t="s">
        <v>2185</v>
      </c>
      <c r="B31" s="1299"/>
      <c r="C31" s="1299"/>
      <c r="D31" s="1299"/>
      <c r="E31" s="1299"/>
      <c r="F31" s="1299"/>
      <c r="G31" s="1299"/>
      <c r="H31" s="1299"/>
      <c r="I31" s="1299"/>
      <c r="J31" s="1299"/>
      <c r="K31" s="1299"/>
      <c r="L31" s="1299"/>
      <c r="M31" s="1299"/>
      <c r="N31" s="1300"/>
    </row>
    <row r="32" spans="1:25" s="635" customFormat="1" ht="39.950000000000003" customHeight="1" thickBot="1" x14ac:dyDescent="0.25">
      <c r="A32" s="1320" t="s">
        <v>2171</v>
      </c>
      <c r="B32" s="1321"/>
      <c r="C32" s="1321"/>
      <c r="D32" s="1321"/>
      <c r="E32" s="1321"/>
      <c r="F32" s="1321"/>
      <c r="G32" s="1321"/>
      <c r="H32" s="1321"/>
      <c r="I32" s="1321"/>
      <c r="J32" s="1321"/>
      <c r="K32" s="1321"/>
      <c r="L32" s="1321"/>
      <c r="M32" s="1321"/>
      <c r="N32" s="1321"/>
    </row>
    <row r="33" spans="1:14" ht="60.75" thickBot="1" x14ac:dyDescent="0.3">
      <c r="A33" s="723" t="s">
        <v>1840</v>
      </c>
      <c r="B33" s="724" t="s">
        <v>271</v>
      </c>
      <c r="C33" s="724" t="s">
        <v>1847</v>
      </c>
      <c r="D33" s="724" t="s">
        <v>1846</v>
      </c>
      <c r="E33" s="725" t="s">
        <v>26</v>
      </c>
      <c r="F33" s="722" t="s">
        <v>30</v>
      </c>
      <c r="G33" s="722" t="s">
        <v>3</v>
      </c>
      <c r="H33" s="722" t="s">
        <v>4</v>
      </c>
      <c r="I33" s="722" t="s">
        <v>0</v>
      </c>
      <c r="J33" s="722" t="s">
        <v>5</v>
      </c>
      <c r="K33" s="722" t="s">
        <v>2342</v>
      </c>
      <c r="L33" s="722" t="s">
        <v>24</v>
      </c>
      <c r="M33" s="722" t="s">
        <v>1842</v>
      </c>
      <c r="N33" s="726" t="s">
        <v>25</v>
      </c>
    </row>
    <row r="34" spans="1:14" ht="18" customHeight="1" x14ac:dyDescent="0.25">
      <c r="A34" s="1301" t="s">
        <v>1948</v>
      </c>
      <c r="B34" s="1302"/>
      <c r="C34" s="1302"/>
      <c r="D34" s="1302"/>
      <c r="E34" s="1302"/>
      <c r="F34" s="1302"/>
      <c r="G34" s="1302"/>
      <c r="H34" s="1302"/>
      <c r="I34" s="1302"/>
      <c r="J34" s="1302"/>
      <c r="K34" s="1302"/>
      <c r="L34" s="1302"/>
      <c r="M34" s="1302"/>
      <c r="N34" s="1303"/>
    </row>
    <row r="35" spans="1:14" ht="18" customHeight="1" x14ac:dyDescent="0.25">
      <c r="A35" s="308" t="str">
        <f>IF(ISBLANK('Table 3-A| Emission Units'!A108),"",'Table 3-A| Emission Units'!A108&amp;"-"&amp;'Table 3-A| Emission Units'!B108)</f>
        <v/>
      </c>
      <c r="B35" s="309" t="str">
        <f>IF(OR(ISBLANK('Table 3-A| Emission Units'!C108),ISTEXT('Table 3-A| Emission Units'!C108)),"",'Table 3-A| Emission Units'!C108)</f>
        <v/>
      </c>
      <c r="C35" s="311" t="str">
        <f>IF(AND(ISBLANK('Table 6-A| Controls &amp; Limits'!C85),ISBLANK('Table 6-A| Controls &amp; Limits'!G85)),"",IF(OR('Table 6-A| Controls &amp; Limits'!C85="Yes",'Table 6-A| Controls &amp; Limits'!G85="Yes"),"Yes","No"))</f>
        <v/>
      </c>
      <c r="D35" s="247"/>
      <c r="E35" s="472"/>
      <c r="F35" s="313"/>
      <c r="G35" s="313"/>
      <c r="H35" s="313"/>
      <c r="I35" s="313"/>
      <c r="J35" s="313"/>
      <c r="K35" s="313"/>
      <c r="L35" s="313"/>
      <c r="M35" s="313"/>
      <c r="N35" s="314"/>
    </row>
    <row r="36" spans="1:14" ht="18" customHeight="1" x14ac:dyDescent="0.25">
      <c r="A36" s="308" t="str">
        <f>IF(ISBLANK('Table 3-A| Emission Units'!A109),"",'Table 3-A| Emission Units'!A109&amp;"-"&amp;'Table 3-A| Emission Units'!B109)</f>
        <v/>
      </c>
      <c r="B36" s="309" t="str">
        <f>IF(OR(ISBLANK('Table 3-A| Emission Units'!C109),ISTEXT('Table 3-A| Emission Units'!C109)),"",'Table 3-A| Emission Units'!C109)</f>
        <v/>
      </c>
      <c r="C36" s="311" t="str">
        <f>IF(AND(ISBLANK('Table 6-A| Controls &amp; Limits'!C86),ISBLANK('Table 6-A| Controls &amp; Limits'!G86)),"",IF(OR('Table 6-A| Controls &amp; Limits'!C86="Yes",'Table 6-A| Controls &amp; Limits'!G86="Yes"),"Yes","No"))</f>
        <v/>
      </c>
      <c r="D36" s="247"/>
      <c r="E36" s="472"/>
      <c r="F36" s="313"/>
      <c r="G36" s="313"/>
      <c r="H36" s="313"/>
      <c r="I36" s="313"/>
      <c r="J36" s="313"/>
      <c r="K36" s="313"/>
      <c r="L36" s="313"/>
      <c r="M36" s="313"/>
      <c r="N36" s="314"/>
    </row>
    <row r="37" spans="1:14" ht="18" customHeight="1" x14ac:dyDescent="0.25">
      <c r="A37" s="308" t="str">
        <f>IF(ISBLANK('Table 3-A| Emission Units'!A110),"",'Table 3-A| Emission Units'!A110&amp;"-"&amp;'Table 3-A| Emission Units'!B110)</f>
        <v/>
      </c>
      <c r="B37" s="309" t="str">
        <f>IF(OR(ISBLANK('Table 3-A| Emission Units'!C110),ISTEXT('Table 3-A| Emission Units'!C110)),"",'Table 3-A| Emission Units'!C110)</f>
        <v/>
      </c>
      <c r="C37" s="311" t="str">
        <f>IF(AND(ISBLANK('Table 6-A| Controls &amp; Limits'!C87),ISBLANK('Table 6-A| Controls &amp; Limits'!G87)),"",IF(OR('Table 6-A| Controls &amp; Limits'!C87="Yes",'Table 6-A| Controls &amp; Limits'!G87="Yes"),"Yes","No"))</f>
        <v/>
      </c>
      <c r="D37" s="247"/>
      <c r="E37" s="472"/>
      <c r="F37" s="313"/>
      <c r="G37" s="313"/>
      <c r="H37" s="313"/>
      <c r="I37" s="313"/>
      <c r="J37" s="313"/>
      <c r="K37" s="313"/>
      <c r="L37" s="313"/>
      <c r="M37" s="313"/>
      <c r="N37" s="314"/>
    </row>
    <row r="38" spans="1:14" ht="18" customHeight="1" x14ac:dyDescent="0.25">
      <c r="A38" s="308" t="str">
        <f>IF(ISBLANK('Table 3-A| Emission Units'!A111),"",'Table 3-A| Emission Units'!A111&amp;"-"&amp;'Table 3-A| Emission Units'!B111)</f>
        <v/>
      </c>
      <c r="B38" s="309" t="str">
        <f>IF(OR(ISBLANK('Table 3-A| Emission Units'!C111),ISTEXT('Table 3-A| Emission Units'!C111)),"",'Table 3-A| Emission Units'!C111)</f>
        <v/>
      </c>
      <c r="C38" s="311" t="str">
        <f>IF(AND(ISBLANK('Table 6-A| Controls &amp; Limits'!C88),ISBLANK('Table 6-A| Controls &amp; Limits'!G88)),"",IF(OR('Table 6-A| Controls &amp; Limits'!C88="Yes",'Table 6-A| Controls &amp; Limits'!G88="Yes"),"Yes","No"))</f>
        <v/>
      </c>
      <c r="D38" s="247"/>
      <c r="E38" s="472"/>
      <c r="F38" s="313"/>
      <c r="G38" s="313"/>
      <c r="H38" s="313"/>
      <c r="I38" s="313"/>
      <c r="J38" s="313"/>
      <c r="K38" s="313"/>
      <c r="L38" s="313"/>
      <c r="M38" s="313"/>
      <c r="N38" s="314"/>
    </row>
    <row r="39" spans="1:14" ht="18" customHeight="1" x14ac:dyDescent="0.25">
      <c r="A39" s="308" t="str">
        <f>IF(ISBLANK('Table 3-A| Emission Units'!A112),"",'Table 3-A| Emission Units'!A112&amp;"-"&amp;'Table 3-A| Emission Units'!B112)</f>
        <v/>
      </c>
      <c r="B39" s="309" t="str">
        <f>IF(OR(ISBLANK('Table 3-A| Emission Units'!C112),ISTEXT('Table 3-A| Emission Units'!C112)),"",'Table 3-A| Emission Units'!C112)</f>
        <v/>
      </c>
      <c r="C39" s="311" t="str">
        <f>IF(AND(ISBLANK('Table 6-A| Controls &amp; Limits'!C89),ISBLANK('Table 6-A| Controls &amp; Limits'!G89)),"",IF(OR('Table 6-A| Controls &amp; Limits'!C89="Yes",'Table 6-A| Controls &amp; Limits'!G89="Yes"),"Yes","No"))</f>
        <v/>
      </c>
      <c r="D39" s="247"/>
      <c r="E39" s="472"/>
      <c r="F39" s="313"/>
      <c r="G39" s="313"/>
      <c r="H39" s="313"/>
      <c r="I39" s="313"/>
      <c r="J39" s="313"/>
      <c r="K39" s="313"/>
      <c r="L39" s="313"/>
      <c r="M39" s="313"/>
      <c r="N39" s="314"/>
    </row>
    <row r="40" spans="1:14" ht="18" customHeight="1" x14ac:dyDescent="0.25">
      <c r="A40" s="308" t="str">
        <f>IF(ISBLANK('Table 3-A| Emission Units'!A113),"",'Table 3-A| Emission Units'!A113&amp;"-"&amp;'Table 3-A| Emission Units'!B113)</f>
        <v/>
      </c>
      <c r="B40" s="309" t="str">
        <f>IF(OR(ISBLANK('Table 3-A| Emission Units'!C113),ISTEXT('Table 3-A| Emission Units'!C113)),"",'Table 3-A| Emission Units'!C113)</f>
        <v/>
      </c>
      <c r="C40" s="311" t="str">
        <f>IF(AND(ISBLANK('Table 6-A| Controls &amp; Limits'!C90),ISBLANK('Table 6-A| Controls &amp; Limits'!G90)),"",IF(OR('Table 6-A| Controls &amp; Limits'!C90="Yes",'Table 6-A| Controls &amp; Limits'!G90="Yes"),"Yes","No"))</f>
        <v/>
      </c>
      <c r="D40" s="247"/>
      <c r="E40" s="472"/>
      <c r="F40" s="313"/>
      <c r="G40" s="313"/>
      <c r="H40" s="313"/>
      <c r="I40" s="313"/>
      <c r="J40" s="313"/>
      <c r="K40" s="313"/>
      <c r="L40" s="313"/>
      <c r="M40" s="313"/>
      <c r="N40" s="314"/>
    </row>
    <row r="41" spans="1:14" ht="18" customHeight="1" x14ac:dyDescent="0.25">
      <c r="A41" s="308" t="str">
        <f>IF(ISBLANK('Table 3-A| Emission Units'!A114),"",'Table 3-A| Emission Units'!A114&amp;"-"&amp;'Table 3-A| Emission Units'!B114)</f>
        <v/>
      </c>
      <c r="B41" s="309" t="str">
        <f>IF(OR(ISBLANK('Table 3-A| Emission Units'!C114),ISTEXT('Table 3-A| Emission Units'!C114)),"",'Table 3-A| Emission Units'!C114)</f>
        <v/>
      </c>
      <c r="C41" s="311" t="str">
        <f>IF(AND(ISBLANK('Table 6-A| Controls &amp; Limits'!C91),ISBLANK('Table 6-A| Controls &amp; Limits'!G91)),"",IF(OR('Table 6-A| Controls &amp; Limits'!C91="Yes",'Table 6-A| Controls &amp; Limits'!G91="Yes"),"Yes","No"))</f>
        <v/>
      </c>
      <c r="D41" s="247"/>
      <c r="E41" s="472"/>
      <c r="F41" s="313"/>
      <c r="G41" s="313"/>
      <c r="H41" s="313"/>
      <c r="I41" s="313"/>
      <c r="J41" s="313"/>
      <c r="K41" s="313"/>
      <c r="L41" s="313"/>
      <c r="M41" s="313"/>
      <c r="N41" s="314"/>
    </row>
    <row r="42" spans="1:14" ht="18" customHeight="1" x14ac:dyDescent="0.25">
      <c r="A42" s="308" t="str">
        <f>IF(ISBLANK('Table 3-A| Emission Units'!A115),"",'Table 3-A| Emission Units'!A115&amp;"-"&amp;'Table 3-A| Emission Units'!B115)</f>
        <v/>
      </c>
      <c r="B42" s="309" t="str">
        <f>IF(OR(ISBLANK('Table 3-A| Emission Units'!C115),ISTEXT('Table 3-A| Emission Units'!C115)),"",'Table 3-A| Emission Units'!C115)</f>
        <v/>
      </c>
      <c r="C42" s="311" t="str">
        <f>IF(AND(ISBLANK('Table 6-A| Controls &amp; Limits'!C92),ISBLANK('Table 6-A| Controls &amp; Limits'!G92)),"",IF(OR('Table 6-A| Controls &amp; Limits'!C92="Yes",'Table 6-A| Controls &amp; Limits'!G92="Yes"),"Yes","No"))</f>
        <v/>
      </c>
      <c r="D42" s="247"/>
      <c r="E42" s="472"/>
      <c r="F42" s="313"/>
      <c r="G42" s="313"/>
      <c r="H42" s="313"/>
      <c r="I42" s="313"/>
      <c r="J42" s="313"/>
      <c r="K42" s="313"/>
      <c r="L42" s="313"/>
      <c r="M42" s="313"/>
      <c r="N42" s="314"/>
    </row>
    <row r="43" spans="1:14" ht="18" customHeight="1" x14ac:dyDescent="0.25">
      <c r="A43" s="308" t="str">
        <f>IF(ISBLANK('Table 3-A| Emission Units'!A116),"",'Table 3-A| Emission Units'!A116&amp;"-"&amp;'Table 3-A| Emission Units'!B116)</f>
        <v/>
      </c>
      <c r="B43" s="309" t="str">
        <f>IF(OR(ISBLANK('Table 3-A| Emission Units'!C116),ISTEXT('Table 3-A| Emission Units'!C116)),"",'Table 3-A| Emission Units'!C116)</f>
        <v/>
      </c>
      <c r="C43" s="311" t="str">
        <f>IF(AND(ISBLANK('Table 6-A| Controls &amp; Limits'!C93),ISBLANK('Table 6-A| Controls &amp; Limits'!G93)),"",IF(OR('Table 6-A| Controls &amp; Limits'!C93="Yes",'Table 6-A| Controls &amp; Limits'!G93="Yes"),"Yes","No"))</f>
        <v/>
      </c>
      <c r="D43" s="247"/>
      <c r="E43" s="472"/>
      <c r="F43" s="313"/>
      <c r="G43" s="313"/>
      <c r="H43" s="313"/>
      <c r="I43" s="313"/>
      <c r="J43" s="313"/>
      <c r="K43" s="313"/>
      <c r="L43" s="313"/>
      <c r="M43" s="313"/>
      <c r="N43" s="314"/>
    </row>
    <row r="44" spans="1:14" ht="18" customHeight="1" x14ac:dyDescent="0.25">
      <c r="A44" s="308" t="str">
        <f>IF(ISBLANK('Table 3-A| Emission Units'!A117),"",'Table 3-A| Emission Units'!A117&amp;"-"&amp;'Table 3-A| Emission Units'!B117)</f>
        <v/>
      </c>
      <c r="B44" s="309" t="str">
        <f>IF(OR(ISBLANK('Table 3-A| Emission Units'!C117),ISTEXT('Table 3-A| Emission Units'!C117)),"",'Table 3-A| Emission Units'!C117)</f>
        <v/>
      </c>
      <c r="C44" s="311" t="str">
        <f>IF(AND(ISBLANK('Table 6-A| Controls &amp; Limits'!C94),ISBLANK('Table 6-A| Controls &amp; Limits'!G94)),"",IF(OR('Table 6-A| Controls &amp; Limits'!C94="Yes",'Table 6-A| Controls &amp; Limits'!G94="Yes"),"Yes","No"))</f>
        <v/>
      </c>
      <c r="D44" s="247"/>
      <c r="E44" s="472"/>
      <c r="F44" s="313"/>
      <c r="G44" s="313"/>
      <c r="H44" s="313"/>
      <c r="I44" s="313"/>
      <c r="J44" s="313"/>
      <c r="K44" s="313"/>
      <c r="L44" s="313"/>
      <c r="M44" s="313"/>
      <c r="N44" s="314"/>
    </row>
    <row r="45" spans="1:14" ht="18" customHeight="1" x14ac:dyDescent="0.25">
      <c r="A45" s="308" t="str">
        <f>IF(ISBLANK('Table 3-A| Emission Units'!A118),"",'Table 3-A| Emission Units'!A118&amp;"-"&amp;'Table 3-A| Emission Units'!B118)</f>
        <v/>
      </c>
      <c r="B45" s="309" t="str">
        <f>IF(OR(ISBLANK('Table 3-A| Emission Units'!C118),ISTEXT('Table 3-A| Emission Units'!C118)),"",'Table 3-A| Emission Units'!C118)</f>
        <v/>
      </c>
      <c r="C45" s="311" t="str">
        <f>IF(AND(ISBLANK('Table 6-A| Controls &amp; Limits'!C95),ISBLANK('Table 6-A| Controls &amp; Limits'!G95)),"",IF(OR('Table 6-A| Controls &amp; Limits'!C95="Yes",'Table 6-A| Controls &amp; Limits'!G95="Yes"),"Yes","No"))</f>
        <v/>
      </c>
      <c r="D45" s="247"/>
      <c r="E45" s="472"/>
      <c r="F45" s="313"/>
      <c r="G45" s="313"/>
      <c r="H45" s="313"/>
      <c r="I45" s="313"/>
      <c r="J45" s="313"/>
      <c r="K45" s="313"/>
      <c r="L45" s="313"/>
      <c r="M45" s="313"/>
      <c r="N45" s="314"/>
    </row>
    <row r="46" spans="1:14" ht="18" customHeight="1" x14ac:dyDescent="0.25">
      <c r="A46" s="308" t="str">
        <f>IF(ISBLANK('Table 3-A| Emission Units'!A119),"",'Table 3-A| Emission Units'!A119&amp;"-"&amp;'Table 3-A| Emission Units'!B119)</f>
        <v/>
      </c>
      <c r="B46" s="309" t="str">
        <f>IF(OR(ISBLANK('Table 3-A| Emission Units'!C119),ISTEXT('Table 3-A| Emission Units'!C119)),"",'Table 3-A| Emission Units'!C119)</f>
        <v/>
      </c>
      <c r="C46" s="311" t="str">
        <f>IF(AND(ISBLANK('Table 6-A| Controls &amp; Limits'!C96),ISBLANK('Table 6-A| Controls &amp; Limits'!G96)),"",IF(OR('Table 6-A| Controls &amp; Limits'!C96="Yes",'Table 6-A| Controls &amp; Limits'!G96="Yes"),"Yes","No"))</f>
        <v/>
      </c>
      <c r="D46" s="247"/>
      <c r="E46" s="472"/>
      <c r="F46" s="313"/>
      <c r="G46" s="313"/>
      <c r="H46" s="313"/>
      <c r="I46" s="313"/>
      <c r="J46" s="313"/>
      <c r="K46" s="313"/>
      <c r="L46" s="313"/>
      <c r="M46" s="313"/>
      <c r="N46" s="314"/>
    </row>
    <row r="47" spans="1:14" ht="18" customHeight="1" x14ac:dyDescent="0.25">
      <c r="A47" s="308" t="str">
        <f>IF(ISBLANK('Table 3-A| Emission Units'!A120),"",'Table 3-A| Emission Units'!A120&amp;"-"&amp;'Table 3-A| Emission Units'!B120)</f>
        <v/>
      </c>
      <c r="B47" s="309" t="str">
        <f>IF(OR(ISBLANK('Table 3-A| Emission Units'!C120),ISTEXT('Table 3-A| Emission Units'!C120)),"",'Table 3-A| Emission Units'!C120)</f>
        <v/>
      </c>
      <c r="C47" s="311" t="str">
        <f>IF(AND(ISBLANK('Table 6-A| Controls &amp; Limits'!C97),ISBLANK('Table 6-A| Controls &amp; Limits'!G97)),"",IF(OR('Table 6-A| Controls &amp; Limits'!C97="Yes",'Table 6-A| Controls &amp; Limits'!G97="Yes"),"Yes","No"))</f>
        <v/>
      </c>
      <c r="D47" s="247"/>
      <c r="E47" s="472"/>
      <c r="F47" s="313"/>
      <c r="G47" s="313"/>
      <c r="H47" s="313"/>
      <c r="I47" s="313"/>
      <c r="J47" s="313"/>
      <c r="K47" s="313"/>
      <c r="L47" s="313"/>
      <c r="M47" s="313"/>
      <c r="N47" s="314"/>
    </row>
    <row r="48" spans="1:14" ht="18" customHeight="1" x14ac:dyDescent="0.25">
      <c r="A48" s="308" t="str">
        <f>IF(ISBLANK('Table 3-A| Emission Units'!A121),"",'Table 3-A| Emission Units'!A121&amp;"-"&amp;'Table 3-A| Emission Units'!B121)</f>
        <v/>
      </c>
      <c r="B48" s="309" t="str">
        <f>IF(OR(ISBLANK('Table 3-A| Emission Units'!C121),ISTEXT('Table 3-A| Emission Units'!C121)),"",'Table 3-A| Emission Units'!C121)</f>
        <v/>
      </c>
      <c r="C48" s="311" t="str">
        <f>IF(AND(ISBLANK('Table 6-A| Controls &amp; Limits'!C98),ISBLANK('Table 6-A| Controls &amp; Limits'!G98)),"",IF(OR('Table 6-A| Controls &amp; Limits'!C98="Yes",'Table 6-A| Controls &amp; Limits'!G98="Yes"),"Yes","No"))</f>
        <v/>
      </c>
      <c r="D48" s="247"/>
      <c r="E48" s="472"/>
      <c r="F48" s="313"/>
      <c r="G48" s="313"/>
      <c r="H48" s="313"/>
      <c r="I48" s="313"/>
      <c r="J48" s="313"/>
      <c r="K48" s="313"/>
      <c r="L48" s="313"/>
      <c r="M48" s="313"/>
      <c r="N48" s="314"/>
    </row>
    <row r="49" spans="1:14" ht="18" customHeight="1" x14ac:dyDescent="0.25">
      <c r="A49" s="308" t="str">
        <f>IF(ISBLANK('Table 3-A| Emission Units'!A122),"",'Table 3-A| Emission Units'!A122&amp;"-"&amp;'Table 3-A| Emission Units'!B122)</f>
        <v/>
      </c>
      <c r="B49" s="309" t="str">
        <f>IF(OR(ISBLANK('Table 3-A| Emission Units'!C122),ISTEXT('Table 3-A| Emission Units'!C122)),"",'Table 3-A| Emission Units'!C122)</f>
        <v/>
      </c>
      <c r="C49" s="311" t="str">
        <f>IF(AND(ISBLANK('Table 6-A| Controls &amp; Limits'!C99),ISBLANK('Table 6-A| Controls &amp; Limits'!G99)),"",IF(OR('Table 6-A| Controls &amp; Limits'!C99="Yes",'Table 6-A| Controls &amp; Limits'!G99="Yes"),"Yes","No"))</f>
        <v/>
      </c>
      <c r="D49" s="247"/>
      <c r="E49" s="472"/>
      <c r="F49" s="313"/>
      <c r="G49" s="313"/>
      <c r="H49" s="313"/>
      <c r="I49" s="313"/>
      <c r="J49" s="313"/>
      <c r="K49" s="313"/>
      <c r="L49" s="313"/>
      <c r="M49" s="313"/>
      <c r="N49" s="314"/>
    </row>
    <row r="50" spans="1:14" ht="18" customHeight="1" x14ac:dyDescent="0.25">
      <c r="A50" s="308" t="str">
        <f>IF(ISBLANK('Table 3-A| Emission Units'!A123),"",'Table 3-A| Emission Units'!A123&amp;"-"&amp;'Table 3-A| Emission Units'!B123)</f>
        <v/>
      </c>
      <c r="B50" s="309" t="str">
        <f>IF(OR(ISBLANK('Table 3-A| Emission Units'!C123),ISTEXT('Table 3-A| Emission Units'!C123)),"",'Table 3-A| Emission Units'!C123)</f>
        <v/>
      </c>
      <c r="C50" s="311" t="str">
        <f>IF(AND(ISBLANK('Table 6-A| Controls &amp; Limits'!C100),ISBLANK('Table 6-A| Controls &amp; Limits'!G100)),"",IF(OR('Table 6-A| Controls &amp; Limits'!C100="Yes",'Table 6-A| Controls &amp; Limits'!G100="Yes"),"Yes","No"))</f>
        <v/>
      </c>
      <c r="D50" s="247"/>
      <c r="E50" s="472"/>
      <c r="F50" s="313"/>
      <c r="G50" s="313"/>
      <c r="H50" s="313"/>
      <c r="I50" s="313"/>
      <c r="J50" s="313"/>
      <c r="K50" s="313"/>
      <c r="L50" s="313"/>
      <c r="M50" s="313"/>
      <c r="N50" s="314"/>
    </row>
    <row r="51" spans="1:14" ht="18" customHeight="1" x14ac:dyDescent="0.25">
      <c r="A51" s="308" t="str">
        <f>IF(ISBLANK('Table 3-A| Emission Units'!A124),"",'Table 3-A| Emission Units'!A124&amp;"-"&amp;'Table 3-A| Emission Units'!B124)</f>
        <v/>
      </c>
      <c r="B51" s="309" t="str">
        <f>IF(OR(ISBLANK('Table 3-A| Emission Units'!C124),ISTEXT('Table 3-A| Emission Units'!C124)),"",'Table 3-A| Emission Units'!C124)</f>
        <v/>
      </c>
      <c r="C51" s="311" t="str">
        <f>IF(AND(ISBLANK('Table 6-A| Controls &amp; Limits'!C101),ISBLANK('Table 6-A| Controls &amp; Limits'!G101)),"",IF(OR('Table 6-A| Controls &amp; Limits'!C101="Yes",'Table 6-A| Controls &amp; Limits'!G101="Yes"),"Yes","No"))</f>
        <v/>
      </c>
      <c r="D51" s="247"/>
      <c r="E51" s="472"/>
      <c r="F51" s="313"/>
      <c r="G51" s="313"/>
      <c r="H51" s="313"/>
      <c r="I51" s="313"/>
      <c r="J51" s="313"/>
      <c r="K51" s="313"/>
      <c r="L51" s="313"/>
      <c r="M51" s="313"/>
      <c r="N51" s="314"/>
    </row>
    <row r="52" spans="1:14" ht="18" customHeight="1" x14ac:dyDescent="0.25">
      <c r="A52" s="308" t="str">
        <f>IF(ISBLANK('Table 3-A| Emission Units'!A125),"",'Table 3-A| Emission Units'!A125&amp;"-"&amp;'Table 3-A| Emission Units'!B125)</f>
        <v/>
      </c>
      <c r="B52" s="309" t="str">
        <f>IF(OR(ISBLANK('Table 3-A| Emission Units'!C125),ISTEXT('Table 3-A| Emission Units'!C125)),"",'Table 3-A| Emission Units'!C125)</f>
        <v/>
      </c>
      <c r="C52" s="311" t="str">
        <f>IF(AND(ISBLANK('Table 6-A| Controls &amp; Limits'!C102),ISBLANK('Table 6-A| Controls &amp; Limits'!G102)),"",IF(OR('Table 6-A| Controls &amp; Limits'!C102="Yes",'Table 6-A| Controls &amp; Limits'!G102="Yes"),"Yes","No"))</f>
        <v/>
      </c>
      <c r="D52" s="247"/>
      <c r="E52" s="472"/>
      <c r="F52" s="313"/>
      <c r="G52" s="313"/>
      <c r="H52" s="313"/>
      <c r="I52" s="313"/>
      <c r="J52" s="313"/>
      <c r="K52" s="313"/>
      <c r="L52" s="313"/>
      <c r="M52" s="313"/>
      <c r="N52" s="314"/>
    </row>
    <row r="53" spans="1:14" ht="18" customHeight="1" x14ac:dyDescent="0.25">
      <c r="A53" s="308" t="str">
        <f>IF(ISBLANK('Table 3-A| Emission Units'!A126),"",'Table 3-A| Emission Units'!A126&amp;"-"&amp;'Table 3-A| Emission Units'!B126)</f>
        <v/>
      </c>
      <c r="B53" s="309" t="str">
        <f>IF(OR(ISBLANK('Table 3-A| Emission Units'!C126),ISTEXT('Table 3-A| Emission Units'!C126)),"",'Table 3-A| Emission Units'!C126)</f>
        <v/>
      </c>
      <c r="C53" s="311" t="str">
        <f>IF(AND(ISBLANK('Table 6-A| Controls &amp; Limits'!C103),ISBLANK('Table 6-A| Controls &amp; Limits'!G103)),"",IF(OR('Table 6-A| Controls &amp; Limits'!C103="Yes",'Table 6-A| Controls &amp; Limits'!G103="Yes"),"Yes","No"))</f>
        <v/>
      </c>
      <c r="D53" s="247"/>
      <c r="E53" s="472"/>
      <c r="F53" s="313"/>
      <c r="G53" s="313"/>
      <c r="H53" s="313"/>
      <c r="I53" s="313"/>
      <c r="J53" s="313"/>
      <c r="K53" s="313"/>
      <c r="L53" s="313"/>
      <c r="M53" s="313"/>
      <c r="N53" s="314"/>
    </row>
    <row r="54" spans="1:14" ht="18" customHeight="1" x14ac:dyDescent="0.25">
      <c r="A54" s="308" t="str">
        <f>IF(ISBLANK('Table 3-A| Emission Units'!A127),"",'Table 3-A| Emission Units'!A127&amp;"-"&amp;'Table 3-A| Emission Units'!B127)</f>
        <v/>
      </c>
      <c r="B54" s="309" t="str">
        <f>IF(OR(ISBLANK('Table 3-A| Emission Units'!C127),ISTEXT('Table 3-A| Emission Units'!C127)),"",'Table 3-A| Emission Units'!C127)</f>
        <v/>
      </c>
      <c r="C54" s="311" t="str">
        <f>IF(AND(ISBLANK('Table 6-A| Controls &amp; Limits'!C104),ISBLANK('Table 6-A| Controls &amp; Limits'!G104)),"",IF(OR('Table 6-A| Controls &amp; Limits'!C104="Yes",'Table 6-A| Controls &amp; Limits'!G104="Yes"),"Yes","No"))</f>
        <v/>
      </c>
      <c r="D54" s="247"/>
      <c r="E54" s="472"/>
      <c r="F54" s="313"/>
      <c r="G54" s="313"/>
      <c r="H54" s="313"/>
      <c r="I54" s="313"/>
      <c r="J54" s="313"/>
      <c r="K54" s="313"/>
      <c r="L54" s="313"/>
      <c r="M54" s="313"/>
      <c r="N54" s="314"/>
    </row>
    <row r="55" spans="1:14" ht="18" customHeight="1" x14ac:dyDescent="0.25">
      <c r="A55" s="308" t="str">
        <f>IF(ISBLANK('Table 3-A| Emission Units'!A128),"",'Table 3-A| Emission Units'!A128&amp;"-"&amp;'Table 3-A| Emission Units'!B128)</f>
        <v/>
      </c>
      <c r="B55" s="309" t="str">
        <f>IF(OR(ISBLANK('Table 3-A| Emission Units'!C128),ISTEXT('Table 3-A| Emission Units'!C128)),"",'Table 3-A| Emission Units'!C128)</f>
        <v/>
      </c>
      <c r="C55" s="311" t="str">
        <f>IF(AND(ISBLANK('Table 6-A| Controls &amp; Limits'!C105),ISBLANK('Table 6-A| Controls &amp; Limits'!G105)),"",IF(OR('Table 6-A| Controls &amp; Limits'!C105="Yes",'Table 6-A| Controls &amp; Limits'!G105="Yes"),"Yes","No"))</f>
        <v/>
      </c>
      <c r="D55" s="247"/>
      <c r="E55" s="472"/>
      <c r="F55" s="313"/>
      <c r="G55" s="313"/>
      <c r="H55" s="313"/>
      <c r="I55" s="313"/>
      <c r="J55" s="313"/>
      <c r="K55" s="313"/>
      <c r="L55" s="313"/>
      <c r="M55" s="313"/>
      <c r="N55" s="314"/>
    </row>
    <row r="56" spans="1:14" ht="18" customHeight="1" x14ac:dyDescent="0.25">
      <c r="A56" s="308" t="str">
        <f>IF(ISBLANK('Table 3-A| Emission Units'!A129),"",'Table 3-A| Emission Units'!A129&amp;"-"&amp;'Table 3-A| Emission Units'!B129)</f>
        <v/>
      </c>
      <c r="B56" s="309" t="str">
        <f>IF(OR(ISBLANK('Table 3-A| Emission Units'!C129),ISTEXT('Table 3-A| Emission Units'!C129)),"",'Table 3-A| Emission Units'!C129)</f>
        <v/>
      </c>
      <c r="C56" s="311" t="str">
        <f>IF(AND(ISBLANK('Table 6-A| Controls &amp; Limits'!C106),ISBLANK('Table 6-A| Controls &amp; Limits'!G106)),"",IF(OR('Table 6-A| Controls &amp; Limits'!C106="Yes",'Table 6-A| Controls &amp; Limits'!G106="Yes"),"Yes","No"))</f>
        <v/>
      </c>
      <c r="D56" s="247"/>
      <c r="E56" s="472"/>
      <c r="F56" s="313"/>
      <c r="G56" s="313"/>
      <c r="H56" s="313"/>
      <c r="I56" s="313"/>
      <c r="J56" s="313"/>
      <c r="K56" s="313"/>
      <c r="L56" s="313"/>
      <c r="M56" s="313"/>
      <c r="N56" s="314"/>
    </row>
    <row r="57" spans="1:14" ht="18" customHeight="1" thickBot="1" x14ac:dyDescent="0.3">
      <c r="A57" s="315" t="str">
        <f>IF(ISBLANK('Table 3-A| Emission Units'!A130),"",'Table 3-A| Emission Units'!A130&amp;"-"&amp;'Table 3-A| Emission Units'!B130)</f>
        <v/>
      </c>
      <c r="B57" s="316" t="str">
        <f>IF(OR(ISBLANK('Table 3-A| Emission Units'!C130),ISTEXT('Table 3-A| Emission Units'!C130)),"",'Table 3-A| Emission Units'!C130)</f>
        <v/>
      </c>
      <c r="C57" s="318" t="str">
        <f>IF(AND(ISBLANK('Table 6-A| Controls &amp; Limits'!C107),ISBLANK('Table 6-A| Controls &amp; Limits'!G107)),"",IF(OR('Table 6-A| Controls &amp; Limits'!C107="Yes",'Table 6-A| Controls &amp; Limits'!G107="Yes"),"Yes","No"))</f>
        <v/>
      </c>
      <c r="D57" s="249"/>
      <c r="E57" s="473"/>
      <c r="F57" s="320"/>
      <c r="G57" s="320"/>
      <c r="H57" s="320"/>
      <c r="I57" s="320"/>
      <c r="J57" s="320"/>
      <c r="K57" s="320"/>
      <c r="L57" s="320"/>
      <c r="M57" s="320"/>
      <c r="N57" s="321"/>
    </row>
  </sheetData>
  <sheetProtection algorithmName="SHA-512" hashValue="79tA+4i0C1sTr9I8VkC33s9XZpGo6OatSW0ewh5Hp8TrN9H4p/qTBKo5J+yHZVF29ZhCUW6vZ72caTzVN2gZUg==" saltValue="TPW3lSRRdYHIufvussoU2Q==" spinCount="100000" sheet="1" objects="1" scenarios="1"/>
  <mergeCells count="25">
    <mergeCell ref="A34:N34"/>
    <mergeCell ref="A2:N2"/>
    <mergeCell ref="A21:N21"/>
    <mergeCell ref="A20:N20"/>
    <mergeCell ref="A26:N26"/>
    <mergeCell ref="A25:N25"/>
    <mergeCell ref="A24:N24"/>
    <mergeCell ref="A15:N15"/>
    <mergeCell ref="B8:N8"/>
    <mergeCell ref="A32:N32"/>
    <mergeCell ref="A22:C23"/>
    <mergeCell ref="A16:N16"/>
    <mergeCell ref="A17:M17"/>
    <mergeCell ref="A27:C28"/>
    <mergeCell ref="A18:N18"/>
    <mergeCell ref="A19:N19"/>
    <mergeCell ref="A29:N29"/>
    <mergeCell ref="A30:N30"/>
    <mergeCell ref="A31:N31"/>
    <mergeCell ref="A1:M1"/>
    <mergeCell ref="A3:N3"/>
    <mergeCell ref="B4:N4"/>
    <mergeCell ref="B6:N6"/>
    <mergeCell ref="B7:N7"/>
    <mergeCell ref="B5:N5"/>
  </mergeCells>
  <conditionalFormatting sqref="B35:B57">
    <cfRule type="expression" dxfId="86" priority="155">
      <formula>B35&gt;99999999</formula>
    </cfRule>
  </conditionalFormatting>
  <conditionalFormatting sqref="D22:D23">
    <cfRule type="expression" dxfId="85" priority="113">
      <formula>$S$22=FALSE</formula>
    </cfRule>
  </conditionalFormatting>
  <conditionalFormatting sqref="D27:D28">
    <cfRule type="expression" dxfId="84" priority="725">
      <formula>$S$27=FALSE</formula>
    </cfRule>
  </conditionalFormatting>
  <conditionalFormatting sqref="D35:D57">
    <cfRule type="expression" dxfId="83" priority="42" stopIfTrue="1">
      <formula>AND(NOT(A35=""),ISBLANK(D35))</formula>
    </cfRule>
  </conditionalFormatting>
  <conditionalFormatting sqref="E10:N14">
    <cfRule type="cellIs" dxfId="82" priority="4" stopIfTrue="1" operator="equal">
      <formula>0</formula>
    </cfRule>
    <cfRule type="cellIs" dxfId="81" priority="5" stopIfTrue="1" operator="lessThan">
      <formula>0.01</formula>
    </cfRule>
    <cfRule type="cellIs" dxfId="80" priority="6" stopIfTrue="1" operator="greaterThanOrEqual">
      <formula>1000</formula>
    </cfRule>
    <cfRule type="cellIs" dxfId="79" priority="7" stopIfTrue="1" operator="greaterThanOrEqual">
      <formula>1000000</formula>
    </cfRule>
  </conditionalFormatting>
  <conditionalFormatting sqref="E23:N23">
    <cfRule type="expression" dxfId="78" priority="3">
      <formula>AND($R22=TRUE,$S22=TRUE)</formula>
    </cfRule>
    <cfRule type="expression" dxfId="77" priority="95">
      <formula>AND($Q$22=TRUE,$S$22=TRUE,ISBLANK(E23))</formula>
    </cfRule>
    <cfRule type="expression" dxfId="76" priority="96">
      <formula>AND(NOT(ISBLANK(E23)),NOT(ISNUMBER(E23)))</formula>
    </cfRule>
    <cfRule type="cellIs" dxfId="75" priority="115" stopIfTrue="1" operator="equal">
      <formula>0</formula>
    </cfRule>
    <cfRule type="cellIs" dxfId="74" priority="134" stopIfTrue="1" operator="lessThan">
      <formula>0.01</formula>
    </cfRule>
    <cfRule type="cellIs" dxfId="73" priority="135" stopIfTrue="1" operator="greaterThanOrEqual">
      <formula>1000</formula>
    </cfRule>
    <cfRule type="cellIs" dxfId="72" priority="136" stopIfTrue="1" operator="greaterThanOrEqual">
      <formula>1000000</formula>
    </cfRule>
  </conditionalFormatting>
  <conditionalFormatting sqref="E28:N28">
    <cfRule type="expression" dxfId="71" priority="726">
      <formula>AND($R27=TRUE,$S27=TRUE)</formula>
    </cfRule>
    <cfRule type="expression" dxfId="70" priority="727">
      <formula>AND($Q$27=TRUE,$S$27=TRUE,ISBLANK(E28))</formula>
    </cfRule>
    <cfRule type="expression" dxfId="69" priority="728">
      <formula>AND(NOT(ISBLANK(E28)),NOT(ISNUMBER(E28)))</formula>
    </cfRule>
    <cfRule type="cellIs" dxfId="68" priority="729" stopIfTrue="1" operator="equal">
      <formula>0</formula>
    </cfRule>
    <cfRule type="cellIs" dxfId="67" priority="730" stopIfTrue="1" operator="lessThan">
      <formula>0.01</formula>
    </cfRule>
    <cfRule type="cellIs" dxfId="66" priority="731" stopIfTrue="1" operator="greaterThanOrEqual">
      <formula>1000</formula>
    </cfRule>
    <cfRule type="cellIs" dxfId="65" priority="732" stopIfTrue="1" operator="greaterThanOrEqual">
      <formula>1000000</formula>
    </cfRule>
  </conditionalFormatting>
  <conditionalFormatting sqref="E35:N57">
    <cfRule type="expression" dxfId="64" priority="43">
      <formula>AND($D35="Yes",ISBLANK(E35))</formula>
    </cfRule>
    <cfRule type="expression" dxfId="63" priority="44">
      <formula>AND(NOT(ISBLANK(E35)),NOT(ISNUMBER(E35)))</formula>
    </cfRule>
    <cfRule type="expression" dxfId="62" priority="47">
      <formula>$D35="No"</formula>
    </cfRule>
    <cfRule type="cellIs" dxfId="61" priority="56" stopIfTrue="1" operator="equal">
      <formula>0</formula>
    </cfRule>
    <cfRule type="cellIs" dxfId="60" priority="57" stopIfTrue="1" operator="lessThan">
      <formula>0.01</formula>
    </cfRule>
    <cfRule type="cellIs" dxfId="59" priority="58" stopIfTrue="1" operator="greaterThanOrEqual">
      <formula>1000</formula>
    </cfRule>
    <cfRule type="cellIs" dxfId="58" priority="138" stopIfTrue="1" operator="greaterThanOrEqual">
      <formula>1000000</formula>
    </cfRule>
  </conditionalFormatting>
  <dataValidations count="2">
    <dataValidation type="list" showInputMessage="1" showErrorMessage="1" errorTitle="Entry Required" error="You must select either &quot;Yes&quot; or &quot;No&quot;" prompt="Select &quot;Yes&quot; if you agree to limit emissions from this unit.  Select &quot;No&quot; if you do not agree to an emission limit for this unit." sqref="D10:D14" xr:uid="{00000000-0002-0000-0F00-000000000000}">
      <formula1>$Y$22:$Y$23</formula1>
    </dataValidation>
    <dataValidation type="list" errorStyle="warning" showInputMessage="1" showErrorMessage="1" errorTitle="Entry Required" error="You must select either &quot;Yes&quot; or &quot;No&quot;" prompt="Select &quot;Yes&quot; if you agree to limit emissions from this unit.  Select &quot;No&quot; if you do not agree to an emission limit for this unit." sqref="D35:D57" xr:uid="{00000000-0002-0000-0F00-000001000000}">
      <formula1>$Y$22:$Y$23</formula1>
    </dataValidation>
  </dataValidations>
  <printOptions horizontalCentered="1"/>
  <pageMargins left="0.5" right="0.5" top="0.5" bottom="0.5" header="0.3" footer="0.3"/>
  <pageSetup scale="73" fitToHeight="0" orientation="landscape" r:id="rId1"/>
  <headerFooter>
    <oddFooter>&amp;LRev. 2/2014&amp;C&amp;A&amp;RPage &amp;P</oddFooter>
  </headerFooter>
  <rowBreaks count="1" manualBreakCount="1">
    <brk id="28"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3</xdr:col>
                    <xdr:colOff>28575</xdr:colOff>
                    <xdr:row>21</xdr:row>
                    <xdr:rowOff>152400</xdr:rowOff>
                  </from>
                  <to>
                    <xdr:col>3</xdr:col>
                    <xdr:colOff>781050</xdr:colOff>
                    <xdr:row>21</xdr:row>
                    <xdr:rowOff>371475</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3</xdr:col>
                    <xdr:colOff>28575</xdr:colOff>
                    <xdr:row>22</xdr:row>
                    <xdr:rowOff>152400</xdr:rowOff>
                  </from>
                  <to>
                    <xdr:col>3</xdr:col>
                    <xdr:colOff>781050</xdr:colOff>
                    <xdr:row>22</xdr:row>
                    <xdr:rowOff>371475</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3</xdr:col>
                    <xdr:colOff>28575</xdr:colOff>
                    <xdr:row>26</xdr:row>
                    <xdr:rowOff>219075</xdr:rowOff>
                  </from>
                  <to>
                    <xdr:col>3</xdr:col>
                    <xdr:colOff>781050</xdr:colOff>
                    <xdr:row>26</xdr:row>
                    <xdr:rowOff>438150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3</xdr:col>
                    <xdr:colOff>28575</xdr:colOff>
                    <xdr:row>27</xdr:row>
                    <xdr:rowOff>219075</xdr:rowOff>
                  </from>
                  <to>
                    <xdr:col>3</xdr:col>
                    <xdr:colOff>781050</xdr:colOff>
                    <xdr:row>27</xdr:row>
                    <xdr:rowOff>438150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002060"/>
  </sheetPr>
  <dimension ref="A1:T100"/>
  <sheetViews>
    <sheetView showGridLines="0" zoomScaleNormal="100" workbookViewId="0">
      <selection sqref="A1:M1"/>
    </sheetView>
  </sheetViews>
  <sheetFormatPr defaultRowHeight="14.25" x14ac:dyDescent="0.25"/>
  <cols>
    <col min="1" max="1" width="11.28515625" style="130" customWidth="1"/>
    <col min="2" max="2" width="17.7109375" style="48" customWidth="1"/>
    <col min="3" max="3" width="15.7109375" style="48" customWidth="1"/>
    <col min="4" max="4" width="12.85546875" style="48" customWidth="1"/>
    <col min="5" max="13" width="12.7109375" style="48" customWidth="1"/>
    <col min="14" max="14" width="4.28515625" style="48" customWidth="1"/>
    <col min="15" max="16384" width="9.140625" style="48"/>
  </cols>
  <sheetData>
    <row r="1" spans="1:13" s="69" customFormat="1" ht="26.25" customHeight="1" thickBot="1" x14ac:dyDescent="0.3">
      <c r="A1" s="1122" t="s">
        <v>1709</v>
      </c>
      <c r="B1" s="1122"/>
      <c r="C1" s="1122"/>
      <c r="D1" s="1122"/>
      <c r="E1" s="1122"/>
      <c r="F1" s="1122"/>
      <c r="G1" s="1122"/>
      <c r="H1" s="1122"/>
      <c r="I1" s="1122"/>
      <c r="J1" s="1122"/>
      <c r="K1" s="1122"/>
      <c r="L1" s="1122"/>
      <c r="M1" s="1122"/>
    </row>
    <row r="2" spans="1:13" s="68" customFormat="1" ht="50.1" customHeight="1" x14ac:dyDescent="0.25">
      <c r="A2" s="1065" t="s">
        <v>1615</v>
      </c>
      <c r="B2" s="1065"/>
      <c r="C2" s="1065"/>
      <c r="D2" s="1065"/>
      <c r="E2" s="1065"/>
      <c r="F2" s="1065"/>
      <c r="G2" s="1065"/>
      <c r="H2" s="1065"/>
      <c r="I2" s="1065"/>
      <c r="J2" s="1065"/>
      <c r="K2" s="1065"/>
      <c r="L2" s="1065"/>
      <c r="M2" s="1065"/>
    </row>
    <row r="3" spans="1:13" s="68" customFormat="1" ht="35.1" customHeight="1" x14ac:dyDescent="0.25">
      <c r="A3" s="1328" t="s">
        <v>1616</v>
      </c>
      <c r="B3" s="1319"/>
      <c r="C3" s="1319"/>
      <c r="D3" s="1319"/>
      <c r="E3" s="1319"/>
      <c r="F3" s="1319"/>
      <c r="G3" s="1319"/>
      <c r="H3" s="1319"/>
      <c r="I3" s="1319"/>
      <c r="J3" s="1319"/>
      <c r="K3" s="1319"/>
      <c r="L3" s="1319"/>
      <c r="M3" s="1319"/>
    </row>
    <row r="4" spans="1:13" s="68" customFormat="1" ht="9.9499999999999993" customHeight="1" x14ac:dyDescent="0.25">
      <c r="A4" s="1210"/>
      <c r="B4" s="1210"/>
      <c r="C4" s="1210"/>
      <c r="D4" s="1210"/>
      <c r="E4" s="1210"/>
      <c r="F4" s="1210"/>
      <c r="G4" s="1210"/>
      <c r="H4" s="1210"/>
      <c r="I4" s="1210"/>
      <c r="J4" s="1210"/>
      <c r="K4" s="1210"/>
      <c r="L4" s="1210"/>
      <c r="M4" s="1210"/>
    </row>
    <row r="5" spans="1:13" s="68" customFormat="1" ht="35.1" customHeight="1" thickBot="1" x14ac:dyDescent="0.3">
      <c r="A5" s="1099" t="s">
        <v>1448</v>
      </c>
      <c r="B5" s="1099"/>
      <c r="C5" s="1099"/>
      <c r="D5" s="1099"/>
      <c r="E5" s="1099"/>
      <c r="F5" s="1099"/>
      <c r="G5" s="1099"/>
      <c r="H5" s="1099"/>
      <c r="I5" s="1099"/>
      <c r="J5" s="1099"/>
      <c r="K5" s="1099"/>
      <c r="L5" s="1099"/>
      <c r="M5" s="1099"/>
    </row>
    <row r="6" spans="1:13" s="70" customFormat="1" ht="19.5" thickBot="1" x14ac:dyDescent="0.3">
      <c r="A6" s="1087" t="s">
        <v>1449</v>
      </c>
      <c r="B6" s="1087"/>
      <c r="C6" s="1087"/>
      <c r="D6" s="1087"/>
      <c r="E6" s="1087"/>
      <c r="F6" s="1087"/>
      <c r="G6" s="1087"/>
      <c r="H6" s="1087"/>
      <c r="I6" s="1087"/>
      <c r="J6" s="1087"/>
      <c r="K6" s="1087"/>
      <c r="L6" s="1087"/>
      <c r="M6" s="1087"/>
    </row>
    <row r="7" spans="1:13" ht="60" customHeight="1" x14ac:dyDescent="0.25">
      <c r="A7" s="1329"/>
      <c r="B7" s="1329"/>
      <c r="C7" s="1329"/>
      <c r="D7" s="1329"/>
      <c r="E7" s="1329"/>
      <c r="F7" s="1329"/>
      <c r="G7" s="1329"/>
      <c r="H7" s="1329"/>
      <c r="I7" s="1329"/>
      <c r="J7" s="1329"/>
      <c r="K7" s="1329"/>
      <c r="L7" s="1329"/>
      <c r="M7" s="1329"/>
    </row>
    <row r="8" spans="1:13" ht="24.95" customHeight="1" x14ac:dyDescent="0.25">
      <c r="A8" s="1169" t="s">
        <v>1434</v>
      </c>
      <c r="B8" s="1169"/>
      <c r="C8" s="1169"/>
      <c r="D8" s="1169"/>
      <c r="E8" s="1169"/>
      <c r="F8" s="1169"/>
      <c r="G8" s="1169"/>
      <c r="H8" s="1169"/>
      <c r="I8" s="1169"/>
      <c r="J8" s="1169"/>
      <c r="K8" s="1169"/>
      <c r="L8" s="1169"/>
      <c r="M8" s="1169"/>
    </row>
    <row r="9" spans="1:13" ht="24.95" customHeight="1" x14ac:dyDescent="0.25">
      <c r="A9" s="884" t="s">
        <v>1780</v>
      </c>
      <c r="B9" s="884"/>
      <c r="C9" s="884"/>
      <c r="D9" s="884"/>
      <c r="E9" s="884"/>
      <c r="F9" s="884"/>
      <c r="G9" s="884"/>
      <c r="H9" s="884"/>
      <c r="I9" s="884"/>
      <c r="J9" s="884"/>
      <c r="K9" s="884"/>
      <c r="L9" s="884"/>
      <c r="M9" s="884"/>
    </row>
    <row r="10" spans="1:13" s="129" customFormat="1" ht="30" customHeight="1" thickBot="1" x14ac:dyDescent="0.3">
      <c r="A10" s="1330" t="s">
        <v>1617</v>
      </c>
      <c r="B10" s="1330"/>
      <c r="C10" s="1330"/>
      <c r="D10" s="1330"/>
      <c r="E10" s="1330"/>
      <c r="F10" s="1330"/>
      <c r="G10" s="1330"/>
      <c r="H10" s="1330"/>
      <c r="I10" s="1330"/>
      <c r="J10" s="1330"/>
      <c r="K10" s="1330"/>
      <c r="L10" s="1330"/>
      <c r="M10" s="1330"/>
    </row>
    <row r="11" spans="1:13" ht="33.75" thickBot="1" x14ac:dyDescent="0.3">
      <c r="A11" s="723" t="s">
        <v>270</v>
      </c>
      <c r="B11" s="724" t="s">
        <v>271</v>
      </c>
      <c r="C11" s="724" t="s">
        <v>1599</v>
      </c>
      <c r="D11" s="724" t="s">
        <v>1582</v>
      </c>
      <c r="E11" s="725" t="s">
        <v>26</v>
      </c>
      <c r="F11" s="722" t="s">
        <v>30</v>
      </c>
      <c r="G11" s="722" t="s">
        <v>3</v>
      </c>
      <c r="H11" s="722" t="s">
        <v>4</v>
      </c>
      <c r="I11" s="722" t="s">
        <v>0</v>
      </c>
      <c r="J11" s="722" t="s">
        <v>5</v>
      </c>
      <c r="K11" s="722" t="s">
        <v>2342</v>
      </c>
      <c r="L11" s="722" t="s">
        <v>24</v>
      </c>
      <c r="M11" s="726" t="s">
        <v>25</v>
      </c>
    </row>
    <row r="12" spans="1:13" ht="18" customHeight="1" x14ac:dyDescent="0.25">
      <c r="A12" s="1301" t="str">
        <f>'Table 6-A| Controls &amp; Limits'!A19:J19</f>
        <v>Grain Receiving Emission Units</v>
      </c>
      <c r="B12" s="1302"/>
      <c r="C12" s="1302"/>
      <c r="D12" s="1302"/>
      <c r="E12" s="1302"/>
      <c r="F12" s="1302"/>
      <c r="G12" s="1302"/>
      <c r="H12" s="1302"/>
      <c r="I12" s="1302"/>
      <c r="J12" s="1302"/>
      <c r="K12" s="1302"/>
      <c r="L12" s="1302"/>
      <c r="M12" s="1303"/>
    </row>
    <row r="13" spans="1:13" ht="18" customHeight="1" x14ac:dyDescent="0.25">
      <c r="A13" s="308">
        <f>IF('Table 3-A| Emission Units'!A43=0,0,'Table 5-A| Criteria MPTE'!A101)</f>
        <v>0</v>
      </c>
      <c r="B13" s="309">
        <f>IF(A13=0,0,'Table 3-A| Emission Units'!C43)</f>
        <v>0</v>
      </c>
      <c r="C13" s="311">
        <f>IF(ISBLANK('Table 6-A| Controls &amp; Limits'!C20),0,IF('Table 6-A| Controls &amp; Limits'!C20="No",'Table 6-A| Controls &amp; Limits'!D20,'Table 6-A| Controls &amp; Limits'!E20))</f>
        <v>0</v>
      </c>
      <c r="D13" s="398" t="str">
        <f>IF(C13=0,"",'Table 6-A| Controls &amp; Limits'!F20)</f>
        <v/>
      </c>
      <c r="E13" s="399" t="str">
        <f>IFERROR(IFERROR(1-VLOOKUP('Table 6-A| Controls &amp; Limits'!$K20,'Emission Controls'!$A$20:$L$33,4,),1)*('Table 5-A| Criteria MPTE'!G101*'Table 7-A| Facility-Wide APTE'!$C13/'Table 5-A| Criteria MPTE'!$E101),"")</f>
        <v/>
      </c>
      <c r="F13" s="400" t="str">
        <f>IFERROR(IFERROR(1-VLOOKUP('Table 6-A| Controls &amp; Limits'!$K20,'Emission Controls'!$A$20:$L$33,5,),1)*('Table 5-A| Criteria MPTE'!H101*'Table 7-A| Facility-Wide APTE'!$C13/'Table 5-A| Criteria MPTE'!$E101),"")</f>
        <v/>
      </c>
      <c r="G13" s="400" t="str">
        <f>IFERROR(IFERROR(1-VLOOKUP('Table 6-A| Controls &amp; Limits'!$K20,'Emission Controls'!$A$20:$L$33,6,),1)*('Table 5-A| Criteria MPTE'!I101*'Table 7-A| Facility-Wide APTE'!$C13/'Table 5-A| Criteria MPTE'!$E101),"")</f>
        <v/>
      </c>
      <c r="H13" s="400" t="str">
        <f>IFERROR(IFERROR(1-VLOOKUP('Table 6-A| Controls &amp; Limits'!$K20,'Emission Controls'!$A$20:$L$33,7,),1)*('Table 5-A| Criteria MPTE'!J101*'Table 7-A| Facility-Wide APTE'!$C13/'Table 5-A| Criteria MPTE'!$E101),"")</f>
        <v/>
      </c>
      <c r="I13" s="400" t="str">
        <f>IFERROR(IFERROR(1-VLOOKUP('Table 6-A| Controls &amp; Limits'!$K20,'Emission Controls'!$A$20:$L$33,8,),1)*('Table 5-A| Criteria MPTE'!K101*'Table 7-A| Facility-Wide APTE'!$C13/'Table 5-A| Criteria MPTE'!$E101),"")</f>
        <v/>
      </c>
      <c r="J13" s="400" t="str">
        <f>IFERROR(IFERROR(1-VLOOKUP('Table 6-A| Controls &amp; Limits'!$K20,'Emission Controls'!$A$20:$L$33,9,),1)*('Table 5-A| Criteria MPTE'!L101*'Table 7-A| Facility-Wide APTE'!$C13/'Table 5-A| Criteria MPTE'!$E101),"")</f>
        <v/>
      </c>
      <c r="K13" s="400" t="str">
        <f>IFERROR(IFERROR(1-VLOOKUP('Table 6-A| Controls &amp; Limits'!$K20,'Emission Controls'!$A$20:$L$33,10,),1)*('Table 5-A| Criteria MPTE'!M101*'Table 7-A| Facility-Wide APTE'!$C13/'Table 5-A| Criteria MPTE'!$E101),"")</f>
        <v/>
      </c>
      <c r="L13" s="400" t="str">
        <f>IFERROR(IFERROR(1-VLOOKUP('Table 6-A| Controls &amp; Limits'!$K20,'Emission Controls'!$A$20:$L$33,11,),1)*('Table 5-A| Criteria MPTE'!N101*'Table 7-A| Facility-Wide APTE'!$C13/'Table 5-A| Criteria MPTE'!$E101),"")</f>
        <v/>
      </c>
      <c r="M13" s="401" t="str">
        <f>IFERROR(IFERROR(1-VLOOKUP('Table 6-A| Controls &amp; Limits'!$K20,'Emission Controls'!$A$20:$L$33,12,),1)*('Table 5-A| Criteria MPTE'!O101*'Table 7-A| Facility-Wide APTE'!$C13/'Table 5-A| Criteria MPTE'!$E101),"")</f>
        <v/>
      </c>
    </row>
    <row r="14" spans="1:13" ht="18" customHeight="1" x14ac:dyDescent="0.25">
      <c r="A14" s="308">
        <f>IF('Table 3-A| Emission Units'!A44=0,0,'Table 5-A| Criteria MPTE'!A102)</f>
        <v>0</v>
      </c>
      <c r="B14" s="309">
        <f>IF(A14=0,0,'Table 3-A| Emission Units'!C44)</f>
        <v>0</v>
      </c>
      <c r="C14" s="311">
        <f>IF(ISBLANK('Table 6-A| Controls &amp; Limits'!C21),0,IF('Table 6-A| Controls &amp; Limits'!C21="No",'Table 6-A| Controls &amp; Limits'!D21,'Table 6-A| Controls &amp; Limits'!E21))</f>
        <v>0</v>
      </c>
      <c r="D14" s="398" t="str">
        <f>IF(C14=0,"",'Table 6-A| Controls &amp; Limits'!F21)</f>
        <v/>
      </c>
      <c r="E14" s="399" t="str">
        <f>IFERROR(IFERROR(1-VLOOKUP('Table 6-A| Controls &amp; Limits'!$K21,'Emission Controls'!$A$20:$L$33,4,),1)*('Table 5-A| Criteria MPTE'!G102*'Table 7-A| Facility-Wide APTE'!$C14/'Table 5-A| Criteria MPTE'!$E102),"")</f>
        <v/>
      </c>
      <c r="F14" s="400" t="str">
        <f>IFERROR(IFERROR(1-VLOOKUP('Table 6-A| Controls &amp; Limits'!$K21,'Emission Controls'!$A$20:$L$33,5,),1)*('Table 5-A| Criteria MPTE'!H102*'Table 7-A| Facility-Wide APTE'!$C14/'Table 5-A| Criteria MPTE'!$E102),"")</f>
        <v/>
      </c>
      <c r="G14" s="400" t="str">
        <f>IFERROR(IFERROR(1-VLOOKUP('Table 6-A| Controls &amp; Limits'!$K21,'Emission Controls'!$A$20:$L$33,6,),1)*('Table 5-A| Criteria MPTE'!I102*'Table 7-A| Facility-Wide APTE'!$C14/'Table 5-A| Criteria MPTE'!$E102),"")</f>
        <v/>
      </c>
      <c r="H14" s="400" t="str">
        <f>IFERROR(IFERROR(1-VLOOKUP('Table 6-A| Controls &amp; Limits'!$K21,'Emission Controls'!$A$20:$L$33,7,),1)*('Table 5-A| Criteria MPTE'!J102*'Table 7-A| Facility-Wide APTE'!$C14/'Table 5-A| Criteria MPTE'!$E102),"")</f>
        <v/>
      </c>
      <c r="I14" s="400" t="str">
        <f>IFERROR(IFERROR(1-VLOOKUP('Table 6-A| Controls &amp; Limits'!$K21,'Emission Controls'!$A$20:$L$33,8,),1)*('Table 5-A| Criteria MPTE'!K102*'Table 7-A| Facility-Wide APTE'!$C14/'Table 5-A| Criteria MPTE'!$E102),"")</f>
        <v/>
      </c>
      <c r="J14" s="400" t="str">
        <f>IFERROR(IFERROR(1-VLOOKUP('Table 6-A| Controls &amp; Limits'!$K21,'Emission Controls'!$A$20:$L$33,9,),1)*('Table 5-A| Criteria MPTE'!L102*'Table 7-A| Facility-Wide APTE'!$C14/'Table 5-A| Criteria MPTE'!$E102),"")</f>
        <v/>
      </c>
      <c r="K14" s="400" t="str">
        <f>IFERROR(IFERROR(1-VLOOKUP('Table 6-A| Controls &amp; Limits'!$K21,'Emission Controls'!$A$20:$L$33,10,),1)*('Table 5-A| Criteria MPTE'!M102*'Table 7-A| Facility-Wide APTE'!$C14/'Table 5-A| Criteria MPTE'!$E102),"")</f>
        <v/>
      </c>
      <c r="L14" s="400" t="str">
        <f>IFERROR(IFERROR(1-VLOOKUP('Table 6-A| Controls &amp; Limits'!$K21,'Emission Controls'!$A$20:$L$33,11,),1)*('Table 5-A| Criteria MPTE'!N102*'Table 7-A| Facility-Wide APTE'!$C14/'Table 5-A| Criteria MPTE'!$E102),"")</f>
        <v/>
      </c>
      <c r="M14" s="401" t="str">
        <f>IFERROR(IFERROR(1-VLOOKUP('Table 6-A| Controls &amp; Limits'!$K21,'Emission Controls'!$A$20:$L$33,12,),1)*('Table 5-A| Criteria MPTE'!O102*'Table 7-A| Facility-Wide APTE'!$C14/'Table 5-A| Criteria MPTE'!$E102),"")</f>
        <v/>
      </c>
    </row>
    <row r="15" spans="1:13" ht="18" customHeight="1" x14ac:dyDescent="0.25">
      <c r="A15" s="308">
        <f>IF('Table 3-A| Emission Units'!A45=0,0,'Table 5-A| Criteria MPTE'!A103)</f>
        <v>0</v>
      </c>
      <c r="B15" s="309">
        <f>IF(A15=0,0,'Table 3-A| Emission Units'!C45)</f>
        <v>0</v>
      </c>
      <c r="C15" s="311">
        <f>IF(ISBLANK('Table 6-A| Controls &amp; Limits'!C22),0,IF('Table 6-A| Controls &amp; Limits'!C22="No",'Table 6-A| Controls &amp; Limits'!D22,'Table 6-A| Controls &amp; Limits'!E22))</f>
        <v>0</v>
      </c>
      <c r="D15" s="398" t="str">
        <f>IF(C15=0,"",'Table 6-A| Controls &amp; Limits'!F22)</f>
        <v/>
      </c>
      <c r="E15" s="399" t="str">
        <f>IFERROR(IFERROR(1-VLOOKUP('Table 6-A| Controls &amp; Limits'!$K22,'Emission Controls'!$A$20:$L$33,4,),1)*('Table 5-A| Criteria MPTE'!G103*'Table 7-A| Facility-Wide APTE'!$C15/'Table 5-A| Criteria MPTE'!$E103),"")</f>
        <v/>
      </c>
      <c r="F15" s="400" t="str">
        <f>IFERROR(IFERROR(1-VLOOKUP('Table 6-A| Controls &amp; Limits'!$K22,'Emission Controls'!$A$20:$L$33,5,),1)*('Table 5-A| Criteria MPTE'!H103*'Table 7-A| Facility-Wide APTE'!$C15/'Table 5-A| Criteria MPTE'!$E103),"")</f>
        <v/>
      </c>
      <c r="G15" s="400" t="str">
        <f>IFERROR(IFERROR(1-VLOOKUP('Table 6-A| Controls &amp; Limits'!$K22,'Emission Controls'!$A$20:$L$33,6,),1)*('Table 5-A| Criteria MPTE'!I103*'Table 7-A| Facility-Wide APTE'!$C15/'Table 5-A| Criteria MPTE'!$E103),"")</f>
        <v/>
      </c>
      <c r="H15" s="400" t="str">
        <f>IFERROR(IFERROR(1-VLOOKUP('Table 6-A| Controls &amp; Limits'!$K22,'Emission Controls'!$A$20:$L$33,7,),1)*('Table 5-A| Criteria MPTE'!J103*'Table 7-A| Facility-Wide APTE'!$C15/'Table 5-A| Criteria MPTE'!$E103),"")</f>
        <v/>
      </c>
      <c r="I15" s="400" t="str">
        <f>IFERROR(IFERROR(1-VLOOKUP('Table 6-A| Controls &amp; Limits'!$K22,'Emission Controls'!$A$20:$L$33,8,),1)*('Table 5-A| Criteria MPTE'!K103*'Table 7-A| Facility-Wide APTE'!$C15/'Table 5-A| Criteria MPTE'!$E103),"")</f>
        <v/>
      </c>
      <c r="J15" s="400" t="str">
        <f>IFERROR(IFERROR(1-VLOOKUP('Table 6-A| Controls &amp; Limits'!$K22,'Emission Controls'!$A$20:$L$33,9,),1)*('Table 5-A| Criteria MPTE'!L103*'Table 7-A| Facility-Wide APTE'!$C15/'Table 5-A| Criteria MPTE'!$E103),"")</f>
        <v/>
      </c>
      <c r="K15" s="400" t="str">
        <f>IFERROR(IFERROR(1-VLOOKUP('Table 6-A| Controls &amp; Limits'!$K22,'Emission Controls'!$A$20:$L$33,10,),1)*('Table 5-A| Criteria MPTE'!M103*'Table 7-A| Facility-Wide APTE'!$C15/'Table 5-A| Criteria MPTE'!$E103),"")</f>
        <v/>
      </c>
      <c r="L15" s="400" t="str">
        <f>IFERROR(IFERROR(1-VLOOKUP('Table 6-A| Controls &amp; Limits'!$K22,'Emission Controls'!$A$20:$L$33,11,),1)*('Table 5-A| Criteria MPTE'!N103*'Table 7-A| Facility-Wide APTE'!$C15/'Table 5-A| Criteria MPTE'!$E103),"")</f>
        <v/>
      </c>
      <c r="M15" s="401" t="str">
        <f>IFERROR(IFERROR(1-VLOOKUP('Table 6-A| Controls &amp; Limits'!$K22,'Emission Controls'!$A$20:$L$33,12,),1)*('Table 5-A| Criteria MPTE'!O103*'Table 7-A| Facility-Wide APTE'!$C15/'Table 5-A| Criteria MPTE'!$E103),"")</f>
        <v/>
      </c>
    </row>
    <row r="16" spans="1:13" ht="18" customHeight="1" x14ac:dyDescent="0.25">
      <c r="A16" s="308">
        <f>IF('Table 3-A| Emission Units'!A46=0,0,'Table 5-A| Criteria MPTE'!A104)</f>
        <v>0</v>
      </c>
      <c r="B16" s="309">
        <f>IF(A16=0,0,'Table 3-A| Emission Units'!C46)</f>
        <v>0</v>
      </c>
      <c r="C16" s="311">
        <f>IF(ISBLANK('Table 6-A| Controls &amp; Limits'!C23),0,IF('Table 6-A| Controls &amp; Limits'!C23="No",'Table 6-A| Controls &amp; Limits'!D23,'Table 6-A| Controls &amp; Limits'!E23))</f>
        <v>0</v>
      </c>
      <c r="D16" s="398" t="str">
        <f>IF(C16=0,"",'Table 6-A| Controls &amp; Limits'!F23)</f>
        <v/>
      </c>
      <c r="E16" s="399" t="str">
        <f>IFERROR(IFERROR(1-VLOOKUP('Table 6-A| Controls &amp; Limits'!$K23,'Emission Controls'!$A$20:$L$33,4,),1)*('Table 5-A| Criteria MPTE'!G104*'Table 7-A| Facility-Wide APTE'!$C16/'Table 5-A| Criteria MPTE'!$E104),"")</f>
        <v/>
      </c>
      <c r="F16" s="400" t="str">
        <f>IFERROR(IFERROR(1-VLOOKUP('Table 6-A| Controls &amp; Limits'!$K23,'Emission Controls'!$A$20:$L$33,5,),1)*('Table 5-A| Criteria MPTE'!H104*'Table 7-A| Facility-Wide APTE'!$C16/'Table 5-A| Criteria MPTE'!$E104),"")</f>
        <v/>
      </c>
      <c r="G16" s="400" t="str">
        <f>IFERROR(IFERROR(1-VLOOKUP('Table 6-A| Controls &amp; Limits'!$K23,'Emission Controls'!$A$20:$L$33,6,),1)*('Table 5-A| Criteria MPTE'!I104*'Table 7-A| Facility-Wide APTE'!$C16/'Table 5-A| Criteria MPTE'!$E104),"")</f>
        <v/>
      </c>
      <c r="H16" s="400" t="str">
        <f>IFERROR(IFERROR(1-VLOOKUP('Table 6-A| Controls &amp; Limits'!$K23,'Emission Controls'!$A$20:$L$33,7,),1)*('Table 5-A| Criteria MPTE'!J104*'Table 7-A| Facility-Wide APTE'!$C16/'Table 5-A| Criteria MPTE'!$E104),"")</f>
        <v/>
      </c>
      <c r="I16" s="400" t="str">
        <f>IFERROR(IFERROR(1-VLOOKUP('Table 6-A| Controls &amp; Limits'!$K23,'Emission Controls'!$A$20:$L$33,8,),1)*('Table 5-A| Criteria MPTE'!K104*'Table 7-A| Facility-Wide APTE'!$C16/'Table 5-A| Criteria MPTE'!$E104),"")</f>
        <v/>
      </c>
      <c r="J16" s="400" t="str">
        <f>IFERROR(IFERROR(1-VLOOKUP('Table 6-A| Controls &amp; Limits'!$K23,'Emission Controls'!$A$20:$L$33,9,),1)*('Table 5-A| Criteria MPTE'!L104*'Table 7-A| Facility-Wide APTE'!$C16/'Table 5-A| Criteria MPTE'!$E104),"")</f>
        <v/>
      </c>
      <c r="K16" s="400" t="str">
        <f>IFERROR(IFERROR(1-VLOOKUP('Table 6-A| Controls &amp; Limits'!$K23,'Emission Controls'!$A$20:$L$33,10,),1)*('Table 5-A| Criteria MPTE'!M104*'Table 7-A| Facility-Wide APTE'!$C16/'Table 5-A| Criteria MPTE'!$E104),"")</f>
        <v/>
      </c>
      <c r="L16" s="400" t="str">
        <f>IFERROR(IFERROR(1-VLOOKUP('Table 6-A| Controls &amp; Limits'!$K23,'Emission Controls'!$A$20:$L$33,11,),1)*('Table 5-A| Criteria MPTE'!N104*'Table 7-A| Facility-Wide APTE'!$C16/'Table 5-A| Criteria MPTE'!$E104),"")</f>
        <v/>
      </c>
      <c r="M16" s="401" t="str">
        <f>IFERROR(IFERROR(1-VLOOKUP('Table 6-A| Controls &amp; Limits'!$K23,'Emission Controls'!$A$20:$L$33,12,),1)*('Table 5-A| Criteria MPTE'!O104*'Table 7-A| Facility-Wide APTE'!$C16/'Table 5-A| Criteria MPTE'!$E104),"")</f>
        <v/>
      </c>
    </row>
    <row r="17" spans="1:20" ht="18" customHeight="1" x14ac:dyDescent="0.25">
      <c r="A17" s="308">
        <f>IF('Table 3-A| Emission Units'!A47=0,0,'Table 5-A| Criteria MPTE'!A105)</f>
        <v>0</v>
      </c>
      <c r="B17" s="309">
        <f>IF(A17=0,0,'Table 3-A| Emission Units'!C47)</f>
        <v>0</v>
      </c>
      <c r="C17" s="311">
        <f>IF(ISBLANK('Table 6-A| Controls &amp; Limits'!C24),0,IF('Table 6-A| Controls &amp; Limits'!C24="No",'Table 6-A| Controls &amp; Limits'!D24,'Table 6-A| Controls &amp; Limits'!E24))</f>
        <v>0</v>
      </c>
      <c r="D17" s="398" t="str">
        <f>IF(C17=0,"",'Table 6-A| Controls &amp; Limits'!F24)</f>
        <v/>
      </c>
      <c r="E17" s="399" t="str">
        <f>IFERROR(IFERROR(1-VLOOKUP('Table 6-A| Controls &amp; Limits'!$K24,'Emission Controls'!$A$20:$L$33,4,),1)*('Table 5-A| Criteria MPTE'!G105*'Table 7-A| Facility-Wide APTE'!$C17/'Table 5-A| Criteria MPTE'!$E105),"")</f>
        <v/>
      </c>
      <c r="F17" s="400" t="str">
        <f>IFERROR(IFERROR(1-VLOOKUP('Table 6-A| Controls &amp; Limits'!$K24,'Emission Controls'!$A$20:$L$33,5,),1)*('Table 5-A| Criteria MPTE'!H105*'Table 7-A| Facility-Wide APTE'!$C17/'Table 5-A| Criteria MPTE'!$E105),"")</f>
        <v/>
      </c>
      <c r="G17" s="400" t="str">
        <f>IFERROR(IFERROR(1-VLOOKUP('Table 6-A| Controls &amp; Limits'!$K24,'Emission Controls'!$A$20:$L$33,6,),1)*('Table 5-A| Criteria MPTE'!I105*'Table 7-A| Facility-Wide APTE'!$C17/'Table 5-A| Criteria MPTE'!$E105),"")</f>
        <v/>
      </c>
      <c r="H17" s="400" t="str">
        <f>IFERROR(IFERROR(1-VLOOKUP('Table 6-A| Controls &amp; Limits'!$K24,'Emission Controls'!$A$20:$L$33,7,),1)*('Table 5-A| Criteria MPTE'!J105*'Table 7-A| Facility-Wide APTE'!$C17/'Table 5-A| Criteria MPTE'!$E105),"")</f>
        <v/>
      </c>
      <c r="I17" s="400" t="str">
        <f>IFERROR(IFERROR(1-VLOOKUP('Table 6-A| Controls &amp; Limits'!$K24,'Emission Controls'!$A$20:$L$33,8,),1)*('Table 5-A| Criteria MPTE'!K105*'Table 7-A| Facility-Wide APTE'!$C17/'Table 5-A| Criteria MPTE'!$E105),"")</f>
        <v/>
      </c>
      <c r="J17" s="400" t="str">
        <f>IFERROR(IFERROR(1-VLOOKUP('Table 6-A| Controls &amp; Limits'!$K24,'Emission Controls'!$A$20:$L$33,9,),1)*('Table 5-A| Criteria MPTE'!L105*'Table 7-A| Facility-Wide APTE'!$C17/'Table 5-A| Criteria MPTE'!$E105),"")</f>
        <v/>
      </c>
      <c r="K17" s="400" t="str">
        <f>IFERROR(IFERROR(1-VLOOKUP('Table 6-A| Controls &amp; Limits'!$K24,'Emission Controls'!$A$20:$L$33,10,),1)*('Table 5-A| Criteria MPTE'!M105*'Table 7-A| Facility-Wide APTE'!$C17/'Table 5-A| Criteria MPTE'!$E105),"")</f>
        <v/>
      </c>
      <c r="L17" s="400" t="str">
        <f>IFERROR(IFERROR(1-VLOOKUP('Table 6-A| Controls &amp; Limits'!$K24,'Emission Controls'!$A$20:$L$33,11,),1)*('Table 5-A| Criteria MPTE'!N105*'Table 7-A| Facility-Wide APTE'!$C17/'Table 5-A| Criteria MPTE'!$E105),"")</f>
        <v/>
      </c>
      <c r="M17" s="401" t="str">
        <f>IFERROR(IFERROR(1-VLOOKUP('Table 6-A| Controls &amp; Limits'!$K24,'Emission Controls'!$A$20:$L$33,12,),1)*('Table 5-A| Criteria MPTE'!O105*'Table 7-A| Facility-Wide APTE'!$C17/'Table 5-A| Criteria MPTE'!$E105),"")</f>
        <v/>
      </c>
    </row>
    <row r="18" spans="1:20" ht="18" customHeight="1" thickBot="1" x14ac:dyDescent="0.3">
      <c r="A18" s="308">
        <f>IF('Table 3-A| Emission Units'!A48=0,0,'Table 5-A| Criteria MPTE'!A106)</f>
        <v>0</v>
      </c>
      <c r="B18" s="309">
        <f>IF(A18=0,0,'Table 3-A| Emission Units'!C48)</f>
        <v>0</v>
      </c>
      <c r="C18" s="311">
        <f>IF(ISBLANK('Table 6-A| Controls &amp; Limits'!C25),0,IF('Table 6-A| Controls &amp; Limits'!C25="No",'Table 6-A| Controls &amp; Limits'!D25,'Table 6-A| Controls &amp; Limits'!E25))</f>
        <v>0</v>
      </c>
      <c r="D18" s="398" t="str">
        <f>IF(C18=0,"",'Table 6-A| Controls &amp; Limits'!F25)</f>
        <v/>
      </c>
      <c r="E18" s="399" t="str">
        <f>IFERROR(IFERROR(1-VLOOKUP('Table 6-A| Controls &amp; Limits'!$K25,'Emission Controls'!$A$20:$L$33,4,),1)*('Table 5-A| Criteria MPTE'!G106*'Table 7-A| Facility-Wide APTE'!$C18/'Table 5-A| Criteria MPTE'!$E106),"")</f>
        <v/>
      </c>
      <c r="F18" s="400" t="str">
        <f>IFERROR(IFERROR(1-VLOOKUP('Table 6-A| Controls &amp; Limits'!$K25,'Emission Controls'!$A$20:$L$33,5,),1)*('Table 5-A| Criteria MPTE'!H106*'Table 7-A| Facility-Wide APTE'!$C18/'Table 5-A| Criteria MPTE'!$E106),"")</f>
        <v/>
      </c>
      <c r="G18" s="400" t="str">
        <f>IFERROR(IFERROR(1-VLOOKUP('Table 6-A| Controls &amp; Limits'!$K25,'Emission Controls'!$A$20:$L$33,6,),1)*('Table 5-A| Criteria MPTE'!I106*'Table 7-A| Facility-Wide APTE'!$C18/'Table 5-A| Criteria MPTE'!$E106),"")</f>
        <v/>
      </c>
      <c r="H18" s="400" t="str">
        <f>IFERROR(IFERROR(1-VLOOKUP('Table 6-A| Controls &amp; Limits'!$K25,'Emission Controls'!$A$20:$L$33,7,),1)*('Table 5-A| Criteria MPTE'!J106*'Table 7-A| Facility-Wide APTE'!$C18/'Table 5-A| Criteria MPTE'!$E106),"")</f>
        <v/>
      </c>
      <c r="I18" s="400" t="str">
        <f>IFERROR(IFERROR(1-VLOOKUP('Table 6-A| Controls &amp; Limits'!$K25,'Emission Controls'!$A$20:$L$33,8,),1)*('Table 5-A| Criteria MPTE'!K106*'Table 7-A| Facility-Wide APTE'!$C18/'Table 5-A| Criteria MPTE'!$E106),"")</f>
        <v/>
      </c>
      <c r="J18" s="400" t="str">
        <f>IFERROR(IFERROR(1-VLOOKUP('Table 6-A| Controls &amp; Limits'!$K25,'Emission Controls'!$A$20:$L$33,9,),1)*('Table 5-A| Criteria MPTE'!L106*'Table 7-A| Facility-Wide APTE'!$C18/'Table 5-A| Criteria MPTE'!$E106),"")</f>
        <v/>
      </c>
      <c r="K18" s="400" t="str">
        <f>IFERROR(IFERROR(1-VLOOKUP('Table 6-A| Controls &amp; Limits'!$K25,'Emission Controls'!$A$20:$L$33,10,),1)*('Table 5-A| Criteria MPTE'!M106*'Table 7-A| Facility-Wide APTE'!$C18/'Table 5-A| Criteria MPTE'!$E106),"")</f>
        <v/>
      </c>
      <c r="L18" s="400" t="str">
        <f>IFERROR(IFERROR(1-VLOOKUP('Table 6-A| Controls &amp; Limits'!$K25,'Emission Controls'!$A$20:$L$33,11,),1)*('Table 5-A| Criteria MPTE'!N106*'Table 7-A| Facility-Wide APTE'!$C18/'Table 5-A| Criteria MPTE'!$E106),"")</f>
        <v/>
      </c>
      <c r="M18" s="401" t="str">
        <f>IFERROR(IFERROR(1-VLOOKUP('Table 6-A| Controls &amp; Limits'!$K25,'Emission Controls'!$A$20:$L$33,12,),1)*('Table 5-A| Criteria MPTE'!O106*'Table 7-A| Facility-Wide APTE'!$C18/'Table 5-A| Criteria MPTE'!$E106),"")</f>
        <v/>
      </c>
    </row>
    <row r="19" spans="1:20" ht="18" customHeight="1" x14ac:dyDescent="0.25">
      <c r="A19" s="1301" t="str">
        <f>'Table 6-A| Controls &amp; Limits'!A26:J26</f>
        <v>Elevator Leg Emission Units</v>
      </c>
      <c r="B19" s="1302"/>
      <c r="C19" s="1302"/>
      <c r="D19" s="1302"/>
      <c r="E19" s="1302"/>
      <c r="F19" s="1302"/>
      <c r="G19" s="1302"/>
      <c r="H19" s="1302"/>
      <c r="I19" s="1302"/>
      <c r="J19" s="1302"/>
      <c r="K19" s="1302"/>
      <c r="L19" s="1302"/>
      <c r="M19" s="1303"/>
    </row>
    <row r="20" spans="1:20" ht="18" customHeight="1" x14ac:dyDescent="0.25">
      <c r="A20" s="308">
        <f>IF('Table 3-A| Emission Units'!A50=0,0,'Table 5-A| Criteria MPTE'!A108)</f>
        <v>0</v>
      </c>
      <c r="B20" s="309">
        <f>IF(A20=0,0,'Table 3-A| Emission Units'!C50)</f>
        <v>0</v>
      </c>
      <c r="C20" s="311">
        <f>IF(ISBLANK('Table 6-A| Controls &amp; Limits'!C27),0,IF('Table 6-A| Controls &amp; Limits'!C27="No",'Table 6-A| Controls &amp; Limits'!D27,'Table 6-A| Controls &amp; Limits'!E27))</f>
        <v>0</v>
      </c>
      <c r="D20" s="398" t="str">
        <f>IF(C20=0,"",'Table 6-A| Controls &amp; Limits'!F27)</f>
        <v/>
      </c>
      <c r="E20" s="399" t="str">
        <f>IFERROR(IFERROR(1-VLOOKUP('Table 6-A| Controls &amp; Limits'!$K27,'Emission Controls'!$A$20:$L$33,4,),1)*('Table 5-A| Criteria MPTE'!G108*'Table 7-A| Facility-Wide APTE'!$C20/'Table 5-A| Criteria MPTE'!$E108),"")</f>
        <v/>
      </c>
      <c r="F20" s="400" t="str">
        <f>IFERROR(IFERROR(1-VLOOKUP('Table 6-A| Controls &amp; Limits'!$K27,'Emission Controls'!$A$20:$L$33,5,),1)*('Table 5-A| Criteria MPTE'!H108*'Table 7-A| Facility-Wide APTE'!$C20/'Table 5-A| Criteria MPTE'!$E108),"")</f>
        <v/>
      </c>
      <c r="G20" s="400" t="str">
        <f>IFERROR(IFERROR(1-VLOOKUP('Table 6-A| Controls &amp; Limits'!$K27,'Emission Controls'!$A$20:$L$33,6,),1)*('Table 5-A| Criteria MPTE'!I108*'Table 7-A| Facility-Wide APTE'!$C20/'Table 5-A| Criteria MPTE'!$E108),"")</f>
        <v/>
      </c>
      <c r="H20" s="400" t="str">
        <f>IFERROR(IFERROR(1-VLOOKUP('Table 6-A| Controls &amp; Limits'!$K27,'Emission Controls'!$A$20:$L$33,7,),1)*('Table 5-A| Criteria MPTE'!J108*'Table 7-A| Facility-Wide APTE'!$C20/'Table 5-A| Criteria MPTE'!$E108),"")</f>
        <v/>
      </c>
      <c r="I20" s="400" t="str">
        <f>IFERROR(IFERROR(1-VLOOKUP('Table 6-A| Controls &amp; Limits'!$K27,'Emission Controls'!$A$20:$L$33,8,),1)*('Table 5-A| Criteria MPTE'!K108*'Table 7-A| Facility-Wide APTE'!$C20/'Table 5-A| Criteria MPTE'!$E108),"")</f>
        <v/>
      </c>
      <c r="J20" s="400" t="str">
        <f>IFERROR(IFERROR(1-VLOOKUP('Table 6-A| Controls &amp; Limits'!$K27,'Emission Controls'!$A$20:$L$33,9,),1)*('Table 5-A| Criteria MPTE'!L108*'Table 7-A| Facility-Wide APTE'!$C20/'Table 5-A| Criteria MPTE'!$E108),"")</f>
        <v/>
      </c>
      <c r="K20" s="400" t="str">
        <f>IFERROR(IFERROR(1-VLOOKUP('Table 6-A| Controls &amp; Limits'!$K27,'Emission Controls'!$A$20:$L$33,10,),1)*('Table 5-A| Criteria MPTE'!M108*'Table 7-A| Facility-Wide APTE'!$C20/'Table 5-A| Criteria MPTE'!$E108),"")</f>
        <v/>
      </c>
      <c r="L20" s="400" t="str">
        <f>IFERROR(IFERROR(1-VLOOKUP('Table 6-A| Controls &amp; Limits'!$K27,'Emission Controls'!$A$20:$L$33,11,),1)*('Table 5-A| Criteria MPTE'!N108*'Table 7-A| Facility-Wide APTE'!$C20/'Table 5-A| Criteria MPTE'!$E108),"")</f>
        <v/>
      </c>
      <c r="M20" s="401" t="str">
        <f>IFERROR(IFERROR(1-VLOOKUP('Table 6-A| Controls &amp; Limits'!$K27,'Emission Controls'!$A$20:$L$33,12,),1)*('Table 5-A| Criteria MPTE'!O108*'Table 7-A| Facility-Wide APTE'!$C20/'Table 5-A| Criteria MPTE'!$E108),"")</f>
        <v/>
      </c>
    </row>
    <row r="21" spans="1:20" ht="18" customHeight="1" x14ac:dyDescent="0.25">
      <c r="A21" s="308">
        <f>IF('Table 3-A| Emission Units'!A51=0,0,'Table 5-A| Criteria MPTE'!A109)</f>
        <v>0</v>
      </c>
      <c r="B21" s="309">
        <f>IF(A21=0,0,'Table 3-A| Emission Units'!C51)</f>
        <v>0</v>
      </c>
      <c r="C21" s="311">
        <f>IF(ISBLANK('Table 6-A| Controls &amp; Limits'!C28),0,IF('Table 6-A| Controls &amp; Limits'!C28="No",'Table 6-A| Controls &amp; Limits'!D28,'Table 6-A| Controls &amp; Limits'!E28))</f>
        <v>0</v>
      </c>
      <c r="D21" s="398" t="str">
        <f>IF(C21=0,"",'Table 6-A| Controls &amp; Limits'!F28)</f>
        <v/>
      </c>
      <c r="E21" s="399" t="str">
        <f>IFERROR(IFERROR(1-VLOOKUP('Table 6-A| Controls &amp; Limits'!$K28,'Emission Controls'!$A$20:$L$33,4,),1)*('Table 5-A| Criteria MPTE'!G109*'Table 7-A| Facility-Wide APTE'!$C21/'Table 5-A| Criteria MPTE'!$E109),"")</f>
        <v/>
      </c>
      <c r="F21" s="400" t="str">
        <f>IFERROR(IFERROR(1-VLOOKUP('Table 6-A| Controls &amp; Limits'!$K28,'Emission Controls'!$A$20:$L$33,5,),1)*('Table 5-A| Criteria MPTE'!H109*'Table 7-A| Facility-Wide APTE'!$C21/'Table 5-A| Criteria MPTE'!$E109),"")</f>
        <v/>
      </c>
      <c r="G21" s="400" t="str">
        <f>IFERROR(IFERROR(1-VLOOKUP('Table 6-A| Controls &amp; Limits'!$K28,'Emission Controls'!$A$20:$L$33,6,),1)*('Table 5-A| Criteria MPTE'!I109*'Table 7-A| Facility-Wide APTE'!$C21/'Table 5-A| Criteria MPTE'!$E109),"")</f>
        <v/>
      </c>
      <c r="H21" s="400" t="str">
        <f>IFERROR(IFERROR(1-VLOOKUP('Table 6-A| Controls &amp; Limits'!$K28,'Emission Controls'!$A$20:$L$33,7,),1)*('Table 5-A| Criteria MPTE'!J109*'Table 7-A| Facility-Wide APTE'!$C21/'Table 5-A| Criteria MPTE'!$E109),"")</f>
        <v/>
      </c>
      <c r="I21" s="400" t="str">
        <f>IFERROR(IFERROR(1-VLOOKUP('Table 6-A| Controls &amp; Limits'!$K28,'Emission Controls'!$A$20:$L$33,8,),1)*('Table 5-A| Criteria MPTE'!K109*'Table 7-A| Facility-Wide APTE'!$C21/'Table 5-A| Criteria MPTE'!$E109),"")</f>
        <v/>
      </c>
      <c r="J21" s="400" t="str">
        <f>IFERROR(IFERROR(1-VLOOKUP('Table 6-A| Controls &amp; Limits'!$K28,'Emission Controls'!$A$20:$L$33,9,),1)*('Table 5-A| Criteria MPTE'!L109*'Table 7-A| Facility-Wide APTE'!$C21/'Table 5-A| Criteria MPTE'!$E109),"")</f>
        <v/>
      </c>
      <c r="K21" s="400" t="str">
        <f>IFERROR(IFERROR(1-VLOOKUP('Table 6-A| Controls &amp; Limits'!$K28,'Emission Controls'!$A$20:$L$33,10,),1)*('Table 5-A| Criteria MPTE'!M109*'Table 7-A| Facility-Wide APTE'!$C21/'Table 5-A| Criteria MPTE'!$E109),"")</f>
        <v/>
      </c>
      <c r="L21" s="400" t="str">
        <f>IFERROR(IFERROR(1-VLOOKUP('Table 6-A| Controls &amp; Limits'!$K28,'Emission Controls'!$A$20:$L$33,11,),1)*('Table 5-A| Criteria MPTE'!N109*'Table 7-A| Facility-Wide APTE'!$C21/'Table 5-A| Criteria MPTE'!$E109),"")</f>
        <v/>
      </c>
      <c r="M21" s="401" t="str">
        <f>IFERROR(IFERROR(1-VLOOKUP('Table 6-A| Controls &amp; Limits'!$K28,'Emission Controls'!$A$20:$L$33,12,),1)*('Table 5-A| Criteria MPTE'!O109*'Table 7-A| Facility-Wide APTE'!$C21/'Table 5-A| Criteria MPTE'!$E109),"")</f>
        <v/>
      </c>
    </row>
    <row r="22" spans="1:20" ht="18" customHeight="1" x14ac:dyDescent="0.25">
      <c r="A22" s="308">
        <f>IF('Table 3-A| Emission Units'!A52=0,0,'Table 5-A| Criteria MPTE'!A110)</f>
        <v>0</v>
      </c>
      <c r="B22" s="309">
        <f>IF(A22=0,0,'Table 3-A| Emission Units'!C52)</f>
        <v>0</v>
      </c>
      <c r="C22" s="311">
        <f>IF(ISBLANK('Table 6-A| Controls &amp; Limits'!C29),0,IF('Table 6-A| Controls &amp; Limits'!C29="No",'Table 6-A| Controls &amp; Limits'!D29,'Table 6-A| Controls &amp; Limits'!E29))</f>
        <v>0</v>
      </c>
      <c r="D22" s="398" t="str">
        <f>IF(C22=0,"",'Table 6-A| Controls &amp; Limits'!F29)</f>
        <v/>
      </c>
      <c r="E22" s="399" t="str">
        <f>IFERROR(IFERROR(1-VLOOKUP('Table 6-A| Controls &amp; Limits'!$K29,'Emission Controls'!$A$20:$L$33,4,),1)*('Table 5-A| Criteria MPTE'!G110*'Table 7-A| Facility-Wide APTE'!$C22/'Table 5-A| Criteria MPTE'!$E110),"")</f>
        <v/>
      </c>
      <c r="F22" s="400" t="str">
        <f>IFERROR(IFERROR(1-VLOOKUP('Table 6-A| Controls &amp; Limits'!$K29,'Emission Controls'!$A$20:$L$33,5,),1)*('Table 5-A| Criteria MPTE'!H110*'Table 7-A| Facility-Wide APTE'!$C22/'Table 5-A| Criteria MPTE'!$E110),"")</f>
        <v/>
      </c>
      <c r="G22" s="400" t="str">
        <f>IFERROR(IFERROR(1-VLOOKUP('Table 6-A| Controls &amp; Limits'!$K29,'Emission Controls'!$A$20:$L$33,6,),1)*('Table 5-A| Criteria MPTE'!I110*'Table 7-A| Facility-Wide APTE'!$C22/'Table 5-A| Criteria MPTE'!$E110),"")</f>
        <v/>
      </c>
      <c r="H22" s="400" t="str">
        <f>IFERROR(IFERROR(1-VLOOKUP('Table 6-A| Controls &amp; Limits'!$K29,'Emission Controls'!$A$20:$L$33,7,),1)*('Table 5-A| Criteria MPTE'!J110*'Table 7-A| Facility-Wide APTE'!$C22/'Table 5-A| Criteria MPTE'!$E110),"")</f>
        <v/>
      </c>
      <c r="I22" s="400" t="str">
        <f>IFERROR(IFERROR(1-VLOOKUP('Table 6-A| Controls &amp; Limits'!$K29,'Emission Controls'!$A$20:$L$33,8,),1)*('Table 5-A| Criteria MPTE'!K110*'Table 7-A| Facility-Wide APTE'!$C22/'Table 5-A| Criteria MPTE'!$E110),"")</f>
        <v/>
      </c>
      <c r="J22" s="400" t="str">
        <f>IFERROR(IFERROR(1-VLOOKUP('Table 6-A| Controls &amp; Limits'!$K29,'Emission Controls'!$A$20:$L$33,9,),1)*('Table 5-A| Criteria MPTE'!L110*'Table 7-A| Facility-Wide APTE'!$C22/'Table 5-A| Criteria MPTE'!$E110),"")</f>
        <v/>
      </c>
      <c r="K22" s="400" t="str">
        <f>IFERROR(IFERROR(1-VLOOKUP('Table 6-A| Controls &amp; Limits'!$K29,'Emission Controls'!$A$20:$L$33,10,),1)*('Table 5-A| Criteria MPTE'!M110*'Table 7-A| Facility-Wide APTE'!$C22/'Table 5-A| Criteria MPTE'!$E110),"")</f>
        <v/>
      </c>
      <c r="L22" s="400" t="str">
        <f>IFERROR(IFERROR(1-VLOOKUP('Table 6-A| Controls &amp; Limits'!$K29,'Emission Controls'!$A$20:$L$33,11,),1)*('Table 5-A| Criteria MPTE'!N110*'Table 7-A| Facility-Wide APTE'!$C22/'Table 5-A| Criteria MPTE'!$E110),"")</f>
        <v/>
      </c>
      <c r="M22" s="401" t="str">
        <f>IFERROR(IFERROR(1-VLOOKUP('Table 6-A| Controls &amp; Limits'!$K29,'Emission Controls'!$A$20:$L$33,12,),1)*('Table 5-A| Criteria MPTE'!O110*'Table 7-A| Facility-Wide APTE'!$C22/'Table 5-A| Criteria MPTE'!$E110),"")</f>
        <v/>
      </c>
    </row>
    <row r="23" spans="1:20" ht="18" customHeight="1" x14ac:dyDescent="0.25">
      <c r="A23" s="308">
        <f>IF('Table 3-A| Emission Units'!A53=0,0,'Table 5-A| Criteria MPTE'!A111)</f>
        <v>0</v>
      </c>
      <c r="B23" s="309">
        <f>IF(A23=0,0,'Table 3-A| Emission Units'!C53)</f>
        <v>0</v>
      </c>
      <c r="C23" s="311">
        <f>IF(ISBLANK('Table 6-A| Controls &amp; Limits'!C30),0,IF('Table 6-A| Controls &amp; Limits'!C30="No",'Table 6-A| Controls &amp; Limits'!D30,'Table 6-A| Controls &amp; Limits'!E30))</f>
        <v>0</v>
      </c>
      <c r="D23" s="398" t="str">
        <f>IF(C23=0,"",'Table 6-A| Controls &amp; Limits'!F30)</f>
        <v/>
      </c>
      <c r="E23" s="399" t="str">
        <f>IFERROR(IFERROR(1-VLOOKUP('Table 6-A| Controls &amp; Limits'!$K30,'Emission Controls'!$A$20:$L$33,4,),1)*('Table 5-A| Criteria MPTE'!G111*'Table 7-A| Facility-Wide APTE'!$C23/'Table 5-A| Criteria MPTE'!$E111),"")</f>
        <v/>
      </c>
      <c r="F23" s="400" t="str">
        <f>IFERROR(IFERROR(1-VLOOKUP('Table 6-A| Controls &amp; Limits'!$K30,'Emission Controls'!$A$20:$L$33,5,),1)*('Table 5-A| Criteria MPTE'!H111*'Table 7-A| Facility-Wide APTE'!$C23/'Table 5-A| Criteria MPTE'!$E111),"")</f>
        <v/>
      </c>
      <c r="G23" s="400" t="str">
        <f>IFERROR(IFERROR(1-VLOOKUP('Table 6-A| Controls &amp; Limits'!$K30,'Emission Controls'!$A$20:$L$33,6,),1)*('Table 5-A| Criteria MPTE'!I111*'Table 7-A| Facility-Wide APTE'!$C23/'Table 5-A| Criteria MPTE'!$E111),"")</f>
        <v/>
      </c>
      <c r="H23" s="400" t="str">
        <f>IFERROR(IFERROR(1-VLOOKUP('Table 6-A| Controls &amp; Limits'!$K30,'Emission Controls'!$A$20:$L$33,7,),1)*('Table 5-A| Criteria MPTE'!J111*'Table 7-A| Facility-Wide APTE'!$C23/'Table 5-A| Criteria MPTE'!$E111),"")</f>
        <v/>
      </c>
      <c r="I23" s="400" t="str">
        <f>IFERROR(IFERROR(1-VLOOKUP('Table 6-A| Controls &amp; Limits'!$K30,'Emission Controls'!$A$20:$L$33,8,),1)*('Table 5-A| Criteria MPTE'!K111*'Table 7-A| Facility-Wide APTE'!$C23/'Table 5-A| Criteria MPTE'!$E111),"")</f>
        <v/>
      </c>
      <c r="J23" s="400" t="str">
        <f>IFERROR(IFERROR(1-VLOOKUP('Table 6-A| Controls &amp; Limits'!$K30,'Emission Controls'!$A$20:$L$33,9,),1)*('Table 5-A| Criteria MPTE'!L111*'Table 7-A| Facility-Wide APTE'!$C23/'Table 5-A| Criteria MPTE'!$E111),"")</f>
        <v/>
      </c>
      <c r="K23" s="400" t="str">
        <f>IFERROR(IFERROR(1-VLOOKUP('Table 6-A| Controls &amp; Limits'!$K30,'Emission Controls'!$A$20:$L$33,10,),1)*('Table 5-A| Criteria MPTE'!M111*'Table 7-A| Facility-Wide APTE'!$C23/'Table 5-A| Criteria MPTE'!$E111),"")</f>
        <v/>
      </c>
      <c r="L23" s="400" t="str">
        <f>IFERROR(IFERROR(1-VLOOKUP('Table 6-A| Controls &amp; Limits'!$K30,'Emission Controls'!$A$20:$L$33,11,),1)*('Table 5-A| Criteria MPTE'!N111*'Table 7-A| Facility-Wide APTE'!$C23/'Table 5-A| Criteria MPTE'!$E111),"")</f>
        <v/>
      </c>
      <c r="M23" s="401" t="str">
        <f>IFERROR(IFERROR(1-VLOOKUP('Table 6-A| Controls &amp; Limits'!$K30,'Emission Controls'!$A$20:$L$33,12,),1)*('Table 5-A| Criteria MPTE'!O111*'Table 7-A| Facility-Wide APTE'!$C23/'Table 5-A| Criteria MPTE'!$E111),"")</f>
        <v/>
      </c>
      <c r="O23" s="129"/>
      <c r="P23" s="129"/>
      <c r="Q23" s="129"/>
      <c r="R23" s="129"/>
      <c r="S23" s="129"/>
      <c r="T23" s="129"/>
    </row>
    <row r="24" spans="1:20" ht="18" customHeight="1" x14ac:dyDescent="0.25">
      <c r="A24" s="308">
        <f>IF('Table 3-A| Emission Units'!A54=0,0,'Table 5-A| Criteria MPTE'!A112)</f>
        <v>0</v>
      </c>
      <c r="B24" s="309">
        <f>IF(A24=0,0,'Table 3-A| Emission Units'!C54)</f>
        <v>0</v>
      </c>
      <c r="C24" s="311">
        <f>IF(ISBLANK('Table 6-A| Controls &amp; Limits'!C31),0,IF('Table 6-A| Controls &amp; Limits'!C31="No",'Table 6-A| Controls &amp; Limits'!D31,'Table 6-A| Controls &amp; Limits'!E31))</f>
        <v>0</v>
      </c>
      <c r="D24" s="398" t="str">
        <f>IF(C24=0,"",'Table 6-A| Controls &amp; Limits'!F31)</f>
        <v/>
      </c>
      <c r="E24" s="399" t="str">
        <f>IFERROR(IFERROR(1-VLOOKUP('Table 6-A| Controls &amp; Limits'!$K31,'Emission Controls'!$A$20:$L$33,4,),1)*('Table 5-A| Criteria MPTE'!G112*'Table 7-A| Facility-Wide APTE'!$C24/'Table 5-A| Criteria MPTE'!$E112),"")</f>
        <v/>
      </c>
      <c r="F24" s="400" t="str">
        <f>IFERROR(IFERROR(1-VLOOKUP('Table 6-A| Controls &amp; Limits'!$K31,'Emission Controls'!$A$20:$L$33,5,),1)*('Table 5-A| Criteria MPTE'!H112*'Table 7-A| Facility-Wide APTE'!$C24/'Table 5-A| Criteria MPTE'!$E112),"")</f>
        <v/>
      </c>
      <c r="G24" s="400" t="str">
        <f>IFERROR(IFERROR(1-VLOOKUP('Table 6-A| Controls &amp; Limits'!$K31,'Emission Controls'!$A$20:$L$33,6,),1)*('Table 5-A| Criteria MPTE'!I112*'Table 7-A| Facility-Wide APTE'!$C24/'Table 5-A| Criteria MPTE'!$E112),"")</f>
        <v/>
      </c>
      <c r="H24" s="400" t="str">
        <f>IFERROR(IFERROR(1-VLOOKUP('Table 6-A| Controls &amp; Limits'!$K31,'Emission Controls'!$A$20:$L$33,7,),1)*('Table 5-A| Criteria MPTE'!J112*'Table 7-A| Facility-Wide APTE'!$C24/'Table 5-A| Criteria MPTE'!$E112),"")</f>
        <v/>
      </c>
      <c r="I24" s="400" t="str">
        <f>IFERROR(IFERROR(1-VLOOKUP('Table 6-A| Controls &amp; Limits'!$K31,'Emission Controls'!$A$20:$L$33,8,),1)*('Table 5-A| Criteria MPTE'!K112*'Table 7-A| Facility-Wide APTE'!$C24/'Table 5-A| Criteria MPTE'!$E112),"")</f>
        <v/>
      </c>
      <c r="J24" s="400" t="str">
        <f>IFERROR(IFERROR(1-VLOOKUP('Table 6-A| Controls &amp; Limits'!$K31,'Emission Controls'!$A$20:$L$33,9,),1)*('Table 5-A| Criteria MPTE'!L112*'Table 7-A| Facility-Wide APTE'!$C24/'Table 5-A| Criteria MPTE'!$E112),"")</f>
        <v/>
      </c>
      <c r="K24" s="400" t="str">
        <f>IFERROR(IFERROR(1-VLOOKUP('Table 6-A| Controls &amp; Limits'!$K31,'Emission Controls'!$A$20:$L$33,10,),1)*('Table 5-A| Criteria MPTE'!M112*'Table 7-A| Facility-Wide APTE'!$C24/'Table 5-A| Criteria MPTE'!$E112),"")</f>
        <v/>
      </c>
      <c r="L24" s="400" t="str">
        <f>IFERROR(IFERROR(1-VLOOKUP('Table 6-A| Controls &amp; Limits'!$K31,'Emission Controls'!$A$20:$L$33,11,),1)*('Table 5-A| Criteria MPTE'!N112*'Table 7-A| Facility-Wide APTE'!$C24/'Table 5-A| Criteria MPTE'!$E112),"")</f>
        <v/>
      </c>
      <c r="M24" s="401" t="str">
        <f>IFERROR(IFERROR(1-VLOOKUP('Table 6-A| Controls &amp; Limits'!$K31,'Emission Controls'!$A$20:$L$33,12,),1)*('Table 5-A| Criteria MPTE'!O112*'Table 7-A| Facility-Wide APTE'!$C24/'Table 5-A| Criteria MPTE'!$E112),"")</f>
        <v/>
      </c>
      <c r="O24" s="129"/>
      <c r="P24" s="129"/>
      <c r="Q24" s="129"/>
      <c r="R24" s="129"/>
      <c r="S24" s="129"/>
      <c r="T24" s="129"/>
    </row>
    <row r="25" spans="1:20" ht="18" customHeight="1" thickBot="1" x14ac:dyDescent="0.3">
      <c r="A25" s="308">
        <f>IF('Table 3-A| Emission Units'!A55=0,0,'Table 5-A| Criteria MPTE'!A113)</f>
        <v>0</v>
      </c>
      <c r="B25" s="309">
        <f>IF(A25=0,0,'Table 3-A| Emission Units'!C55)</f>
        <v>0</v>
      </c>
      <c r="C25" s="311">
        <f>IF(ISBLANK('Table 6-A| Controls &amp; Limits'!C32),0,IF('Table 6-A| Controls &amp; Limits'!C32="No",'Table 6-A| Controls &amp; Limits'!D32,'Table 6-A| Controls &amp; Limits'!E32))</f>
        <v>0</v>
      </c>
      <c r="D25" s="398" t="str">
        <f>IF(C25=0,"",'Table 6-A| Controls &amp; Limits'!F32)</f>
        <v/>
      </c>
      <c r="E25" s="399" t="str">
        <f>IFERROR(IFERROR(1-VLOOKUP('Table 6-A| Controls &amp; Limits'!$K32,'Emission Controls'!$A$20:$L$33,4,),1)*('Table 5-A| Criteria MPTE'!G113*'Table 7-A| Facility-Wide APTE'!$C25/'Table 5-A| Criteria MPTE'!$E113),"")</f>
        <v/>
      </c>
      <c r="F25" s="400" t="str">
        <f>IFERROR(IFERROR(1-VLOOKUP('Table 6-A| Controls &amp; Limits'!$K32,'Emission Controls'!$A$20:$L$33,5,),1)*('Table 5-A| Criteria MPTE'!H113*'Table 7-A| Facility-Wide APTE'!$C25/'Table 5-A| Criteria MPTE'!$E113),"")</f>
        <v/>
      </c>
      <c r="G25" s="400" t="str">
        <f>IFERROR(IFERROR(1-VLOOKUP('Table 6-A| Controls &amp; Limits'!$K32,'Emission Controls'!$A$20:$L$33,6,),1)*('Table 5-A| Criteria MPTE'!I113*'Table 7-A| Facility-Wide APTE'!$C25/'Table 5-A| Criteria MPTE'!$E113),"")</f>
        <v/>
      </c>
      <c r="H25" s="400" t="str">
        <f>IFERROR(IFERROR(1-VLOOKUP('Table 6-A| Controls &amp; Limits'!$K32,'Emission Controls'!$A$20:$L$33,7,),1)*('Table 5-A| Criteria MPTE'!J113*'Table 7-A| Facility-Wide APTE'!$C25/'Table 5-A| Criteria MPTE'!$E113),"")</f>
        <v/>
      </c>
      <c r="I25" s="400" t="str">
        <f>IFERROR(IFERROR(1-VLOOKUP('Table 6-A| Controls &amp; Limits'!$K32,'Emission Controls'!$A$20:$L$33,8,),1)*('Table 5-A| Criteria MPTE'!K113*'Table 7-A| Facility-Wide APTE'!$C25/'Table 5-A| Criteria MPTE'!$E113),"")</f>
        <v/>
      </c>
      <c r="J25" s="400" t="str">
        <f>IFERROR(IFERROR(1-VLOOKUP('Table 6-A| Controls &amp; Limits'!$K32,'Emission Controls'!$A$20:$L$33,9,),1)*('Table 5-A| Criteria MPTE'!L113*'Table 7-A| Facility-Wide APTE'!$C25/'Table 5-A| Criteria MPTE'!$E113),"")</f>
        <v/>
      </c>
      <c r="K25" s="400" t="str">
        <f>IFERROR(IFERROR(1-VLOOKUP('Table 6-A| Controls &amp; Limits'!$K32,'Emission Controls'!$A$20:$L$33,10,),1)*('Table 5-A| Criteria MPTE'!M113*'Table 7-A| Facility-Wide APTE'!$C25/'Table 5-A| Criteria MPTE'!$E113),"")</f>
        <v/>
      </c>
      <c r="L25" s="400" t="str">
        <f>IFERROR(IFERROR(1-VLOOKUP('Table 6-A| Controls &amp; Limits'!$K32,'Emission Controls'!$A$20:$L$33,11,),1)*('Table 5-A| Criteria MPTE'!N113*'Table 7-A| Facility-Wide APTE'!$C25/'Table 5-A| Criteria MPTE'!$E113),"")</f>
        <v/>
      </c>
      <c r="M25" s="401" t="str">
        <f>IFERROR(IFERROR(1-VLOOKUP('Table 6-A| Controls &amp; Limits'!$K32,'Emission Controls'!$A$20:$L$33,12,),1)*('Table 5-A| Criteria MPTE'!O113*'Table 7-A| Facility-Wide APTE'!$C25/'Table 5-A| Criteria MPTE'!$E113),"")</f>
        <v/>
      </c>
      <c r="O25" s="129"/>
      <c r="P25" s="129"/>
      <c r="Q25" s="129"/>
      <c r="R25" s="129"/>
      <c r="S25" s="129"/>
      <c r="T25" s="129"/>
    </row>
    <row r="26" spans="1:20" ht="18" customHeight="1" x14ac:dyDescent="0.25">
      <c r="A26" s="1301" t="str">
        <f>'Table 6-A| Controls &amp; Limits'!A33:J33</f>
        <v>Grain Shipping Emission Units</v>
      </c>
      <c r="B26" s="1302"/>
      <c r="C26" s="1302"/>
      <c r="D26" s="1302"/>
      <c r="E26" s="1302"/>
      <c r="F26" s="1302"/>
      <c r="G26" s="1302"/>
      <c r="H26" s="1302"/>
      <c r="I26" s="1302"/>
      <c r="J26" s="1302"/>
      <c r="K26" s="1302"/>
      <c r="L26" s="1302"/>
      <c r="M26" s="1303"/>
    </row>
    <row r="27" spans="1:20" ht="18" customHeight="1" x14ac:dyDescent="0.25">
      <c r="A27" s="308">
        <f>IF('Table 3-A| Emission Units'!A57=0,0,'Table 5-A| Criteria MPTE'!A115)</f>
        <v>0</v>
      </c>
      <c r="B27" s="309">
        <f>IF(A27=0,0,'Table 3-A| Emission Units'!C57)</f>
        <v>0</v>
      </c>
      <c r="C27" s="311">
        <f>IF(ISBLANK('Table 6-A| Controls &amp; Limits'!C34),0,IF('Table 6-A| Controls &amp; Limits'!C34="No",'Table 6-A| Controls &amp; Limits'!D34,'Table 6-A| Controls &amp; Limits'!E34))</f>
        <v>0</v>
      </c>
      <c r="D27" s="398" t="str">
        <f>IF(C27=0,"",'Table 6-A| Controls &amp; Limits'!F34)</f>
        <v/>
      </c>
      <c r="E27" s="399" t="str">
        <f>IFERROR(IFERROR(1-VLOOKUP('Table 6-A| Controls &amp; Limits'!$K34,'Emission Controls'!$A$20:$L$33,4,),1)*('Table 5-A| Criteria MPTE'!G115*'Table 7-A| Facility-Wide APTE'!$C27/'Table 5-A| Criteria MPTE'!$E115),"")</f>
        <v/>
      </c>
      <c r="F27" s="400" t="str">
        <f>IFERROR(IFERROR(1-VLOOKUP('Table 6-A| Controls &amp; Limits'!$K34,'Emission Controls'!$A$20:$L$33,5,),1)*('Table 5-A| Criteria MPTE'!H115*'Table 7-A| Facility-Wide APTE'!$C27/'Table 5-A| Criteria MPTE'!$E115),"")</f>
        <v/>
      </c>
      <c r="G27" s="400" t="str">
        <f>IFERROR(IFERROR(1-VLOOKUP('Table 6-A| Controls &amp; Limits'!$K34,'Emission Controls'!$A$20:$L$33,6,),1)*('Table 5-A| Criteria MPTE'!I115*'Table 7-A| Facility-Wide APTE'!$C27/'Table 5-A| Criteria MPTE'!$E115),"")</f>
        <v/>
      </c>
      <c r="H27" s="400" t="str">
        <f>IFERROR(IFERROR(1-VLOOKUP('Table 6-A| Controls &amp; Limits'!$K34,'Emission Controls'!$A$20:$L$33,7,),1)*('Table 5-A| Criteria MPTE'!J115*'Table 7-A| Facility-Wide APTE'!$C27/'Table 5-A| Criteria MPTE'!$E115),"")</f>
        <v/>
      </c>
      <c r="I27" s="400" t="str">
        <f>IFERROR(IFERROR(1-VLOOKUP('Table 6-A| Controls &amp; Limits'!$K34,'Emission Controls'!$A$20:$L$33,8,),1)*('Table 5-A| Criteria MPTE'!K115*'Table 7-A| Facility-Wide APTE'!$C27/'Table 5-A| Criteria MPTE'!$E115),"")</f>
        <v/>
      </c>
      <c r="J27" s="400" t="str">
        <f>IFERROR(IFERROR(1-VLOOKUP('Table 6-A| Controls &amp; Limits'!$K34,'Emission Controls'!$A$20:$L$33,9,),1)*('Table 5-A| Criteria MPTE'!L115*'Table 7-A| Facility-Wide APTE'!$C27/'Table 5-A| Criteria MPTE'!$E115),"")</f>
        <v/>
      </c>
      <c r="K27" s="400" t="str">
        <f>IFERROR(IFERROR(1-VLOOKUP('Table 6-A| Controls &amp; Limits'!$K34,'Emission Controls'!$A$20:$L$33,10,),1)*('Table 5-A| Criteria MPTE'!M115*'Table 7-A| Facility-Wide APTE'!$C27/'Table 5-A| Criteria MPTE'!$E115),"")</f>
        <v/>
      </c>
      <c r="L27" s="400" t="str">
        <f>IFERROR(IFERROR(1-VLOOKUP('Table 6-A| Controls &amp; Limits'!$K34,'Emission Controls'!$A$20:$L$33,11,),1)*('Table 5-A| Criteria MPTE'!N115*'Table 7-A| Facility-Wide APTE'!$C27/'Table 5-A| Criteria MPTE'!$E115),"")</f>
        <v/>
      </c>
      <c r="M27" s="401" t="str">
        <f>IFERROR(IFERROR(1-VLOOKUP('Table 6-A| Controls &amp; Limits'!$K34,'Emission Controls'!$A$20:$L$33,12,),1)*('Table 5-A| Criteria MPTE'!O115*'Table 7-A| Facility-Wide APTE'!$C27/'Table 5-A| Criteria MPTE'!$E115),"")</f>
        <v/>
      </c>
    </row>
    <row r="28" spans="1:20" ht="18" customHeight="1" x14ac:dyDescent="0.25">
      <c r="A28" s="308">
        <f>IF('Table 3-A| Emission Units'!A58=0,0,'Table 5-A| Criteria MPTE'!A116)</f>
        <v>0</v>
      </c>
      <c r="B28" s="309">
        <f>IF(A28=0,0,'Table 3-A| Emission Units'!C58)</f>
        <v>0</v>
      </c>
      <c r="C28" s="311">
        <f>IF(ISBLANK('Table 6-A| Controls &amp; Limits'!C35),0,IF('Table 6-A| Controls &amp; Limits'!C35="No",'Table 6-A| Controls &amp; Limits'!D35,'Table 6-A| Controls &amp; Limits'!E35))</f>
        <v>0</v>
      </c>
      <c r="D28" s="398" t="str">
        <f>IF(C28=0,"",'Table 6-A| Controls &amp; Limits'!F35)</f>
        <v/>
      </c>
      <c r="E28" s="399" t="str">
        <f>IFERROR(IFERROR(1-VLOOKUP('Table 6-A| Controls &amp; Limits'!$K35,'Emission Controls'!$A$20:$L$33,4,),1)*('Table 5-A| Criteria MPTE'!G116*'Table 7-A| Facility-Wide APTE'!$C28/'Table 5-A| Criteria MPTE'!$E116),"")</f>
        <v/>
      </c>
      <c r="F28" s="400" t="str">
        <f>IFERROR(IFERROR(1-VLOOKUP('Table 6-A| Controls &amp; Limits'!$K35,'Emission Controls'!$A$20:$L$33,5,),1)*('Table 5-A| Criteria MPTE'!H116*'Table 7-A| Facility-Wide APTE'!$C28/'Table 5-A| Criteria MPTE'!$E116),"")</f>
        <v/>
      </c>
      <c r="G28" s="400" t="str">
        <f>IFERROR(IFERROR(1-VLOOKUP('Table 6-A| Controls &amp; Limits'!$K35,'Emission Controls'!$A$20:$L$33,6,),1)*('Table 5-A| Criteria MPTE'!I116*'Table 7-A| Facility-Wide APTE'!$C28/'Table 5-A| Criteria MPTE'!$E116),"")</f>
        <v/>
      </c>
      <c r="H28" s="400" t="str">
        <f>IFERROR(IFERROR(1-VLOOKUP('Table 6-A| Controls &amp; Limits'!$K35,'Emission Controls'!$A$20:$L$33,7,),1)*('Table 5-A| Criteria MPTE'!J116*'Table 7-A| Facility-Wide APTE'!$C28/'Table 5-A| Criteria MPTE'!$E116),"")</f>
        <v/>
      </c>
      <c r="I28" s="400" t="str">
        <f>IFERROR(IFERROR(1-VLOOKUP('Table 6-A| Controls &amp; Limits'!$K35,'Emission Controls'!$A$20:$L$33,8,),1)*('Table 5-A| Criteria MPTE'!K116*'Table 7-A| Facility-Wide APTE'!$C28/'Table 5-A| Criteria MPTE'!$E116),"")</f>
        <v/>
      </c>
      <c r="J28" s="400" t="str">
        <f>IFERROR(IFERROR(1-VLOOKUP('Table 6-A| Controls &amp; Limits'!$K35,'Emission Controls'!$A$20:$L$33,9,),1)*('Table 5-A| Criteria MPTE'!L116*'Table 7-A| Facility-Wide APTE'!$C28/'Table 5-A| Criteria MPTE'!$E116),"")</f>
        <v/>
      </c>
      <c r="K28" s="400" t="str">
        <f>IFERROR(IFERROR(1-VLOOKUP('Table 6-A| Controls &amp; Limits'!$K35,'Emission Controls'!$A$20:$L$33,10,),1)*('Table 5-A| Criteria MPTE'!M116*'Table 7-A| Facility-Wide APTE'!$C28/'Table 5-A| Criteria MPTE'!$E116),"")</f>
        <v/>
      </c>
      <c r="L28" s="400" t="str">
        <f>IFERROR(IFERROR(1-VLOOKUP('Table 6-A| Controls &amp; Limits'!$K35,'Emission Controls'!$A$20:$L$33,11,),1)*('Table 5-A| Criteria MPTE'!N116*'Table 7-A| Facility-Wide APTE'!$C28/'Table 5-A| Criteria MPTE'!$E116),"")</f>
        <v/>
      </c>
      <c r="M28" s="401" t="str">
        <f>IFERROR(IFERROR(1-VLOOKUP('Table 6-A| Controls &amp; Limits'!$K35,'Emission Controls'!$A$20:$L$33,12,),1)*('Table 5-A| Criteria MPTE'!O116*'Table 7-A| Facility-Wide APTE'!$C28/'Table 5-A| Criteria MPTE'!$E116),"")</f>
        <v/>
      </c>
    </row>
    <row r="29" spans="1:20" ht="18" customHeight="1" x14ac:dyDescent="0.25">
      <c r="A29" s="308">
        <f>IF('Table 3-A| Emission Units'!A59=0,0,'Table 5-A| Criteria MPTE'!A117)</f>
        <v>0</v>
      </c>
      <c r="B29" s="309">
        <f>IF(A29=0,0,'Table 3-A| Emission Units'!C59)</f>
        <v>0</v>
      </c>
      <c r="C29" s="311">
        <f>IF(ISBLANK('Table 6-A| Controls &amp; Limits'!C36),0,IF('Table 6-A| Controls &amp; Limits'!C36="No",'Table 6-A| Controls &amp; Limits'!D36,'Table 6-A| Controls &amp; Limits'!E36))</f>
        <v>0</v>
      </c>
      <c r="D29" s="398" t="str">
        <f>IF(C29=0,"",'Table 6-A| Controls &amp; Limits'!F36)</f>
        <v/>
      </c>
      <c r="E29" s="399" t="str">
        <f>IFERROR(IFERROR(1-VLOOKUP('Table 6-A| Controls &amp; Limits'!$K36,'Emission Controls'!$A$20:$L$33,4,),1)*('Table 5-A| Criteria MPTE'!G117*'Table 7-A| Facility-Wide APTE'!$C29/'Table 5-A| Criteria MPTE'!$E117),"")</f>
        <v/>
      </c>
      <c r="F29" s="400" t="str">
        <f>IFERROR(IFERROR(1-VLOOKUP('Table 6-A| Controls &amp; Limits'!$K36,'Emission Controls'!$A$20:$L$33,5,),1)*('Table 5-A| Criteria MPTE'!H117*'Table 7-A| Facility-Wide APTE'!$C29/'Table 5-A| Criteria MPTE'!$E117),"")</f>
        <v/>
      </c>
      <c r="G29" s="400" t="str">
        <f>IFERROR(IFERROR(1-VLOOKUP('Table 6-A| Controls &amp; Limits'!$K36,'Emission Controls'!$A$20:$L$33,6,),1)*('Table 5-A| Criteria MPTE'!I117*'Table 7-A| Facility-Wide APTE'!$C29/'Table 5-A| Criteria MPTE'!$E117),"")</f>
        <v/>
      </c>
      <c r="H29" s="400" t="str">
        <f>IFERROR(IFERROR(1-VLOOKUP('Table 6-A| Controls &amp; Limits'!$K36,'Emission Controls'!$A$20:$L$33,7,),1)*('Table 5-A| Criteria MPTE'!J117*'Table 7-A| Facility-Wide APTE'!$C29/'Table 5-A| Criteria MPTE'!$E117),"")</f>
        <v/>
      </c>
      <c r="I29" s="400" t="str">
        <f>IFERROR(IFERROR(1-VLOOKUP('Table 6-A| Controls &amp; Limits'!$K36,'Emission Controls'!$A$20:$L$33,8,),1)*('Table 5-A| Criteria MPTE'!K117*'Table 7-A| Facility-Wide APTE'!$C29/'Table 5-A| Criteria MPTE'!$E117),"")</f>
        <v/>
      </c>
      <c r="J29" s="400" t="str">
        <f>IFERROR(IFERROR(1-VLOOKUP('Table 6-A| Controls &amp; Limits'!$K36,'Emission Controls'!$A$20:$L$33,9,),1)*('Table 5-A| Criteria MPTE'!L117*'Table 7-A| Facility-Wide APTE'!$C29/'Table 5-A| Criteria MPTE'!$E117),"")</f>
        <v/>
      </c>
      <c r="K29" s="400" t="str">
        <f>IFERROR(IFERROR(1-VLOOKUP('Table 6-A| Controls &amp; Limits'!$K36,'Emission Controls'!$A$20:$L$33,10,),1)*('Table 5-A| Criteria MPTE'!M117*'Table 7-A| Facility-Wide APTE'!$C29/'Table 5-A| Criteria MPTE'!$E117),"")</f>
        <v/>
      </c>
      <c r="L29" s="400" t="str">
        <f>IFERROR(IFERROR(1-VLOOKUP('Table 6-A| Controls &amp; Limits'!$K36,'Emission Controls'!$A$20:$L$33,11,),1)*('Table 5-A| Criteria MPTE'!N117*'Table 7-A| Facility-Wide APTE'!$C29/'Table 5-A| Criteria MPTE'!$E117),"")</f>
        <v/>
      </c>
      <c r="M29" s="401" t="str">
        <f>IFERROR(IFERROR(1-VLOOKUP('Table 6-A| Controls &amp; Limits'!$K36,'Emission Controls'!$A$20:$L$33,12,),1)*('Table 5-A| Criteria MPTE'!O117*'Table 7-A| Facility-Wide APTE'!$C29/'Table 5-A| Criteria MPTE'!$E117),"")</f>
        <v/>
      </c>
    </row>
    <row r="30" spans="1:20" ht="18" customHeight="1" x14ac:dyDescent="0.25">
      <c r="A30" s="308">
        <f>IF('Table 3-A| Emission Units'!A60=0,0,'Table 5-A| Criteria MPTE'!A118)</f>
        <v>0</v>
      </c>
      <c r="B30" s="309">
        <f>IF(A30=0,0,'Table 3-A| Emission Units'!C60)</f>
        <v>0</v>
      </c>
      <c r="C30" s="311">
        <f>IF(ISBLANK('Table 6-A| Controls &amp; Limits'!C37),0,IF('Table 6-A| Controls &amp; Limits'!C37="No",'Table 6-A| Controls &amp; Limits'!D37,'Table 6-A| Controls &amp; Limits'!E37))</f>
        <v>0</v>
      </c>
      <c r="D30" s="398" t="str">
        <f>IF(C30=0,"",'Table 6-A| Controls &amp; Limits'!F37)</f>
        <v/>
      </c>
      <c r="E30" s="399" t="str">
        <f>IFERROR(IFERROR(1-VLOOKUP('Table 6-A| Controls &amp; Limits'!$K37,'Emission Controls'!$A$20:$L$33,4,),1)*('Table 5-A| Criteria MPTE'!G118*'Table 7-A| Facility-Wide APTE'!$C30/'Table 5-A| Criteria MPTE'!$E118),"")</f>
        <v/>
      </c>
      <c r="F30" s="400" t="str">
        <f>IFERROR(IFERROR(1-VLOOKUP('Table 6-A| Controls &amp; Limits'!$K37,'Emission Controls'!$A$20:$L$33,5,),1)*('Table 5-A| Criteria MPTE'!H118*'Table 7-A| Facility-Wide APTE'!$C30/'Table 5-A| Criteria MPTE'!$E118),"")</f>
        <v/>
      </c>
      <c r="G30" s="400" t="str">
        <f>IFERROR(IFERROR(1-VLOOKUP('Table 6-A| Controls &amp; Limits'!$K37,'Emission Controls'!$A$20:$L$33,6,),1)*('Table 5-A| Criteria MPTE'!I118*'Table 7-A| Facility-Wide APTE'!$C30/'Table 5-A| Criteria MPTE'!$E118),"")</f>
        <v/>
      </c>
      <c r="H30" s="400" t="str">
        <f>IFERROR(IFERROR(1-VLOOKUP('Table 6-A| Controls &amp; Limits'!$K37,'Emission Controls'!$A$20:$L$33,7,),1)*('Table 5-A| Criteria MPTE'!J118*'Table 7-A| Facility-Wide APTE'!$C30/'Table 5-A| Criteria MPTE'!$E118),"")</f>
        <v/>
      </c>
      <c r="I30" s="400" t="str">
        <f>IFERROR(IFERROR(1-VLOOKUP('Table 6-A| Controls &amp; Limits'!$K37,'Emission Controls'!$A$20:$L$33,8,),1)*('Table 5-A| Criteria MPTE'!K118*'Table 7-A| Facility-Wide APTE'!$C30/'Table 5-A| Criteria MPTE'!$E118),"")</f>
        <v/>
      </c>
      <c r="J30" s="400" t="str">
        <f>IFERROR(IFERROR(1-VLOOKUP('Table 6-A| Controls &amp; Limits'!$K37,'Emission Controls'!$A$20:$L$33,9,),1)*('Table 5-A| Criteria MPTE'!L118*'Table 7-A| Facility-Wide APTE'!$C30/'Table 5-A| Criteria MPTE'!$E118),"")</f>
        <v/>
      </c>
      <c r="K30" s="400" t="str">
        <f>IFERROR(IFERROR(1-VLOOKUP('Table 6-A| Controls &amp; Limits'!$K37,'Emission Controls'!$A$20:$L$33,10,),1)*('Table 5-A| Criteria MPTE'!M118*'Table 7-A| Facility-Wide APTE'!$C30/'Table 5-A| Criteria MPTE'!$E118),"")</f>
        <v/>
      </c>
      <c r="L30" s="400" t="str">
        <f>IFERROR(IFERROR(1-VLOOKUP('Table 6-A| Controls &amp; Limits'!$K37,'Emission Controls'!$A$20:$L$33,11,),1)*('Table 5-A| Criteria MPTE'!N118*'Table 7-A| Facility-Wide APTE'!$C30/'Table 5-A| Criteria MPTE'!$E118),"")</f>
        <v/>
      </c>
      <c r="M30" s="401" t="str">
        <f>IFERROR(IFERROR(1-VLOOKUP('Table 6-A| Controls &amp; Limits'!$K37,'Emission Controls'!$A$20:$L$33,12,),1)*('Table 5-A| Criteria MPTE'!O118*'Table 7-A| Facility-Wide APTE'!$C30/'Table 5-A| Criteria MPTE'!$E118),"")</f>
        <v/>
      </c>
    </row>
    <row r="31" spans="1:20" ht="18" customHeight="1" x14ac:dyDescent="0.25">
      <c r="A31" s="308">
        <f>IF('Table 3-A| Emission Units'!A61=0,0,'Table 5-A| Criteria MPTE'!A119)</f>
        <v>0</v>
      </c>
      <c r="B31" s="309">
        <f>IF(A31=0,0,'Table 3-A| Emission Units'!C61)</f>
        <v>0</v>
      </c>
      <c r="C31" s="311">
        <f>IF(ISBLANK('Table 6-A| Controls &amp; Limits'!C38),0,IF('Table 6-A| Controls &amp; Limits'!C38="No",'Table 6-A| Controls &amp; Limits'!D38,'Table 6-A| Controls &amp; Limits'!E38))</f>
        <v>0</v>
      </c>
      <c r="D31" s="398" t="str">
        <f>IF(C31=0,"",'Table 6-A| Controls &amp; Limits'!F38)</f>
        <v/>
      </c>
      <c r="E31" s="399" t="str">
        <f>IFERROR(IFERROR(1-VLOOKUP('Table 6-A| Controls &amp; Limits'!$K38,'Emission Controls'!$A$20:$L$33,4,),1)*('Table 5-A| Criteria MPTE'!G119*'Table 7-A| Facility-Wide APTE'!$C31/'Table 5-A| Criteria MPTE'!$E119),"")</f>
        <v/>
      </c>
      <c r="F31" s="400" t="str">
        <f>IFERROR(IFERROR(1-VLOOKUP('Table 6-A| Controls &amp; Limits'!$K38,'Emission Controls'!$A$20:$L$33,5,),1)*('Table 5-A| Criteria MPTE'!H119*'Table 7-A| Facility-Wide APTE'!$C31/'Table 5-A| Criteria MPTE'!$E119),"")</f>
        <v/>
      </c>
      <c r="G31" s="400" t="str">
        <f>IFERROR(IFERROR(1-VLOOKUP('Table 6-A| Controls &amp; Limits'!$K38,'Emission Controls'!$A$20:$L$33,6,),1)*('Table 5-A| Criteria MPTE'!I119*'Table 7-A| Facility-Wide APTE'!$C31/'Table 5-A| Criteria MPTE'!$E119),"")</f>
        <v/>
      </c>
      <c r="H31" s="400" t="str">
        <f>IFERROR(IFERROR(1-VLOOKUP('Table 6-A| Controls &amp; Limits'!$K38,'Emission Controls'!$A$20:$L$33,7,),1)*('Table 5-A| Criteria MPTE'!J119*'Table 7-A| Facility-Wide APTE'!$C31/'Table 5-A| Criteria MPTE'!$E119),"")</f>
        <v/>
      </c>
      <c r="I31" s="400" t="str">
        <f>IFERROR(IFERROR(1-VLOOKUP('Table 6-A| Controls &amp; Limits'!$K38,'Emission Controls'!$A$20:$L$33,8,),1)*('Table 5-A| Criteria MPTE'!K119*'Table 7-A| Facility-Wide APTE'!$C31/'Table 5-A| Criteria MPTE'!$E119),"")</f>
        <v/>
      </c>
      <c r="J31" s="400" t="str">
        <f>IFERROR(IFERROR(1-VLOOKUP('Table 6-A| Controls &amp; Limits'!$K38,'Emission Controls'!$A$20:$L$33,9,),1)*('Table 5-A| Criteria MPTE'!L119*'Table 7-A| Facility-Wide APTE'!$C31/'Table 5-A| Criteria MPTE'!$E119),"")</f>
        <v/>
      </c>
      <c r="K31" s="400" t="str">
        <f>IFERROR(IFERROR(1-VLOOKUP('Table 6-A| Controls &amp; Limits'!$K38,'Emission Controls'!$A$20:$L$33,10,),1)*('Table 5-A| Criteria MPTE'!M119*'Table 7-A| Facility-Wide APTE'!$C31/'Table 5-A| Criteria MPTE'!$E119),"")</f>
        <v/>
      </c>
      <c r="L31" s="400" t="str">
        <f>IFERROR(IFERROR(1-VLOOKUP('Table 6-A| Controls &amp; Limits'!$K38,'Emission Controls'!$A$20:$L$33,11,),1)*('Table 5-A| Criteria MPTE'!N119*'Table 7-A| Facility-Wide APTE'!$C31/'Table 5-A| Criteria MPTE'!$E119),"")</f>
        <v/>
      </c>
      <c r="M31" s="401" t="str">
        <f>IFERROR(IFERROR(1-VLOOKUP('Table 6-A| Controls &amp; Limits'!$K38,'Emission Controls'!$A$20:$L$33,12,),1)*('Table 5-A| Criteria MPTE'!O119*'Table 7-A| Facility-Wide APTE'!$C31/'Table 5-A| Criteria MPTE'!$E119),"")</f>
        <v/>
      </c>
    </row>
    <row r="32" spans="1:20" ht="18" customHeight="1" thickBot="1" x14ac:dyDescent="0.3">
      <c r="A32" s="308">
        <f>IF('Table 3-A| Emission Units'!A62=0,0,'Table 5-A| Criteria MPTE'!A120)</f>
        <v>0</v>
      </c>
      <c r="B32" s="309">
        <f>IF(A32=0,0,'Table 3-A| Emission Units'!C62)</f>
        <v>0</v>
      </c>
      <c r="C32" s="311">
        <f>IF(ISBLANK('Table 6-A| Controls &amp; Limits'!C39),0,IF('Table 6-A| Controls &amp; Limits'!C39="No",'Table 6-A| Controls &amp; Limits'!D39,'Table 6-A| Controls &amp; Limits'!E39))</f>
        <v>0</v>
      </c>
      <c r="D32" s="398" t="str">
        <f>IF(C32=0,"",'Table 6-A| Controls &amp; Limits'!F39)</f>
        <v/>
      </c>
      <c r="E32" s="399" t="str">
        <f>IFERROR(IFERROR(1-VLOOKUP('Table 6-A| Controls &amp; Limits'!$K39,'Emission Controls'!$A$20:$L$33,4,),1)*('Table 5-A| Criteria MPTE'!G120*'Table 7-A| Facility-Wide APTE'!$C32/'Table 5-A| Criteria MPTE'!$E120),"")</f>
        <v/>
      </c>
      <c r="F32" s="400" t="str">
        <f>IFERROR(IFERROR(1-VLOOKUP('Table 6-A| Controls &amp; Limits'!$K39,'Emission Controls'!$A$20:$L$33,5,),1)*('Table 5-A| Criteria MPTE'!H120*'Table 7-A| Facility-Wide APTE'!$C32/'Table 5-A| Criteria MPTE'!$E120),"")</f>
        <v/>
      </c>
      <c r="G32" s="400" t="str">
        <f>IFERROR(IFERROR(1-VLOOKUP('Table 6-A| Controls &amp; Limits'!$K39,'Emission Controls'!$A$20:$L$33,6,),1)*('Table 5-A| Criteria MPTE'!I120*'Table 7-A| Facility-Wide APTE'!$C32/'Table 5-A| Criteria MPTE'!$E120),"")</f>
        <v/>
      </c>
      <c r="H32" s="400" t="str">
        <f>IFERROR(IFERROR(1-VLOOKUP('Table 6-A| Controls &amp; Limits'!$K39,'Emission Controls'!$A$20:$L$33,7,),1)*('Table 5-A| Criteria MPTE'!J120*'Table 7-A| Facility-Wide APTE'!$C32/'Table 5-A| Criteria MPTE'!$E120),"")</f>
        <v/>
      </c>
      <c r="I32" s="400" t="str">
        <f>IFERROR(IFERROR(1-VLOOKUP('Table 6-A| Controls &amp; Limits'!$K39,'Emission Controls'!$A$20:$L$33,8,),1)*('Table 5-A| Criteria MPTE'!K120*'Table 7-A| Facility-Wide APTE'!$C32/'Table 5-A| Criteria MPTE'!$E120),"")</f>
        <v/>
      </c>
      <c r="J32" s="400" t="str">
        <f>IFERROR(IFERROR(1-VLOOKUP('Table 6-A| Controls &amp; Limits'!$K39,'Emission Controls'!$A$20:$L$33,9,),1)*('Table 5-A| Criteria MPTE'!L120*'Table 7-A| Facility-Wide APTE'!$C32/'Table 5-A| Criteria MPTE'!$E120),"")</f>
        <v/>
      </c>
      <c r="K32" s="400" t="str">
        <f>IFERROR(IFERROR(1-VLOOKUP('Table 6-A| Controls &amp; Limits'!$K39,'Emission Controls'!$A$20:$L$33,10,),1)*('Table 5-A| Criteria MPTE'!M120*'Table 7-A| Facility-Wide APTE'!$C32/'Table 5-A| Criteria MPTE'!$E120),"")</f>
        <v/>
      </c>
      <c r="L32" s="400" t="str">
        <f>IFERROR(IFERROR(1-VLOOKUP('Table 6-A| Controls &amp; Limits'!$K39,'Emission Controls'!$A$20:$L$33,11,),1)*('Table 5-A| Criteria MPTE'!N120*'Table 7-A| Facility-Wide APTE'!$C32/'Table 5-A| Criteria MPTE'!$E120),"")</f>
        <v/>
      </c>
      <c r="M32" s="401" t="str">
        <f>IFERROR(IFERROR(1-VLOOKUP('Table 6-A| Controls &amp; Limits'!$K39,'Emission Controls'!$A$20:$L$33,12,),1)*('Table 5-A| Criteria MPTE'!O120*'Table 7-A| Facility-Wide APTE'!$C32/'Table 5-A| Criteria MPTE'!$E120),"")</f>
        <v/>
      </c>
    </row>
    <row r="33" spans="1:13" ht="18" customHeight="1" x14ac:dyDescent="0.25">
      <c r="A33" s="1301" t="str">
        <f>'Table 6-A| Controls &amp; Limits'!A40:J40</f>
        <v>Haul Road Emission Units</v>
      </c>
      <c r="B33" s="1302"/>
      <c r="C33" s="1302"/>
      <c r="D33" s="1302"/>
      <c r="E33" s="1302"/>
      <c r="F33" s="1302"/>
      <c r="G33" s="1302"/>
      <c r="H33" s="1302"/>
      <c r="I33" s="1302"/>
      <c r="J33" s="1302"/>
      <c r="K33" s="1302"/>
      <c r="L33" s="1302"/>
      <c r="M33" s="1303"/>
    </row>
    <row r="34" spans="1:13" ht="18" customHeight="1" x14ac:dyDescent="0.25">
      <c r="A34" s="308">
        <f>IF('Table 3-A| Emission Units'!A64=0,0,'Table 5-A| Criteria MPTE'!A122)</f>
        <v>0</v>
      </c>
      <c r="B34" s="309">
        <f>IF(A34=0,0,'Table 3-A| Emission Units'!C64)</f>
        <v>0</v>
      </c>
      <c r="C34" s="311">
        <f>IF('Table 6-A| Controls &amp; Limits'!C41="","",IF('Table 6-A| Controls &amp; Limits'!C41="No",'Table 6-A| Controls &amp; Limits'!D41,'Table 6-A| Controls &amp; Limits'!E41))</f>
        <v>0</v>
      </c>
      <c r="D34" s="398" t="str">
        <f>IF(C34=0,"",'Table 6-A| Controls &amp; Limits'!F41)</f>
        <v/>
      </c>
      <c r="E34" s="399" t="str">
        <f>IFERROR(IFERROR(1-VLOOKUP('Table 6-A| Controls &amp; Limits'!$K41,'Emission Controls'!$A$20:$L$33,4,),1)*('Table 5-A| Criteria MPTE'!G122*'Table 7-A| Facility-Wide APTE'!$C34/'Table 5-A| Criteria MPTE'!$E122),"")</f>
        <v/>
      </c>
      <c r="F34" s="400" t="str">
        <f>IFERROR(IFERROR(1-VLOOKUP('Table 6-A| Controls &amp; Limits'!$K41,'Emission Controls'!$A$20:$L$33,5,),1)*('Table 5-A| Criteria MPTE'!H122*'Table 7-A| Facility-Wide APTE'!$C34/'Table 5-A| Criteria MPTE'!$E122),"")</f>
        <v/>
      </c>
      <c r="G34" s="400" t="str">
        <f>IFERROR(IFERROR(1-VLOOKUP('Table 6-A| Controls &amp; Limits'!$K41,'Emission Controls'!$A$20:$L$33,6,),1)*('Table 5-A| Criteria MPTE'!I122*'Table 7-A| Facility-Wide APTE'!$C34/'Table 5-A| Criteria MPTE'!$E122),"")</f>
        <v/>
      </c>
      <c r="H34" s="400" t="str">
        <f>IFERROR(IFERROR(1-VLOOKUP('Table 6-A| Controls &amp; Limits'!$K41,'Emission Controls'!$A$20:$L$33,7,),1)*('Table 5-A| Criteria MPTE'!J122*'Table 7-A| Facility-Wide APTE'!$C34/'Table 5-A| Criteria MPTE'!$E122),"")</f>
        <v/>
      </c>
      <c r="I34" s="400" t="str">
        <f>IFERROR(IFERROR(1-VLOOKUP('Table 6-A| Controls &amp; Limits'!$K41,'Emission Controls'!$A$20:$L$33,8,),1)*('Table 5-A| Criteria MPTE'!K122*'Table 7-A| Facility-Wide APTE'!$C34/'Table 5-A| Criteria MPTE'!$E122),"")</f>
        <v/>
      </c>
      <c r="J34" s="400" t="str">
        <f>IFERROR(IFERROR(1-VLOOKUP('Table 6-A| Controls &amp; Limits'!$K41,'Emission Controls'!$A$20:$L$33,9,),1)*('Table 5-A| Criteria MPTE'!L122*'Table 7-A| Facility-Wide APTE'!$C34/'Table 5-A| Criteria MPTE'!$E122),"")</f>
        <v/>
      </c>
      <c r="K34" s="400" t="str">
        <f>IFERROR(IFERROR(1-VLOOKUP('Table 6-A| Controls &amp; Limits'!$K41,'Emission Controls'!$A$20:$L$33,10,),1)*('Table 5-A| Criteria MPTE'!M122*'Table 7-A| Facility-Wide APTE'!$C34/'Table 5-A| Criteria MPTE'!$E122),"")</f>
        <v/>
      </c>
      <c r="L34" s="400" t="str">
        <f>IFERROR(IFERROR(1-VLOOKUP('Table 6-A| Controls &amp; Limits'!$K41,'Emission Controls'!$A$20:$L$33,11,),1)*('Table 5-A| Criteria MPTE'!N122*'Table 7-A| Facility-Wide APTE'!$C34/'Table 5-A| Criteria MPTE'!$E122),"")</f>
        <v/>
      </c>
      <c r="M34" s="401" t="str">
        <f>IFERROR(IFERROR(1-VLOOKUP('Table 6-A| Controls &amp; Limits'!$K41,'Emission Controls'!$A$20:$L$33,12,),1)*('Table 5-A| Criteria MPTE'!O122*'Table 7-A| Facility-Wide APTE'!$C34/'Table 5-A| Criteria MPTE'!$E122),"")</f>
        <v/>
      </c>
    </row>
    <row r="35" spans="1:13" ht="18" customHeight="1" thickBot="1" x14ac:dyDescent="0.3">
      <c r="A35" s="308">
        <f>IF('Table 3-A| Emission Units'!A65=0,0,'Table 5-A| Criteria MPTE'!A123)</f>
        <v>0</v>
      </c>
      <c r="B35" s="309">
        <f>IF(A35=0,0,'Table 3-A| Emission Units'!C65)</f>
        <v>0</v>
      </c>
      <c r="C35" s="311">
        <f>IF('Table 6-A| Controls &amp; Limits'!C42="","",IF('Table 6-A| Controls &amp; Limits'!C42="No",'Table 6-A| Controls &amp; Limits'!D42,'Table 6-A| Controls &amp; Limits'!E42))</f>
        <v>0</v>
      </c>
      <c r="D35" s="398" t="str">
        <f>IF(C35=0,"",'Table 6-A| Controls &amp; Limits'!F42)</f>
        <v/>
      </c>
      <c r="E35" s="399" t="str">
        <f>IFERROR(IFERROR(1-VLOOKUP('Table 6-A| Controls &amp; Limits'!$K42,'Emission Controls'!$A$20:$L$33,4,),1)*('Table 5-A| Criteria MPTE'!G123*'Table 7-A| Facility-Wide APTE'!$C35/'Table 5-A| Criteria MPTE'!$E123),"")</f>
        <v/>
      </c>
      <c r="F35" s="400" t="str">
        <f>IFERROR(IFERROR(1-VLOOKUP('Table 6-A| Controls &amp; Limits'!$K42,'Emission Controls'!$A$20:$L$33,5,),1)*('Table 5-A| Criteria MPTE'!H123*'Table 7-A| Facility-Wide APTE'!$C35/'Table 5-A| Criteria MPTE'!$E123),"")</f>
        <v/>
      </c>
      <c r="G35" s="400" t="str">
        <f>IFERROR(IFERROR(1-VLOOKUP('Table 6-A| Controls &amp; Limits'!$K42,'Emission Controls'!$A$20:$L$33,6,),1)*('Table 5-A| Criteria MPTE'!I123*'Table 7-A| Facility-Wide APTE'!$C35/'Table 5-A| Criteria MPTE'!$E123),"")</f>
        <v/>
      </c>
      <c r="H35" s="400" t="str">
        <f>IFERROR(IFERROR(1-VLOOKUP('Table 6-A| Controls &amp; Limits'!$K42,'Emission Controls'!$A$20:$L$33,7,),1)*('Table 5-A| Criteria MPTE'!J123*'Table 7-A| Facility-Wide APTE'!$C35/'Table 5-A| Criteria MPTE'!$E123),"")</f>
        <v/>
      </c>
      <c r="I35" s="400" t="str">
        <f>IFERROR(IFERROR(1-VLOOKUP('Table 6-A| Controls &amp; Limits'!$K42,'Emission Controls'!$A$20:$L$33,8,),1)*('Table 5-A| Criteria MPTE'!K123*'Table 7-A| Facility-Wide APTE'!$C35/'Table 5-A| Criteria MPTE'!$E123),"")</f>
        <v/>
      </c>
      <c r="J35" s="400" t="str">
        <f>IFERROR(IFERROR(1-VLOOKUP('Table 6-A| Controls &amp; Limits'!$K42,'Emission Controls'!$A$20:$L$33,9,),1)*('Table 5-A| Criteria MPTE'!L123*'Table 7-A| Facility-Wide APTE'!$C35/'Table 5-A| Criteria MPTE'!$E123),"")</f>
        <v/>
      </c>
      <c r="K35" s="400" t="str">
        <f>IFERROR(IFERROR(1-VLOOKUP('Table 6-A| Controls &amp; Limits'!$K42,'Emission Controls'!$A$20:$L$33,10,),1)*('Table 5-A| Criteria MPTE'!M123*'Table 7-A| Facility-Wide APTE'!$C35/'Table 5-A| Criteria MPTE'!$E123),"")</f>
        <v/>
      </c>
      <c r="L35" s="400" t="str">
        <f>IFERROR(IFERROR(1-VLOOKUP('Table 6-A| Controls &amp; Limits'!$K42,'Emission Controls'!$A$20:$L$33,11,),1)*('Table 5-A| Criteria MPTE'!N123*'Table 7-A| Facility-Wide APTE'!$C35/'Table 5-A| Criteria MPTE'!$E123),"")</f>
        <v/>
      </c>
      <c r="M35" s="401" t="str">
        <f>IFERROR(IFERROR(1-VLOOKUP('Table 6-A| Controls &amp; Limits'!$K42,'Emission Controls'!$A$20:$L$33,12,),1)*('Table 5-A| Criteria MPTE'!O123*'Table 7-A| Facility-Wide APTE'!$C35/'Table 5-A| Criteria MPTE'!$E123),"")</f>
        <v/>
      </c>
    </row>
    <row r="36" spans="1:13" ht="18" customHeight="1" x14ac:dyDescent="0.25">
      <c r="A36" s="1301" t="str">
        <f>'Table 6-A| Controls &amp; Limits'!A43:J43</f>
        <v>Grain Storage Emission Units</v>
      </c>
      <c r="B36" s="1302"/>
      <c r="C36" s="1302"/>
      <c r="D36" s="1302"/>
      <c r="E36" s="1302"/>
      <c r="F36" s="1302"/>
      <c r="G36" s="1302"/>
      <c r="H36" s="1302"/>
      <c r="I36" s="1302"/>
      <c r="J36" s="1302"/>
      <c r="K36" s="1302"/>
      <c r="L36" s="1302"/>
      <c r="M36" s="1303"/>
    </row>
    <row r="37" spans="1:13" ht="18" customHeight="1" thickBot="1" x14ac:dyDescent="0.3">
      <c r="A37" s="308" t="str">
        <f>IF('Table 3-A| Emission Units'!A67=0,0,'Table 5-A| Criteria MPTE'!A125)</f>
        <v>1-1</v>
      </c>
      <c r="B37" s="309">
        <f>IF(A37=0,0,'Table 3-A| Emission Units'!C67)</f>
        <v>30200540</v>
      </c>
      <c r="C37" s="311">
        <f>IF(ISBLANK('Table 6-A| Controls &amp; Limits'!C44),"",IF('Table 6-A| Controls &amp; Limits'!C44="No",'Table 6-A| Controls &amp; Limits'!D44,'Table 6-A| Controls &amp; Limits'!E44))</f>
        <v>0</v>
      </c>
      <c r="D37" s="398" t="str">
        <f>IF(C37=0,"",'Table 6-A| Controls &amp; Limits'!F44)</f>
        <v/>
      </c>
      <c r="E37" s="399" t="str">
        <f>IFERROR(IFERROR(1-VLOOKUP('Table 6-A| Controls &amp; Limits'!$K44,'Emission Controls'!$A$20:$L$33,4,),1)*('Table 5-A| Criteria MPTE'!G125*'Table 7-A| Facility-Wide APTE'!$C37/'Table 5-A| Criteria MPTE'!$E125),"")</f>
        <v/>
      </c>
      <c r="F37" s="400" t="str">
        <f>IFERROR(IFERROR(1-VLOOKUP('Table 6-A| Controls &amp; Limits'!$K44,'Emission Controls'!$A$20:$L$33,5,),1)*('Table 5-A| Criteria MPTE'!H125*'Table 7-A| Facility-Wide APTE'!$C37/'Table 5-A| Criteria MPTE'!$E125),"")</f>
        <v/>
      </c>
      <c r="G37" s="400" t="str">
        <f>IFERROR(IFERROR(1-VLOOKUP('Table 6-A| Controls &amp; Limits'!$K44,'Emission Controls'!$A$20:$L$33,6,),1)*('Table 5-A| Criteria MPTE'!I125*'Table 7-A| Facility-Wide APTE'!$C37/'Table 5-A| Criteria MPTE'!$E125),"")</f>
        <v/>
      </c>
      <c r="H37" s="400" t="str">
        <f>IFERROR(IFERROR(1-VLOOKUP('Table 6-A| Controls &amp; Limits'!$K44,'Emission Controls'!$A$20:$L$33,7,),1)*('Table 5-A| Criteria MPTE'!J125*'Table 7-A| Facility-Wide APTE'!$C37/'Table 5-A| Criteria MPTE'!$E125),"")</f>
        <v/>
      </c>
      <c r="I37" s="400" t="str">
        <f>IFERROR(IFERROR(1-VLOOKUP('Table 6-A| Controls &amp; Limits'!$K44,'Emission Controls'!$A$20:$L$33,8,),1)*('Table 5-A| Criteria MPTE'!K125*'Table 7-A| Facility-Wide APTE'!$C37/'Table 5-A| Criteria MPTE'!$E125),"")</f>
        <v/>
      </c>
      <c r="J37" s="400" t="str">
        <f>IFERROR(IFERROR(1-VLOOKUP('Table 6-A| Controls &amp; Limits'!$K44,'Emission Controls'!$A$20:$L$33,9,),1)*('Table 5-A| Criteria MPTE'!L125*'Table 7-A| Facility-Wide APTE'!$C37/'Table 5-A| Criteria MPTE'!$E125),"")</f>
        <v/>
      </c>
      <c r="K37" s="400" t="str">
        <f>IFERROR(IFERROR(1-VLOOKUP('Table 6-A| Controls &amp; Limits'!$K44,'Emission Controls'!$A$20:$L$33,10,),1)*('Table 5-A| Criteria MPTE'!M125*'Table 7-A| Facility-Wide APTE'!$C37/'Table 5-A| Criteria MPTE'!$E125),"")</f>
        <v/>
      </c>
      <c r="L37" s="400" t="str">
        <f>IFERROR(IFERROR(1-VLOOKUP('Table 6-A| Controls &amp; Limits'!$K44,'Emission Controls'!$A$20:$L$33,11,),1)*('Table 5-A| Criteria MPTE'!N125*'Table 7-A| Facility-Wide APTE'!$C37/'Table 5-A| Criteria MPTE'!$E125),"")</f>
        <v/>
      </c>
      <c r="M37" s="401" t="str">
        <f>IFERROR(IFERROR(1-VLOOKUP('Table 6-A| Controls &amp; Limits'!$K44,'Emission Controls'!$A$20:$L$33,12,),1)*('Table 5-A| Criteria MPTE'!O125*'Table 7-A| Facility-Wide APTE'!$C37/'Table 5-A| Criteria MPTE'!$E125),"")</f>
        <v/>
      </c>
    </row>
    <row r="38" spans="1:13" ht="18" customHeight="1" x14ac:dyDescent="0.25">
      <c r="A38" s="1301" t="str">
        <f>'Table 6-A| Controls &amp; Limits'!A45:J45</f>
        <v>Grain Cleaning Emission Units</v>
      </c>
      <c r="B38" s="1302"/>
      <c r="C38" s="1302"/>
      <c r="D38" s="1302"/>
      <c r="E38" s="1302"/>
      <c r="F38" s="1302"/>
      <c r="G38" s="1302"/>
      <c r="H38" s="1302"/>
      <c r="I38" s="1302"/>
      <c r="J38" s="1302"/>
      <c r="K38" s="1302"/>
      <c r="L38" s="1302"/>
      <c r="M38" s="1303"/>
    </row>
    <row r="39" spans="1:13" ht="18" customHeight="1" x14ac:dyDescent="0.25">
      <c r="A39" s="308">
        <f>IF('Table 3-A| Emission Units'!A69=0,0,'Table 5-A| Criteria MPTE'!A127)</f>
        <v>0</v>
      </c>
      <c r="B39" s="309">
        <f>IF(A39=0,0,'Table 3-A| Emission Units'!C69)</f>
        <v>0</v>
      </c>
      <c r="C39" s="311">
        <f>IF(ISBLANK('Table 6-A| Controls &amp; Limits'!C46),0,IF('Table 6-A| Controls &amp; Limits'!C46="No",'Table 6-A| Controls &amp; Limits'!D46,'Table 6-A| Controls &amp; Limits'!E46))</f>
        <v>0</v>
      </c>
      <c r="D39" s="398" t="str">
        <f>IF(C39=0,"",'Table 6-A| Controls &amp; Limits'!F46)</f>
        <v/>
      </c>
      <c r="E39" s="399" t="str">
        <f>IFERROR(IFERROR(1-VLOOKUP('Table 6-A| Controls &amp; Limits'!$K46,'Emission Controls'!$A$20:$L$33,4,),1)*('Table 5-A| Criteria MPTE'!G127*'Table 7-A| Facility-Wide APTE'!$C39/'Table 5-A| Criteria MPTE'!$E127),"")</f>
        <v/>
      </c>
      <c r="F39" s="400" t="str">
        <f>IFERROR(IFERROR(1-VLOOKUP('Table 6-A| Controls &amp; Limits'!$K46,'Emission Controls'!$A$20:$L$33,5,),1)*('Table 5-A| Criteria MPTE'!H127*'Table 7-A| Facility-Wide APTE'!$C39/'Table 5-A| Criteria MPTE'!$E127),"")</f>
        <v/>
      </c>
      <c r="G39" s="400" t="str">
        <f>IFERROR(IFERROR(1-VLOOKUP('Table 6-A| Controls &amp; Limits'!$K46,'Emission Controls'!$A$20:$L$33,6,),1)*('Table 5-A| Criteria MPTE'!I127*'Table 7-A| Facility-Wide APTE'!$C39/'Table 5-A| Criteria MPTE'!$E127),"")</f>
        <v/>
      </c>
      <c r="H39" s="400" t="str">
        <f>IFERROR(IFERROR(1-VLOOKUP('Table 6-A| Controls &amp; Limits'!$K46,'Emission Controls'!$A$20:$L$33,7,),1)*('Table 5-A| Criteria MPTE'!J127*'Table 7-A| Facility-Wide APTE'!$C39/'Table 5-A| Criteria MPTE'!$E127),"")</f>
        <v/>
      </c>
      <c r="I39" s="400" t="str">
        <f>IFERROR(IFERROR(1-VLOOKUP('Table 6-A| Controls &amp; Limits'!$K46,'Emission Controls'!$A$20:$L$33,8,),1)*('Table 5-A| Criteria MPTE'!K127*'Table 7-A| Facility-Wide APTE'!$C39/'Table 5-A| Criteria MPTE'!$E127),"")</f>
        <v/>
      </c>
      <c r="J39" s="400" t="str">
        <f>IFERROR(IFERROR(1-VLOOKUP('Table 6-A| Controls &amp; Limits'!$K46,'Emission Controls'!$A$20:$L$33,9,),1)*('Table 5-A| Criteria MPTE'!L127*'Table 7-A| Facility-Wide APTE'!$C39/'Table 5-A| Criteria MPTE'!$E127),"")</f>
        <v/>
      </c>
      <c r="K39" s="400" t="str">
        <f>IFERROR(IFERROR(1-VLOOKUP('Table 6-A| Controls &amp; Limits'!$K46,'Emission Controls'!$A$20:$L$33,10,),1)*('Table 5-A| Criteria MPTE'!M127*'Table 7-A| Facility-Wide APTE'!$C39/'Table 5-A| Criteria MPTE'!$E127),"")</f>
        <v/>
      </c>
      <c r="L39" s="400" t="str">
        <f>IFERROR(IFERROR(1-VLOOKUP('Table 6-A| Controls &amp; Limits'!$K46,'Emission Controls'!$A$20:$L$33,11,),1)*('Table 5-A| Criteria MPTE'!N127*'Table 7-A| Facility-Wide APTE'!$C39/'Table 5-A| Criteria MPTE'!$E127),"")</f>
        <v/>
      </c>
      <c r="M39" s="401" t="str">
        <f>IFERROR(IFERROR(1-VLOOKUP('Table 6-A| Controls &amp; Limits'!$K46,'Emission Controls'!$A$20:$L$33,12,),1)*('Table 5-A| Criteria MPTE'!O127*'Table 7-A| Facility-Wide APTE'!$C39/'Table 5-A| Criteria MPTE'!$E127),"")</f>
        <v/>
      </c>
    </row>
    <row r="40" spans="1:13" ht="18" customHeight="1" x14ac:dyDescent="0.25">
      <c r="A40" s="308">
        <f>IF('Table 3-A| Emission Units'!A70=0,0,'Table 5-A| Criteria MPTE'!A128)</f>
        <v>0</v>
      </c>
      <c r="B40" s="309">
        <f>IF(A40=0,0,'Table 3-A| Emission Units'!C70)</f>
        <v>0</v>
      </c>
      <c r="C40" s="311">
        <f>IF(ISBLANK('Table 6-A| Controls &amp; Limits'!C47),0,IF('Table 6-A| Controls &amp; Limits'!C47="No",'Table 6-A| Controls &amp; Limits'!D47,'Table 6-A| Controls &amp; Limits'!E47))</f>
        <v>0</v>
      </c>
      <c r="D40" s="398" t="str">
        <f>IF(C40=0,"",'Table 6-A| Controls &amp; Limits'!F47)</f>
        <v/>
      </c>
      <c r="E40" s="399" t="str">
        <f>IFERROR(IFERROR(1-VLOOKUP('Table 6-A| Controls &amp; Limits'!$K47,'Emission Controls'!$A$20:$L$33,4,),1)*('Table 5-A| Criteria MPTE'!G128*'Table 7-A| Facility-Wide APTE'!$C40/'Table 5-A| Criteria MPTE'!$E128),"")</f>
        <v/>
      </c>
      <c r="F40" s="400" t="str">
        <f>IFERROR(IFERROR(1-VLOOKUP('Table 6-A| Controls &amp; Limits'!$K47,'Emission Controls'!$A$20:$L$33,5,),1)*('Table 5-A| Criteria MPTE'!H128*'Table 7-A| Facility-Wide APTE'!$C40/'Table 5-A| Criteria MPTE'!$E128),"")</f>
        <v/>
      </c>
      <c r="G40" s="400" t="str">
        <f>IFERROR(IFERROR(1-VLOOKUP('Table 6-A| Controls &amp; Limits'!$K47,'Emission Controls'!$A$20:$L$33,6,),1)*('Table 5-A| Criteria MPTE'!I128*'Table 7-A| Facility-Wide APTE'!$C40/'Table 5-A| Criteria MPTE'!$E128),"")</f>
        <v/>
      </c>
      <c r="H40" s="400" t="str">
        <f>IFERROR(IFERROR(1-VLOOKUP('Table 6-A| Controls &amp; Limits'!$K47,'Emission Controls'!$A$20:$L$33,7,),1)*('Table 5-A| Criteria MPTE'!J128*'Table 7-A| Facility-Wide APTE'!$C40/'Table 5-A| Criteria MPTE'!$E128),"")</f>
        <v/>
      </c>
      <c r="I40" s="400" t="str">
        <f>IFERROR(IFERROR(1-VLOOKUP('Table 6-A| Controls &amp; Limits'!$K47,'Emission Controls'!$A$20:$L$33,8,),1)*('Table 5-A| Criteria MPTE'!K128*'Table 7-A| Facility-Wide APTE'!$C40/'Table 5-A| Criteria MPTE'!$E128),"")</f>
        <v/>
      </c>
      <c r="J40" s="400" t="str">
        <f>IFERROR(IFERROR(1-VLOOKUP('Table 6-A| Controls &amp; Limits'!$K47,'Emission Controls'!$A$20:$L$33,9,),1)*('Table 5-A| Criteria MPTE'!L128*'Table 7-A| Facility-Wide APTE'!$C40/'Table 5-A| Criteria MPTE'!$E128),"")</f>
        <v/>
      </c>
      <c r="K40" s="400" t="str">
        <f>IFERROR(IFERROR(1-VLOOKUP('Table 6-A| Controls &amp; Limits'!$K47,'Emission Controls'!$A$20:$L$33,10,),1)*('Table 5-A| Criteria MPTE'!M128*'Table 7-A| Facility-Wide APTE'!$C40/'Table 5-A| Criteria MPTE'!$E128),"")</f>
        <v/>
      </c>
      <c r="L40" s="400" t="str">
        <f>IFERROR(IFERROR(1-VLOOKUP('Table 6-A| Controls &amp; Limits'!$K47,'Emission Controls'!$A$20:$L$33,11,),1)*('Table 5-A| Criteria MPTE'!N128*'Table 7-A| Facility-Wide APTE'!$C40/'Table 5-A| Criteria MPTE'!$E128),"")</f>
        <v/>
      </c>
      <c r="M40" s="401" t="str">
        <f>IFERROR(IFERROR(1-VLOOKUP('Table 6-A| Controls &amp; Limits'!$K47,'Emission Controls'!$A$20:$L$33,12,),1)*('Table 5-A| Criteria MPTE'!O128*'Table 7-A| Facility-Wide APTE'!$C40/'Table 5-A| Criteria MPTE'!$E128),"")</f>
        <v/>
      </c>
    </row>
    <row r="41" spans="1:13" ht="18" customHeight="1" x14ac:dyDescent="0.25">
      <c r="A41" s="308">
        <f>IF('Table 3-A| Emission Units'!A71=0,0,'Table 5-A| Criteria MPTE'!A129)</f>
        <v>0</v>
      </c>
      <c r="B41" s="309">
        <f>IF(A41=0,0,'Table 3-A| Emission Units'!C71)</f>
        <v>0</v>
      </c>
      <c r="C41" s="311">
        <f>IF(ISBLANK('Table 6-A| Controls &amp; Limits'!C48),0,IF('Table 6-A| Controls &amp; Limits'!C48="No",'Table 6-A| Controls &amp; Limits'!D48,'Table 6-A| Controls &amp; Limits'!E48))</f>
        <v>0</v>
      </c>
      <c r="D41" s="398" t="str">
        <f>IF(C41=0,"",'Table 6-A| Controls &amp; Limits'!F48)</f>
        <v/>
      </c>
      <c r="E41" s="399" t="str">
        <f>IFERROR(IFERROR(1-VLOOKUP('Table 6-A| Controls &amp; Limits'!$K48,'Emission Controls'!$A$20:$L$33,4,),1)*('Table 5-A| Criteria MPTE'!G129*'Table 7-A| Facility-Wide APTE'!$C41/'Table 5-A| Criteria MPTE'!$E129),"")</f>
        <v/>
      </c>
      <c r="F41" s="400" t="str">
        <f>IFERROR(IFERROR(1-VLOOKUP('Table 6-A| Controls &amp; Limits'!$K48,'Emission Controls'!$A$20:$L$33,5,),1)*('Table 5-A| Criteria MPTE'!H129*'Table 7-A| Facility-Wide APTE'!$C41/'Table 5-A| Criteria MPTE'!$E129),"")</f>
        <v/>
      </c>
      <c r="G41" s="400" t="str">
        <f>IFERROR(IFERROR(1-VLOOKUP('Table 6-A| Controls &amp; Limits'!$K48,'Emission Controls'!$A$20:$L$33,6,),1)*('Table 5-A| Criteria MPTE'!I129*'Table 7-A| Facility-Wide APTE'!$C41/'Table 5-A| Criteria MPTE'!$E129),"")</f>
        <v/>
      </c>
      <c r="H41" s="400" t="str">
        <f>IFERROR(IFERROR(1-VLOOKUP('Table 6-A| Controls &amp; Limits'!$K48,'Emission Controls'!$A$20:$L$33,7,),1)*('Table 5-A| Criteria MPTE'!J129*'Table 7-A| Facility-Wide APTE'!$C41/'Table 5-A| Criteria MPTE'!$E129),"")</f>
        <v/>
      </c>
      <c r="I41" s="400" t="str">
        <f>IFERROR(IFERROR(1-VLOOKUP('Table 6-A| Controls &amp; Limits'!$K48,'Emission Controls'!$A$20:$L$33,8,),1)*('Table 5-A| Criteria MPTE'!K129*'Table 7-A| Facility-Wide APTE'!$C41/'Table 5-A| Criteria MPTE'!$E129),"")</f>
        <v/>
      </c>
      <c r="J41" s="400" t="str">
        <f>IFERROR(IFERROR(1-VLOOKUP('Table 6-A| Controls &amp; Limits'!$K48,'Emission Controls'!$A$20:$L$33,9,),1)*('Table 5-A| Criteria MPTE'!L129*'Table 7-A| Facility-Wide APTE'!$C41/'Table 5-A| Criteria MPTE'!$E129),"")</f>
        <v/>
      </c>
      <c r="K41" s="400" t="str">
        <f>IFERROR(IFERROR(1-VLOOKUP('Table 6-A| Controls &amp; Limits'!$K48,'Emission Controls'!$A$20:$L$33,10,),1)*('Table 5-A| Criteria MPTE'!M129*'Table 7-A| Facility-Wide APTE'!$C41/'Table 5-A| Criteria MPTE'!$E129),"")</f>
        <v/>
      </c>
      <c r="L41" s="400" t="str">
        <f>IFERROR(IFERROR(1-VLOOKUP('Table 6-A| Controls &amp; Limits'!$K48,'Emission Controls'!$A$20:$L$33,11,),1)*('Table 5-A| Criteria MPTE'!N129*'Table 7-A| Facility-Wide APTE'!$C41/'Table 5-A| Criteria MPTE'!$E129),"")</f>
        <v/>
      </c>
      <c r="M41" s="401" t="str">
        <f>IFERROR(IFERROR(1-VLOOKUP('Table 6-A| Controls &amp; Limits'!$K48,'Emission Controls'!$A$20:$L$33,12,),1)*('Table 5-A| Criteria MPTE'!O129*'Table 7-A| Facility-Wide APTE'!$C41/'Table 5-A| Criteria MPTE'!$E129),"")</f>
        <v/>
      </c>
    </row>
    <row r="42" spans="1:13" ht="18" customHeight="1" thickBot="1" x14ac:dyDescent="0.3">
      <c r="A42" s="308">
        <f>IF('Table 3-A| Emission Units'!A72=0,0,'Table 5-A| Criteria MPTE'!A130)</f>
        <v>0</v>
      </c>
      <c r="B42" s="309">
        <f>IF(A42=0,0,'Table 3-A| Emission Units'!C72)</f>
        <v>0</v>
      </c>
      <c r="C42" s="311">
        <f>IF(ISBLANK('Table 6-A| Controls &amp; Limits'!C49),0,IF('Table 6-A| Controls &amp; Limits'!C49="No",'Table 6-A| Controls &amp; Limits'!D49,'Table 6-A| Controls &amp; Limits'!E49))</f>
        <v>0</v>
      </c>
      <c r="D42" s="398" t="str">
        <f>IF(C42=0,"",'Table 6-A| Controls &amp; Limits'!F49)</f>
        <v/>
      </c>
      <c r="E42" s="399" t="str">
        <f>IFERROR(IFERROR(1-VLOOKUP('Table 6-A| Controls &amp; Limits'!$K49,'Emission Controls'!$A$20:$L$33,4,),1)*('Table 5-A| Criteria MPTE'!G130*'Table 7-A| Facility-Wide APTE'!$C42/'Table 5-A| Criteria MPTE'!$E130),"")</f>
        <v/>
      </c>
      <c r="F42" s="400" t="str">
        <f>IFERROR(IFERROR(1-VLOOKUP('Table 6-A| Controls &amp; Limits'!$K49,'Emission Controls'!$A$20:$L$33,5,),1)*('Table 5-A| Criteria MPTE'!H130*'Table 7-A| Facility-Wide APTE'!$C42/'Table 5-A| Criteria MPTE'!$E130),"")</f>
        <v/>
      </c>
      <c r="G42" s="400" t="str">
        <f>IFERROR(IFERROR(1-VLOOKUP('Table 6-A| Controls &amp; Limits'!$K49,'Emission Controls'!$A$20:$L$33,6,),1)*('Table 5-A| Criteria MPTE'!I130*'Table 7-A| Facility-Wide APTE'!$C42/'Table 5-A| Criteria MPTE'!$E130),"")</f>
        <v/>
      </c>
      <c r="H42" s="400" t="str">
        <f>IFERROR(IFERROR(1-VLOOKUP('Table 6-A| Controls &amp; Limits'!$K49,'Emission Controls'!$A$20:$L$33,7,),1)*('Table 5-A| Criteria MPTE'!J130*'Table 7-A| Facility-Wide APTE'!$C42/'Table 5-A| Criteria MPTE'!$E130),"")</f>
        <v/>
      </c>
      <c r="I42" s="400" t="str">
        <f>IFERROR(IFERROR(1-VLOOKUP('Table 6-A| Controls &amp; Limits'!$K49,'Emission Controls'!$A$20:$L$33,8,),1)*('Table 5-A| Criteria MPTE'!K130*'Table 7-A| Facility-Wide APTE'!$C42/'Table 5-A| Criteria MPTE'!$E130),"")</f>
        <v/>
      </c>
      <c r="J42" s="400" t="str">
        <f>IFERROR(IFERROR(1-VLOOKUP('Table 6-A| Controls &amp; Limits'!$K49,'Emission Controls'!$A$20:$L$33,9,),1)*('Table 5-A| Criteria MPTE'!L130*'Table 7-A| Facility-Wide APTE'!$C42/'Table 5-A| Criteria MPTE'!$E130),"")</f>
        <v/>
      </c>
      <c r="K42" s="400" t="str">
        <f>IFERROR(IFERROR(1-VLOOKUP('Table 6-A| Controls &amp; Limits'!$K49,'Emission Controls'!$A$20:$L$33,10,),1)*('Table 5-A| Criteria MPTE'!M130*'Table 7-A| Facility-Wide APTE'!$C42/'Table 5-A| Criteria MPTE'!$E130),"")</f>
        <v/>
      </c>
      <c r="L42" s="400" t="str">
        <f>IFERROR(IFERROR(1-VLOOKUP('Table 6-A| Controls &amp; Limits'!$K49,'Emission Controls'!$A$20:$L$33,11,),1)*('Table 5-A| Criteria MPTE'!N130*'Table 7-A| Facility-Wide APTE'!$C42/'Table 5-A| Criteria MPTE'!$E130),"")</f>
        <v/>
      </c>
      <c r="M42" s="401" t="str">
        <f>IFERROR(IFERROR(1-VLOOKUP('Table 6-A| Controls &amp; Limits'!$K49,'Emission Controls'!$A$20:$L$33,12,),1)*('Table 5-A| Criteria MPTE'!O130*'Table 7-A| Facility-Wide APTE'!$C42/'Table 5-A| Criteria MPTE'!$E130),"")</f>
        <v/>
      </c>
    </row>
    <row r="43" spans="1:13" ht="18" customHeight="1" x14ac:dyDescent="0.25">
      <c r="A43" s="1301" t="str">
        <f>'Table 6-A| Controls &amp; Limits'!A50:J50</f>
        <v>Grain Drying Emission Units</v>
      </c>
      <c r="B43" s="1302"/>
      <c r="C43" s="1302"/>
      <c r="D43" s="1302"/>
      <c r="E43" s="1302"/>
      <c r="F43" s="1302"/>
      <c r="G43" s="1302"/>
      <c r="H43" s="1302"/>
      <c r="I43" s="1302"/>
      <c r="J43" s="1302"/>
      <c r="K43" s="1302"/>
      <c r="L43" s="1302"/>
      <c r="M43" s="1303"/>
    </row>
    <row r="44" spans="1:13" ht="18" customHeight="1" x14ac:dyDescent="0.25">
      <c r="A44" s="308">
        <f>IF('Table 3-A| Emission Units'!A74=0,0,'Table 5-A| Criteria MPTE'!A132)</f>
        <v>0</v>
      </c>
      <c r="B44" s="309">
        <f>IF(A44=0,0,'Table 3-A| Emission Units'!C74)</f>
        <v>0</v>
      </c>
      <c r="C44" s="311">
        <f>IF(ISBLANK('Table 6-A| Controls &amp; Limits'!C51),0,IF('Table 6-A| Controls &amp; Limits'!C51="No",'Table 6-A| Controls &amp; Limits'!D51,'Table 6-A| Controls &amp; Limits'!E51))</f>
        <v>0</v>
      </c>
      <c r="D44" s="398" t="str">
        <f>IF(C44=0,"",'Table 6-A| Controls &amp; Limits'!F51)</f>
        <v/>
      </c>
      <c r="E44" s="399" t="str">
        <f>IFERROR(IFERROR(1-VLOOKUP('Table 6-A| Controls &amp; Limits'!$K51,'Emission Controls'!$A$20:$L$33,4,),1)*('Table 5-A| Criteria MPTE'!G132*'Table 7-A| Facility-Wide APTE'!$C44/'Table 5-A| Criteria MPTE'!$E132),"")</f>
        <v/>
      </c>
      <c r="F44" s="400" t="str">
        <f>IFERROR(IFERROR(1-VLOOKUP('Table 6-A| Controls &amp; Limits'!$K51,'Emission Controls'!$A$20:$L$33,5,),1)*('Table 5-A| Criteria MPTE'!H132*'Table 7-A| Facility-Wide APTE'!$C44/'Table 5-A| Criteria MPTE'!$E132),"")</f>
        <v/>
      </c>
      <c r="G44" s="400" t="str">
        <f>IFERROR(IFERROR(1-VLOOKUP('Table 6-A| Controls &amp; Limits'!$K51,'Emission Controls'!$A$20:$L$33,6,),1)*('Table 5-A| Criteria MPTE'!I132*'Table 7-A| Facility-Wide APTE'!$C44/'Table 5-A| Criteria MPTE'!$E132),"")</f>
        <v/>
      </c>
      <c r="H44" s="400" t="str">
        <f>IFERROR(IFERROR(1-VLOOKUP('Table 6-A| Controls &amp; Limits'!$K51,'Emission Controls'!$A$20:$L$33,7,),1)*('Table 5-A| Criteria MPTE'!J132*'Table 7-A| Facility-Wide APTE'!$C44/'Table 5-A| Criteria MPTE'!$E132),"")</f>
        <v/>
      </c>
      <c r="I44" s="400" t="str">
        <f>IFERROR(IFERROR(1-VLOOKUP('Table 6-A| Controls &amp; Limits'!$K51,'Emission Controls'!$A$20:$L$33,8,),1)*('Table 5-A| Criteria MPTE'!K132*'Table 7-A| Facility-Wide APTE'!$C44/'Table 5-A| Criteria MPTE'!$E132),"")</f>
        <v/>
      </c>
      <c r="J44" s="400" t="str">
        <f>IFERROR(IFERROR(1-VLOOKUP('Table 6-A| Controls &amp; Limits'!$K51,'Emission Controls'!$A$20:$L$33,9,),1)*('Table 5-A| Criteria MPTE'!L132*'Table 7-A| Facility-Wide APTE'!$C44/'Table 5-A| Criteria MPTE'!$E132),"")</f>
        <v/>
      </c>
      <c r="K44" s="400" t="str">
        <f>IFERROR(IFERROR(1-VLOOKUP('Table 6-A| Controls &amp; Limits'!$K51,'Emission Controls'!$A$20:$L$33,10,),1)*('Table 5-A| Criteria MPTE'!M132*'Table 7-A| Facility-Wide APTE'!$C44/'Table 5-A| Criteria MPTE'!$E132),"")</f>
        <v/>
      </c>
      <c r="L44" s="400" t="str">
        <f>IFERROR(IFERROR(1-VLOOKUP('Table 6-A| Controls &amp; Limits'!$K51,'Emission Controls'!$A$20:$L$33,11,),1)*('Table 5-A| Criteria MPTE'!N132*'Table 7-A| Facility-Wide APTE'!$C44/'Table 5-A| Criteria MPTE'!$E132),"")</f>
        <v/>
      </c>
      <c r="M44" s="401" t="str">
        <f>IFERROR(IFERROR(1-VLOOKUP('Table 6-A| Controls &amp; Limits'!$K51,'Emission Controls'!$A$20:$L$33,12,),1)*('Table 5-A| Criteria MPTE'!O132*'Table 7-A| Facility-Wide APTE'!$C44/'Table 5-A| Criteria MPTE'!$E132),"")</f>
        <v/>
      </c>
    </row>
    <row r="45" spans="1:13" ht="18" customHeight="1" x14ac:dyDescent="0.25">
      <c r="A45" s="308">
        <f>IF('Table 3-A| Emission Units'!A75=0,0,'Table 5-A| Criteria MPTE'!A133)</f>
        <v>0</v>
      </c>
      <c r="B45" s="309">
        <f>IF(A45=0,0,'Table 3-A| Emission Units'!C75)</f>
        <v>0</v>
      </c>
      <c r="C45" s="311" t="e">
        <f>IF('Table 6-A| Controls &amp; Limits'!C51="No",'Table 6-A| Controls &amp; Limits'!D52,'Table 6-A| Controls &amp; Limits'!D52*('Table 6-A| Controls &amp; Limits'!E51/'Table 6-A| Controls &amp; Limits'!D51))</f>
        <v>#DIV/0!</v>
      </c>
      <c r="D45" s="398" t="e">
        <f>IF(C45=0,"",'Table 6-A| Controls &amp; Limits'!F52)</f>
        <v>#DIV/0!</v>
      </c>
      <c r="E45" s="399" t="str">
        <f>IFERROR(IFERROR(1-VLOOKUP('Table 6-A| Controls &amp; Limits'!$K52,'Emission Controls'!$A$20:$L$33,4,),1)*('Table 5-A| Criteria MPTE'!G133*'Table 7-A| Facility-Wide APTE'!$C45/'Table 5-A| Criteria MPTE'!$E133),"")</f>
        <v/>
      </c>
      <c r="F45" s="400" t="str">
        <f>IFERROR(IFERROR(1-VLOOKUP('Table 6-A| Controls &amp; Limits'!$K52,'Emission Controls'!$A$20:$L$33,5,),1)*('Table 5-A| Criteria MPTE'!H133*'Table 7-A| Facility-Wide APTE'!$C45/'Table 5-A| Criteria MPTE'!$E133),"")</f>
        <v/>
      </c>
      <c r="G45" s="400" t="str">
        <f>IFERROR(IFERROR(1-VLOOKUP('Table 6-A| Controls &amp; Limits'!$K52,'Emission Controls'!$A$20:$L$33,6,),1)*('Table 5-A| Criteria MPTE'!I133*'Table 7-A| Facility-Wide APTE'!$C45/'Table 5-A| Criteria MPTE'!$E133),"")</f>
        <v/>
      </c>
      <c r="H45" s="400" t="str">
        <f>IFERROR(IFERROR(1-VLOOKUP('Table 6-A| Controls &amp; Limits'!$K52,'Emission Controls'!$A$20:$L$33,7,),1)*('Table 5-A| Criteria MPTE'!J133*'Table 7-A| Facility-Wide APTE'!$C45/'Table 5-A| Criteria MPTE'!$E133),"")</f>
        <v/>
      </c>
      <c r="I45" s="400" t="str">
        <f>IFERROR(IFERROR(1-VLOOKUP('Table 6-A| Controls &amp; Limits'!$K52,'Emission Controls'!$A$20:$L$33,8,),1)*('Table 5-A| Criteria MPTE'!K133*'Table 7-A| Facility-Wide APTE'!$C45/'Table 5-A| Criteria MPTE'!$E133),"")</f>
        <v/>
      </c>
      <c r="J45" s="400" t="str">
        <f>IFERROR(IFERROR(1-VLOOKUP('Table 6-A| Controls &amp; Limits'!$K52,'Emission Controls'!$A$20:$L$33,9,),1)*('Table 5-A| Criteria MPTE'!L133*'Table 7-A| Facility-Wide APTE'!$C45/'Table 5-A| Criteria MPTE'!$E133),"")</f>
        <v/>
      </c>
      <c r="K45" s="400" t="str">
        <f>IFERROR(IFERROR(1-VLOOKUP('Table 6-A| Controls &amp; Limits'!$K52,'Emission Controls'!$A$20:$L$33,10,),1)*('Table 5-A| Criteria MPTE'!M133*'Table 7-A| Facility-Wide APTE'!$C45/'Table 5-A| Criteria MPTE'!$E133),"")</f>
        <v/>
      </c>
      <c r="L45" s="400" t="str">
        <f>IFERROR(IFERROR(1-VLOOKUP('Table 6-A| Controls &amp; Limits'!$K52,'Emission Controls'!$A$20:$L$33,11,),1)*('Table 5-A| Criteria MPTE'!N133*'Table 7-A| Facility-Wide APTE'!$C45/'Table 5-A| Criteria MPTE'!$E133),"")</f>
        <v/>
      </c>
      <c r="M45" s="401" t="str">
        <f>IFERROR(IFERROR(1-VLOOKUP('Table 6-A| Controls &amp; Limits'!$K52,'Emission Controls'!$A$20:$L$33,12,),1)*('Table 5-A| Criteria MPTE'!O133*'Table 7-A| Facility-Wide APTE'!$C45/'Table 5-A| Criteria MPTE'!$E133),"")</f>
        <v/>
      </c>
    </row>
    <row r="46" spans="1:13" ht="18" customHeight="1" x14ac:dyDescent="0.25">
      <c r="A46" s="308">
        <f>IF('Table 3-A| Emission Units'!A76=0,0,'Table 5-A| Criteria MPTE'!A134)</f>
        <v>0</v>
      </c>
      <c r="B46" s="309">
        <f>IF(A46=0,0,'Table 3-A| Emission Units'!C76)</f>
        <v>0</v>
      </c>
      <c r="C46" s="311">
        <f>IF(ISBLANK('Table 6-A| Controls &amp; Limits'!C53),0,IF('Table 6-A| Controls &amp; Limits'!C53="No",'Table 6-A| Controls &amp; Limits'!D53,'Table 6-A| Controls &amp; Limits'!E53))</f>
        <v>0</v>
      </c>
      <c r="D46" s="398" t="str">
        <f>IF(C46=0,"",'Table 6-A| Controls &amp; Limits'!F53)</f>
        <v/>
      </c>
      <c r="E46" s="399" t="str">
        <f>IFERROR(IFERROR(1-VLOOKUP('Table 6-A| Controls &amp; Limits'!$K53,'Emission Controls'!$A$20:$L$33,4,),1)*('Table 5-A| Criteria MPTE'!G134*'Table 7-A| Facility-Wide APTE'!$C46/'Table 5-A| Criteria MPTE'!$E134),"")</f>
        <v/>
      </c>
      <c r="F46" s="400" t="str">
        <f>IFERROR(IFERROR(1-VLOOKUP('Table 6-A| Controls &amp; Limits'!$K53,'Emission Controls'!$A$20:$L$33,5,),1)*('Table 5-A| Criteria MPTE'!H134*'Table 7-A| Facility-Wide APTE'!$C46/'Table 5-A| Criteria MPTE'!$E134),"")</f>
        <v/>
      </c>
      <c r="G46" s="400" t="str">
        <f>IFERROR(IFERROR(1-VLOOKUP('Table 6-A| Controls &amp; Limits'!$K53,'Emission Controls'!$A$20:$L$33,6,),1)*('Table 5-A| Criteria MPTE'!I134*'Table 7-A| Facility-Wide APTE'!$C46/'Table 5-A| Criteria MPTE'!$E134),"")</f>
        <v/>
      </c>
      <c r="H46" s="400" t="str">
        <f>IFERROR(IFERROR(1-VLOOKUP('Table 6-A| Controls &amp; Limits'!$K53,'Emission Controls'!$A$20:$L$33,7,),1)*('Table 5-A| Criteria MPTE'!J134*'Table 7-A| Facility-Wide APTE'!$C46/'Table 5-A| Criteria MPTE'!$E134),"")</f>
        <v/>
      </c>
      <c r="I46" s="400" t="str">
        <f>IFERROR(IFERROR(1-VLOOKUP('Table 6-A| Controls &amp; Limits'!$K53,'Emission Controls'!$A$20:$L$33,8,),1)*('Table 5-A| Criteria MPTE'!K134*'Table 7-A| Facility-Wide APTE'!$C46/'Table 5-A| Criteria MPTE'!$E134),"")</f>
        <v/>
      </c>
      <c r="J46" s="400" t="str">
        <f>IFERROR(IFERROR(1-VLOOKUP('Table 6-A| Controls &amp; Limits'!$K53,'Emission Controls'!$A$20:$L$33,9,),1)*('Table 5-A| Criteria MPTE'!L134*'Table 7-A| Facility-Wide APTE'!$C46/'Table 5-A| Criteria MPTE'!$E134),"")</f>
        <v/>
      </c>
      <c r="K46" s="400" t="str">
        <f>IFERROR(IFERROR(1-VLOOKUP('Table 6-A| Controls &amp; Limits'!$K53,'Emission Controls'!$A$20:$L$33,10,),1)*('Table 5-A| Criteria MPTE'!M134*'Table 7-A| Facility-Wide APTE'!$C46/'Table 5-A| Criteria MPTE'!$E134),"")</f>
        <v/>
      </c>
      <c r="L46" s="400" t="str">
        <f>IFERROR(IFERROR(1-VLOOKUP('Table 6-A| Controls &amp; Limits'!$K53,'Emission Controls'!$A$20:$L$33,11,),1)*('Table 5-A| Criteria MPTE'!N134*'Table 7-A| Facility-Wide APTE'!$C46/'Table 5-A| Criteria MPTE'!$E134),"")</f>
        <v/>
      </c>
      <c r="M46" s="401" t="str">
        <f>IFERROR(IFERROR(1-VLOOKUP('Table 6-A| Controls &amp; Limits'!$K53,'Emission Controls'!$A$20:$L$33,12,),1)*('Table 5-A| Criteria MPTE'!O134*'Table 7-A| Facility-Wide APTE'!$C46/'Table 5-A| Criteria MPTE'!$E134),"")</f>
        <v/>
      </c>
    </row>
    <row r="47" spans="1:13" ht="18" customHeight="1" x14ac:dyDescent="0.25">
      <c r="A47" s="308">
        <f>IF('Table 3-A| Emission Units'!A77=0,0,'Table 5-A| Criteria MPTE'!A135)</f>
        <v>0</v>
      </c>
      <c r="B47" s="309">
        <f>IF(A47=0,0,'Table 3-A| Emission Units'!C77)</f>
        <v>0</v>
      </c>
      <c r="C47" s="311" t="e">
        <f>IF('Table 6-A| Controls &amp; Limits'!C53="No",'Table 6-A| Controls &amp; Limits'!D54,'Table 6-A| Controls &amp; Limits'!D54*('Table 6-A| Controls &amp; Limits'!E53/'Table 6-A| Controls &amp; Limits'!D53))</f>
        <v>#DIV/0!</v>
      </c>
      <c r="D47" s="398" t="e">
        <f>IF(C47=0,"",'Table 6-A| Controls &amp; Limits'!F54)</f>
        <v>#DIV/0!</v>
      </c>
      <c r="E47" s="399" t="str">
        <f>IFERROR(IFERROR(1-VLOOKUP('Table 6-A| Controls &amp; Limits'!$K54,'Emission Controls'!$A$20:$L$33,4,),1)*('Table 5-A| Criteria MPTE'!G135*'Table 7-A| Facility-Wide APTE'!$C47/'Table 5-A| Criteria MPTE'!$E135),"")</f>
        <v/>
      </c>
      <c r="F47" s="400" t="str">
        <f>IFERROR(IFERROR(1-VLOOKUP('Table 6-A| Controls &amp; Limits'!$K54,'Emission Controls'!$A$20:$L$33,5,),1)*('Table 5-A| Criteria MPTE'!H135*'Table 7-A| Facility-Wide APTE'!$C47/'Table 5-A| Criteria MPTE'!$E135),"")</f>
        <v/>
      </c>
      <c r="G47" s="400" t="str">
        <f>IFERROR(IFERROR(1-VLOOKUP('Table 6-A| Controls &amp; Limits'!$K54,'Emission Controls'!$A$20:$L$33,6,),1)*('Table 5-A| Criteria MPTE'!I135*'Table 7-A| Facility-Wide APTE'!$C47/'Table 5-A| Criteria MPTE'!$E135),"")</f>
        <v/>
      </c>
      <c r="H47" s="400" t="str">
        <f>IFERROR(IFERROR(1-VLOOKUP('Table 6-A| Controls &amp; Limits'!$K54,'Emission Controls'!$A$20:$L$33,7,),1)*('Table 5-A| Criteria MPTE'!J135*'Table 7-A| Facility-Wide APTE'!$C47/'Table 5-A| Criteria MPTE'!$E135),"")</f>
        <v/>
      </c>
      <c r="I47" s="400" t="str">
        <f>IFERROR(IFERROR(1-VLOOKUP('Table 6-A| Controls &amp; Limits'!$K54,'Emission Controls'!$A$20:$L$33,8,),1)*('Table 5-A| Criteria MPTE'!K135*'Table 7-A| Facility-Wide APTE'!$C47/'Table 5-A| Criteria MPTE'!$E135),"")</f>
        <v/>
      </c>
      <c r="J47" s="400" t="str">
        <f>IFERROR(IFERROR(1-VLOOKUP('Table 6-A| Controls &amp; Limits'!$K54,'Emission Controls'!$A$20:$L$33,9,),1)*('Table 5-A| Criteria MPTE'!L135*'Table 7-A| Facility-Wide APTE'!$C47/'Table 5-A| Criteria MPTE'!$E135),"")</f>
        <v/>
      </c>
      <c r="K47" s="400" t="str">
        <f>IFERROR(IFERROR(1-VLOOKUP('Table 6-A| Controls &amp; Limits'!$K54,'Emission Controls'!$A$20:$L$33,10,),1)*('Table 5-A| Criteria MPTE'!M135*'Table 7-A| Facility-Wide APTE'!$C47/'Table 5-A| Criteria MPTE'!$E135),"")</f>
        <v/>
      </c>
      <c r="L47" s="400" t="str">
        <f>IFERROR(IFERROR(1-VLOOKUP('Table 6-A| Controls &amp; Limits'!$K54,'Emission Controls'!$A$20:$L$33,11,),1)*('Table 5-A| Criteria MPTE'!N135*'Table 7-A| Facility-Wide APTE'!$C47/'Table 5-A| Criteria MPTE'!$E135),"")</f>
        <v/>
      </c>
      <c r="M47" s="401" t="str">
        <f>IFERROR(IFERROR(1-VLOOKUP('Table 6-A| Controls &amp; Limits'!$K54,'Emission Controls'!$A$20:$L$33,12,),1)*('Table 5-A| Criteria MPTE'!O135*'Table 7-A| Facility-Wide APTE'!$C47/'Table 5-A| Criteria MPTE'!$E135),"")</f>
        <v/>
      </c>
    </row>
    <row r="48" spans="1:13" ht="18" customHeight="1" x14ac:dyDescent="0.25">
      <c r="A48" s="308">
        <f>IF('Table 3-A| Emission Units'!A78=0,0,'Table 5-A| Criteria MPTE'!A136)</f>
        <v>0</v>
      </c>
      <c r="B48" s="309">
        <f>IF(A48=0,0,'Table 3-A| Emission Units'!C78)</f>
        <v>0</v>
      </c>
      <c r="C48" s="311">
        <f>IF(ISBLANK('Table 6-A| Controls &amp; Limits'!C55),0,IF('Table 6-A| Controls &amp; Limits'!C55="No",'Table 6-A| Controls &amp; Limits'!D55,'Table 6-A| Controls &amp; Limits'!E55))</f>
        <v>0</v>
      </c>
      <c r="D48" s="398" t="str">
        <f>IF(C48=0,"",'Table 6-A| Controls &amp; Limits'!F55)</f>
        <v/>
      </c>
      <c r="E48" s="399" t="str">
        <f>IFERROR(IFERROR(1-VLOOKUP('Table 6-A| Controls &amp; Limits'!$K55,'Emission Controls'!$A$20:$L$33,4,),1)*('Table 5-A| Criteria MPTE'!G136*'Table 7-A| Facility-Wide APTE'!$C48/'Table 5-A| Criteria MPTE'!$E136),"")</f>
        <v/>
      </c>
      <c r="F48" s="400" t="str">
        <f>IFERROR(IFERROR(1-VLOOKUP('Table 6-A| Controls &amp; Limits'!$K55,'Emission Controls'!$A$20:$L$33,5,),1)*('Table 5-A| Criteria MPTE'!H136*'Table 7-A| Facility-Wide APTE'!$C48/'Table 5-A| Criteria MPTE'!$E136),"")</f>
        <v/>
      </c>
      <c r="G48" s="400" t="str">
        <f>IFERROR(IFERROR(1-VLOOKUP('Table 6-A| Controls &amp; Limits'!$K55,'Emission Controls'!$A$20:$L$33,6,),1)*('Table 5-A| Criteria MPTE'!I136*'Table 7-A| Facility-Wide APTE'!$C48/'Table 5-A| Criteria MPTE'!$E136),"")</f>
        <v/>
      </c>
      <c r="H48" s="400" t="str">
        <f>IFERROR(IFERROR(1-VLOOKUP('Table 6-A| Controls &amp; Limits'!$K55,'Emission Controls'!$A$20:$L$33,7,),1)*('Table 5-A| Criteria MPTE'!J136*'Table 7-A| Facility-Wide APTE'!$C48/'Table 5-A| Criteria MPTE'!$E136),"")</f>
        <v/>
      </c>
      <c r="I48" s="400" t="str">
        <f>IFERROR(IFERROR(1-VLOOKUP('Table 6-A| Controls &amp; Limits'!$K55,'Emission Controls'!$A$20:$L$33,8,),1)*('Table 5-A| Criteria MPTE'!K136*'Table 7-A| Facility-Wide APTE'!$C48/'Table 5-A| Criteria MPTE'!$E136),"")</f>
        <v/>
      </c>
      <c r="J48" s="400" t="str">
        <f>IFERROR(IFERROR(1-VLOOKUP('Table 6-A| Controls &amp; Limits'!$K55,'Emission Controls'!$A$20:$L$33,9,),1)*('Table 5-A| Criteria MPTE'!L136*'Table 7-A| Facility-Wide APTE'!$C48/'Table 5-A| Criteria MPTE'!$E136),"")</f>
        <v/>
      </c>
      <c r="K48" s="400" t="str">
        <f>IFERROR(IFERROR(1-VLOOKUP('Table 6-A| Controls &amp; Limits'!$K55,'Emission Controls'!$A$20:$L$33,10,),1)*('Table 5-A| Criteria MPTE'!M136*'Table 7-A| Facility-Wide APTE'!$C48/'Table 5-A| Criteria MPTE'!$E136),"")</f>
        <v/>
      </c>
      <c r="L48" s="400" t="str">
        <f>IFERROR(IFERROR(1-VLOOKUP('Table 6-A| Controls &amp; Limits'!$K55,'Emission Controls'!$A$20:$L$33,11,),1)*('Table 5-A| Criteria MPTE'!N136*'Table 7-A| Facility-Wide APTE'!$C48/'Table 5-A| Criteria MPTE'!$E136),"")</f>
        <v/>
      </c>
      <c r="M48" s="401" t="str">
        <f>IFERROR(IFERROR(1-VLOOKUP('Table 6-A| Controls &amp; Limits'!$K55,'Emission Controls'!$A$20:$L$33,12,),1)*('Table 5-A| Criteria MPTE'!O136*'Table 7-A| Facility-Wide APTE'!$C48/'Table 5-A| Criteria MPTE'!$E136),"")</f>
        <v/>
      </c>
    </row>
    <row r="49" spans="1:13" ht="18" customHeight="1" x14ac:dyDescent="0.25">
      <c r="A49" s="308">
        <f>IF('Table 3-A| Emission Units'!A79=0,0,'Table 5-A| Criteria MPTE'!A137)</f>
        <v>0</v>
      </c>
      <c r="B49" s="309">
        <f>IF(A49=0,0,'Table 3-A| Emission Units'!C79)</f>
        <v>0</v>
      </c>
      <c r="C49" s="311" t="e">
        <f>IF('Table 6-A| Controls &amp; Limits'!C55="No",'Table 6-A| Controls &amp; Limits'!D56,'Table 6-A| Controls &amp; Limits'!D56*('Table 6-A| Controls &amp; Limits'!E55/'Table 6-A| Controls &amp; Limits'!D55))</f>
        <v>#DIV/0!</v>
      </c>
      <c r="D49" s="398" t="e">
        <f>IF(C49=0,"",'Table 6-A| Controls &amp; Limits'!F56)</f>
        <v>#DIV/0!</v>
      </c>
      <c r="E49" s="399" t="str">
        <f>IFERROR(IFERROR(1-VLOOKUP('Table 6-A| Controls &amp; Limits'!$K56,'Emission Controls'!$A$20:$L$33,4,),1)*('Table 5-A| Criteria MPTE'!G137*'Table 7-A| Facility-Wide APTE'!$C49/'Table 5-A| Criteria MPTE'!$E137),"")</f>
        <v/>
      </c>
      <c r="F49" s="400" t="str">
        <f>IFERROR(IFERROR(1-VLOOKUP('Table 6-A| Controls &amp; Limits'!$K56,'Emission Controls'!$A$20:$L$33,5,),1)*('Table 5-A| Criteria MPTE'!H137*'Table 7-A| Facility-Wide APTE'!$C49/'Table 5-A| Criteria MPTE'!$E137),"")</f>
        <v/>
      </c>
      <c r="G49" s="400" t="str">
        <f>IFERROR(IFERROR(1-VLOOKUP('Table 6-A| Controls &amp; Limits'!$K56,'Emission Controls'!$A$20:$L$33,6,),1)*('Table 5-A| Criteria MPTE'!I137*'Table 7-A| Facility-Wide APTE'!$C49/'Table 5-A| Criteria MPTE'!$E137),"")</f>
        <v/>
      </c>
      <c r="H49" s="400" t="str">
        <f>IFERROR(IFERROR(1-VLOOKUP('Table 6-A| Controls &amp; Limits'!$K56,'Emission Controls'!$A$20:$L$33,7,),1)*('Table 5-A| Criteria MPTE'!J137*'Table 7-A| Facility-Wide APTE'!$C49/'Table 5-A| Criteria MPTE'!$E137),"")</f>
        <v/>
      </c>
      <c r="I49" s="400" t="str">
        <f>IFERROR(IFERROR(1-VLOOKUP('Table 6-A| Controls &amp; Limits'!$K56,'Emission Controls'!$A$20:$L$33,8,),1)*('Table 5-A| Criteria MPTE'!K137*'Table 7-A| Facility-Wide APTE'!$C49/'Table 5-A| Criteria MPTE'!$E137),"")</f>
        <v/>
      </c>
      <c r="J49" s="400" t="str">
        <f>IFERROR(IFERROR(1-VLOOKUP('Table 6-A| Controls &amp; Limits'!$K56,'Emission Controls'!$A$20:$L$33,9,),1)*('Table 5-A| Criteria MPTE'!L137*'Table 7-A| Facility-Wide APTE'!$C49/'Table 5-A| Criteria MPTE'!$E137),"")</f>
        <v/>
      </c>
      <c r="K49" s="400" t="str">
        <f>IFERROR(IFERROR(1-VLOOKUP('Table 6-A| Controls &amp; Limits'!$K56,'Emission Controls'!$A$20:$L$33,10,),1)*('Table 5-A| Criteria MPTE'!M137*'Table 7-A| Facility-Wide APTE'!$C49/'Table 5-A| Criteria MPTE'!$E137),"")</f>
        <v/>
      </c>
      <c r="L49" s="400" t="str">
        <f>IFERROR(IFERROR(1-VLOOKUP('Table 6-A| Controls &amp; Limits'!$K56,'Emission Controls'!$A$20:$L$33,11,),1)*('Table 5-A| Criteria MPTE'!N137*'Table 7-A| Facility-Wide APTE'!$C49/'Table 5-A| Criteria MPTE'!$E137),"")</f>
        <v/>
      </c>
      <c r="M49" s="401" t="str">
        <f>IFERROR(IFERROR(1-VLOOKUP('Table 6-A| Controls &amp; Limits'!$K56,'Emission Controls'!$A$20:$L$33,12,),1)*('Table 5-A| Criteria MPTE'!O137*'Table 7-A| Facility-Wide APTE'!$C49/'Table 5-A| Criteria MPTE'!$E137),"")</f>
        <v/>
      </c>
    </row>
    <row r="50" spans="1:13" ht="18" customHeight="1" x14ac:dyDescent="0.25">
      <c r="A50" s="308">
        <f>IF('Table 3-A| Emission Units'!A80=0,0,'Table 5-A| Criteria MPTE'!A138)</f>
        <v>0</v>
      </c>
      <c r="B50" s="309">
        <f>IF(A50=0,0,'Table 3-A| Emission Units'!C80)</f>
        <v>0</v>
      </c>
      <c r="C50" s="311">
        <f>IF(ISBLANK('Table 6-A| Controls &amp; Limits'!C57),0,IF('Table 6-A| Controls &amp; Limits'!C57="No",'Table 6-A| Controls &amp; Limits'!D57,'Table 6-A| Controls &amp; Limits'!E57))</f>
        <v>0</v>
      </c>
      <c r="D50" s="398" t="str">
        <f>IF(C50=0,"",'Table 6-A| Controls &amp; Limits'!F57)</f>
        <v/>
      </c>
      <c r="E50" s="399" t="str">
        <f>IFERROR(IFERROR(1-VLOOKUP('Table 6-A| Controls &amp; Limits'!$K57,'Emission Controls'!$A$20:$L$33,4,),1)*('Table 5-A| Criteria MPTE'!G138*'Table 7-A| Facility-Wide APTE'!$C50/'Table 5-A| Criteria MPTE'!$E138),"")</f>
        <v/>
      </c>
      <c r="F50" s="400" t="str">
        <f>IFERROR(IFERROR(1-VLOOKUP('Table 6-A| Controls &amp; Limits'!$K57,'Emission Controls'!$A$20:$L$33,5,),1)*('Table 5-A| Criteria MPTE'!H138*'Table 7-A| Facility-Wide APTE'!$C50/'Table 5-A| Criteria MPTE'!$E138),"")</f>
        <v/>
      </c>
      <c r="G50" s="400" t="str">
        <f>IFERROR(IFERROR(1-VLOOKUP('Table 6-A| Controls &amp; Limits'!$K57,'Emission Controls'!$A$20:$L$33,6,),1)*('Table 5-A| Criteria MPTE'!I138*'Table 7-A| Facility-Wide APTE'!$C50/'Table 5-A| Criteria MPTE'!$E138),"")</f>
        <v/>
      </c>
      <c r="H50" s="400" t="str">
        <f>IFERROR(IFERROR(1-VLOOKUP('Table 6-A| Controls &amp; Limits'!$K57,'Emission Controls'!$A$20:$L$33,7,),1)*('Table 5-A| Criteria MPTE'!J138*'Table 7-A| Facility-Wide APTE'!$C50/'Table 5-A| Criteria MPTE'!$E138),"")</f>
        <v/>
      </c>
      <c r="I50" s="400" t="str">
        <f>IFERROR(IFERROR(1-VLOOKUP('Table 6-A| Controls &amp; Limits'!$K57,'Emission Controls'!$A$20:$L$33,8,),1)*('Table 5-A| Criteria MPTE'!K138*'Table 7-A| Facility-Wide APTE'!$C50/'Table 5-A| Criteria MPTE'!$E138),"")</f>
        <v/>
      </c>
      <c r="J50" s="400" t="str">
        <f>IFERROR(IFERROR(1-VLOOKUP('Table 6-A| Controls &amp; Limits'!$K57,'Emission Controls'!$A$20:$L$33,9,),1)*('Table 5-A| Criteria MPTE'!L138*'Table 7-A| Facility-Wide APTE'!$C50/'Table 5-A| Criteria MPTE'!$E138),"")</f>
        <v/>
      </c>
      <c r="K50" s="400" t="str">
        <f>IFERROR(IFERROR(1-VLOOKUP('Table 6-A| Controls &amp; Limits'!$K57,'Emission Controls'!$A$20:$L$33,10,),1)*('Table 5-A| Criteria MPTE'!M138*'Table 7-A| Facility-Wide APTE'!$C50/'Table 5-A| Criteria MPTE'!$E138),"")</f>
        <v/>
      </c>
      <c r="L50" s="400" t="str">
        <f>IFERROR(IFERROR(1-VLOOKUP('Table 6-A| Controls &amp; Limits'!$K57,'Emission Controls'!$A$20:$L$33,11,),1)*('Table 5-A| Criteria MPTE'!N138*'Table 7-A| Facility-Wide APTE'!$C50/'Table 5-A| Criteria MPTE'!$E138),"")</f>
        <v/>
      </c>
      <c r="M50" s="401" t="str">
        <f>IFERROR(IFERROR(1-VLOOKUP('Table 6-A| Controls &amp; Limits'!$K57,'Emission Controls'!$A$20:$L$33,12,),1)*('Table 5-A| Criteria MPTE'!O138*'Table 7-A| Facility-Wide APTE'!$C50/'Table 5-A| Criteria MPTE'!$E138),"")</f>
        <v/>
      </c>
    </row>
    <row r="51" spans="1:13" ht="18" customHeight="1" thickBot="1" x14ac:dyDescent="0.3">
      <c r="A51" s="308">
        <f>IF('Table 3-A| Emission Units'!A81=0,0,'Table 5-A| Criteria MPTE'!A139)</f>
        <v>0</v>
      </c>
      <c r="B51" s="309">
        <f>IF(A51=0,0,'Table 3-A| Emission Units'!C81)</f>
        <v>0</v>
      </c>
      <c r="C51" s="311" t="e">
        <f>IF('Table 6-A| Controls &amp; Limits'!C57="No",'Table 6-A| Controls &amp; Limits'!D58,'Table 6-A| Controls &amp; Limits'!D58*('Table 6-A| Controls &amp; Limits'!E57/'Table 6-A| Controls &amp; Limits'!D57))</f>
        <v>#DIV/0!</v>
      </c>
      <c r="D51" s="398" t="e">
        <f>IF(C51=0,"",'Table 6-A| Controls &amp; Limits'!F58)</f>
        <v>#DIV/0!</v>
      </c>
      <c r="E51" s="399" t="str">
        <f>IFERROR(IFERROR(1-VLOOKUP('Table 6-A| Controls &amp; Limits'!$K58,'Emission Controls'!$A$20:$L$33,4,),1)*('Table 5-A| Criteria MPTE'!G139*'Table 7-A| Facility-Wide APTE'!$C51/'Table 5-A| Criteria MPTE'!$E139),"")</f>
        <v/>
      </c>
      <c r="F51" s="400" t="str">
        <f>IFERROR(IFERROR(1-VLOOKUP('Table 6-A| Controls &amp; Limits'!$K58,'Emission Controls'!$A$20:$L$33,5,),1)*('Table 5-A| Criteria MPTE'!H139*'Table 7-A| Facility-Wide APTE'!$C51/'Table 5-A| Criteria MPTE'!$E139),"")</f>
        <v/>
      </c>
      <c r="G51" s="400" t="str">
        <f>IFERROR(IFERROR(1-VLOOKUP('Table 6-A| Controls &amp; Limits'!$K58,'Emission Controls'!$A$20:$L$33,6,),1)*('Table 5-A| Criteria MPTE'!I139*'Table 7-A| Facility-Wide APTE'!$C51/'Table 5-A| Criteria MPTE'!$E139),"")</f>
        <v/>
      </c>
      <c r="H51" s="400" t="str">
        <f>IFERROR(IFERROR(1-VLOOKUP('Table 6-A| Controls &amp; Limits'!$K58,'Emission Controls'!$A$20:$L$33,7,),1)*('Table 5-A| Criteria MPTE'!J139*'Table 7-A| Facility-Wide APTE'!$C51/'Table 5-A| Criteria MPTE'!$E139),"")</f>
        <v/>
      </c>
      <c r="I51" s="400" t="str">
        <f>IFERROR(IFERROR(1-VLOOKUP('Table 6-A| Controls &amp; Limits'!$K58,'Emission Controls'!$A$20:$L$33,8,),1)*('Table 5-A| Criteria MPTE'!K139*'Table 7-A| Facility-Wide APTE'!$C51/'Table 5-A| Criteria MPTE'!$E139),"")</f>
        <v/>
      </c>
      <c r="J51" s="400" t="str">
        <f>IFERROR(IFERROR(1-VLOOKUP('Table 6-A| Controls &amp; Limits'!$K58,'Emission Controls'!$A$20:$L$33,9,),1)*('Table 5-A| Criteria MPTE'!L139*'Table 7-A| Facility-Wide APTE'!$C51/'Table 5-A| Criteria MPTE'!$E139),"")</f>
        <v/>
      </c>
      <c r="K51" s="400" t="str">
        <f>IFERROR(IFERROR(1-VLOOKUP('Table 6-A| Controls &amp; Limits'!$K58,'Emission Controls'!$A$20:$L$33,10,),1)*('Table 5-A| Criteria MPTE'!M139*'Table 7-A| Facility-Wide APTE'!$C51/'Table 5-A| Criteria MPTE'!$E139),"")</f>
        <v/>
      </c>
      <c r="L51" s="400" t="str">
        <f>IFERROR(IFERROR(1-VLOOKUP('Table 6-A| Controls &amp; Limits'!$K58,'Emission Controls'!$A$20:$L$33,11,),1)*('Table 5-A| Criteria MPTE'!N139*'Table 7-A| Facility-Wide APTE'!$C51/'Table 5-A| Criteria MPTE'!$E139),"")</f>
        <v/>
      </c>
      <c r="M51" s="401" t="str">
        <f>IFERROR(IFERROR(1-VLOOKUP('Table 6-A| Controls &amp; Limits'!$K58,'Emission Controls'!$A$20:$L$33,12,),1)*('Table 5-A| Criteria MPTE'!O139*'Table 7-A| Facility-Wide APTE'!$C51/'Table 5-A| Criteria MPTE'!$E139),"")</f>
        <v/>
      </c>
    </row>
    <row r="52" spans="1:13" ht="18" customHeight="1" x14ac:dyDescent="0.25">
      <c r="A52" s="1301" t="str">
        <f>'Table 6-A| Controls &amp; Limits'!A59:J59</f>
        <v>Grain Milling - Grain Cracking Emission Units</v>
      </c>
      <c r="B52" s="1302"/>
      <c r="C52" s="1302"/>
      <c r="D52" s="1302"/>
      <c r="E52" s="1302"/>
      <c r="F52" s="1302"/>
      <c r="G52" s="1302"/>
      <c r="H52" s="1302"/>
      <c r="I52" s="1302"/>
      <c r="J52" s="1302"/>
      <c r="K52" s="1302"/>
      <c r="L52" s="1302"/>
      <c r="M52" s="1303"/>
    </row>
    <row r="53" spans="1:13" ht="18" customHeight="1" x14ac:dyDescent="0.25">
      <c r="A53" s="308">
        <f>IF('Table 3-A| Emission Units'!A83=0,0,'Table 5-A| Criteria MPTE'!A141)</f>
        <v>0</v>
      </c>
      <c r="B53" s="309">
        <f>IF(A53=0,0,'Table 3-A| Emission Units'!C83)</f>
        <v>0</v>
      </c>
      <c r="C53" s="311">
        <f>IF(ISBLANK('Table 6-A| Controls &amp; Limits'!C60),0,IF('Table 6-A| Controls &amp; Limits'!C60="No",'Table 6-A| Controls &amp; Limits'!D60,'Table 6-A| Controls &amp; Limits'!E60))</f>
        <v>0</v>
      </c>
      <c r="D53" s="398" t="str">
        <f>IF(C53=0,"",'Table 6-A| Controls &amp; Limits'!F60)</f>
        <v/>
      </c>
      <c r="E53" s="399" t="str">
        <f>IFERROR(IFERROR(1-VLOOKUP('Table 6-A| Controls &amp; Limits'!$K60,'Emission Controls'!$A$20:$L$33,4,),1)*('Table 5-A| Criteria MPTE'!G141*'Table 7-A| Facility-Wide APTE'!$C53/'Table 5-A| Criteria MPTE'!$E141),"")</f>
        <v/>
      </c>
      <c r="F53" s="400" t="str">
        <f>IFERROR(IFERROR(1-VLOOKUP('Table 6-A| Controls &amp; Limits'!$K60,'Emission Controls'!$A$20:$L$33,5,),1)*('Table 5-A| Criteria MPTE'!H141*'Table 7-A| Facility-Wide APTE'!$C53/'Table 5-A| Criteria MPTE'!$E141),"")</f>
        <v/>
      </c>
      <c r="G53" s="400" t="str">
        <f>IFERROR(IFERROR(1-VLOOKUP('Table 6-A| Controls &amp; Limits'!$K60,'Emission Controls'!$A$20:$L$33,6,),1)*('Table 5-A| Criteria MPTE'!I141*'Table 7-A| Facility-Wide APTE'!$C53/'Table 5-A| Criteria MPTE'!$E141),"")</f>
        <v/>
      </c>
      <c r="H53" s="400" t="str">
        <f>IFERROR(IFERROR(1-VLOOKUP('Table 6-A| Controls &amp; Limits'!$K60,'Emission Controls'!$A$20:$L$33,7,),1)*('Table 5-A| Criteria MPTE'!J141*'Table 7-A| Facility-Wide APTE'!$C53/'Table 5-A| Criteria MPTE'!$E141),"")</f>
        <v/>
      </c>
      <c r="I53" s="400" t="str">
        <f>IFERROR(IFERROR(1-VLOOKUP('Table 6-A| Controls &amp; Limits'!$K60,'Emission Controls'!$A$20:$L$33,8,),1)*('Table 5-A| Criteria MPTE'!K141*'Table 7-A| Facility-Wide APTE'!$C53/'Table 5-A| Criteria MPTE'!$E141),"")</f>
        <v/>
      </c>
      <c r="J53" s="400" t="str">
        <f>IFERROR(IFERROR(1-VLOOKUP('Table 6-A| Controls &amp; Limits'!$K60,'Emission Controls'!$A$20:$L$33,9,),1)*('Table 5-A| Criteria MPTE'!L141*'Table 7-A| Facility-Wide APTE'!$C53/'Table 5-A| Criteria MPTE'!$E141),"")</f>
        <v/>
      </c>
      <c r="K53" s="400" t="str">
        <f>IFERROR(IFERROR(1-VLOOKUP('Table 6-A| Controls &amp; Limits'!$K60,'Emission Controls'!$A$20:$L$33,10,),1)*('Table 5-A| Criteria MPTE'!M141*'Table 7-A| Facility-Wide APTE'!$C53/'Table 5-A| Criteria MPTE'!$E141),"")</f>
        <v/>
      </c>
      <c r="L53" s="400" t="str">
        <f>IFERROR(IFERROR(1-VLOOKUP('Table 6-A| Controls &amp; Limits'!$K60,'Emission Controls'!$A$20:$L$33,11,),1)*('Table 5-A| Criteria MPTE'!N141*'Table 7-A| Facility-Wide APTE'!$C53/'Table 5-A| Criteria MPTE'!$E141),"")</f>
        <v/>
      </c>
      <c r="M53" s="401" t="str">
        <f>IFERROR(IFERROR(1-VLOOKUP('Table 6-A| Controls &amp; Limits'!$K60,'Emission Controls'!$A$20:$L$33,12,),1)*('Table 5-A| Criteria MPTE'!O141*'Table 7-A| Facility-Wide APTE'!$C53/'Table 5-A| Criteria MPTE'!$E141),"")</f>
        <v/>
      </c>
    </row>
    <row r="54" spans="1:13" ht="18" customHeight="1" x14ac:dyDescent="0.25">
      <c r="A54" s="308">
        <f>IF('Table 3-A| Emission Units'!A84=0,0,'Table 5-A| Criteria MPTE'!A142)</f>
        <v>0</v>
      </c>
      <c r="B54" s="309">
        <f>IF(A54=0,0,'Table 3-A| Emission Units'!C84)</f>
        <v>0</v>
      </c>
      <c r="C54" s="311">
        <f>IF(ISBLANK('Table 6-A| Controls &amp; Limits'!C61),0,IF('Table 6-A| Controls &amp; Limits'!C61="No",'Table 6-A| Controls &amp; Limits'!D61,'Table 6-A| Controls &amp; Limits'!E61))</f>
        <v>0</v>
      </c>
      <c r="D54" s="398" t="str">
        <f>IF(C54=0,"",'Table 6-A| Controls &amp; Limits'!F61)</f>
        <v/>
      </c>
      <c r="E54" s="399" t="str">
        <f>IFERROR(IFERROR(1-VLOOKUP('Table 6-A| Controls &amp; Limits'!$K61,'Emission Controls'!$A$20:$L$33,4,),1)*('Table 5-A| Criteria MPTE'!G142*'Table 7-A| Facility-Wide APTE'!$C54/'Table 5-A| Criteria MPTE'!$E142),"")</f>
        <v/>
      </c>
      <c r="F54" s="400" t="str">
        <f>IFERROR(IFERROR(1-VLOOKUP('Table 6-A| Controls &amp; Limits'!$K61,'Emission Controls'!$A$20:$L$33,5,),1)*('Table 5-A| Criteria MPTE'!H142*'Table 7-A| Facility-Wide APTE'!$C54/'Table 5-A| Criteria MPTE'!$E142),"")</f>
        <v/>
      </c>
      <c r="G54" s="400" t="str">
        <f>IFERROR(IFERROR(1-VLOOKUP('Table 6-A| Controls &amp; Limits'!$K61,'Emission Controls'!$A$20:$L$33,6,),1)*('Table 5-A| Criteria MPTE'!I142*'Table 7-A| Facility-Wide APTE'!$C54/'Table 5-A| Criteria MPTE'!$E142),"")</f>
        <v/>
      </c>
      <c r="H54" s="400" t="str">
        <f>IFERROR(IFERROR(1-VLOOKUP('Table 6-A| Controls &amp; Limits'!$K61,'Emission Controls'!$A$20:$L$33,7,),1)*('Table 5-A| Criteria MPTE'!J142*'Table 7-A| Facility-Wide APTE'!$C54/'Table 5-A| Criteria MPTE'!$E142),"")</f>
        <v/>
      </c>
      <c r="I54" s="400" t="str">
        <f>IFERROR(IFERROR(1-VLOOKUP('Table 6-A| Controls &amp; Limits'!$K61,'Emission Controls'!$A$20:$L$33,8,),1)*('Table 5-A| Criteria MPTE'!K142*'Table 7-A| Facility-Wide APTE'!$C54/'Table 5-A| Criteria MPTE'!$E142),"")</f>
        <v/>
      </c>
      <c r="J54" s="400" t="str">
        <f>IFERROR(IFERROR(1-VLOOKUP('Table 6-A| Controls &amp; Limits'!$K61,'Emission Controls'!$A$20:$L$33,9,),1)*('Table 5-A| Criteria MPTE'!L142*'Table 7-A| Facility-Wide APTE'!$C54/'Table 5-A| Criteria MPTE'!$E142),"")</f>
        <v/>
      </c>
      <c r="K54" s="400" t="str">
        <f>IFERROR(IFERROR(1-VLOOKUP('Table 6-A| Controls &amp; Limits'!$K61,'Emission Controls'!$A$20:$L$33,10,),1)*('Table 5-A| Criteria MPTE'!M142*'Table 7-A| Facility-Wide APTE'!$C54/'Table 5-A| Criteria MPTE'!$E142),"")</f>
        <v/>
      </c>
      <c r="L54" s="400" t="str">
        <f>IFERROR(IFERROR(1-VLOOKUP('Table 6-A| Controls &amp; Limits'!$K61,'Emission Controls'!$A$20:$L$33,11,),1)*('Table 5-A| Criteria MPTE'!N142*'Table 7-A| Facility-Wide APTE'!$C54/'Table 5-A| Criteria MPTE'!$E142),"")</f>
        <v/>
      </c>
      <c r="M54" s="401" t="str">
        <f>IFERROR(IFERROR(1-VLOOKUP('Table 6-A| Controls &amp; Limits'!$K61,'Emission Controls'!$A$20:$L$33,12,),1)*('Table 5-A| Criteria MPTE'!O142*'Table 7-A| Facility-Wide APTE'!$C54/'Table 5-A| Criteria MPTE'!$E142),"")</f>
        <v/>
      </c>
    </row>
    <row r="55" spans="1:13" ht="18" customHeight="1" x14ac:dyDescent="0.25">
      <c r="A55" s="308">
        <f>IF('Table 3-A| Emission Units'!A85=0,0,'Table 5-A| Criteria MPTE'!A143)</f>
        <v>0</v>
      </c>
      <c r="B55" s="309">
        <f>IF(A55=0,0,'Table 3-A| Emission Units'!C85)</f>
        <v>0</v>
      </c>
      <c r="C55" s="311">
        <f>IF(ISBLANK('Table 6-A| Controls &amp; Limits'!C62),0,IF('Table 6-A| Controls &amp; Limits'!C62="No",'Table 6-A| Controls &amp; Limits'!D62,'Table 6-A| Controls &amp; Limits'!E62))</f>
        <v>0</v>
      </c>
      <c r="D55" s="398" t="str">
        <f>IF(C55=0,"",'Table 6-A| Controls &amp; Limits'!F62)</f>
        <v/>
      </c>
      <c r="E55" s="399" t="str">
        <f>IFERROR(IFERROR(1-VLOOKUP('Table 6-A| Controls &amp; Limits'!$K62,'Emission Controls'!$A$20:$L$33,4,),1)*('Table 5-A| Criteria MPTE'!G143*'Table 7-A| Facility-Wide APTE'!$C55/'Table 5-A| Criteria MPTE'!$E143),"")</f>
        <v/>
      </c>
      <c r="F55" s="400" t="str">
        <f>IFERROR(IFERROR(1-VLOOKUP('Table 6-A| Controls &amp; Limits'!$K62,'Emission Controls'!$A$20:$L$33,5,),1)*('Table 5-A| Criteria MPTE'!H143*'Table 7-A| Facility-Wide APTE'!$C55/'Table 5-A| Criteria MPTE'!$E143),"")</f>
        <v/>
      </c>
      <c r="G55" s="400" t="str">
        <f>IFERROR(IFERROR(1-VLOOKUP('Table 6-A| Controls &amp; Limits'!$K62,'Emission Controls'!$A$20:$L$33,6,),1)*('Table 5-A| Criteria MPTE'!I143*'Table 7-A| Facility-Wide APTE'!$C55/'Table 5-A| Criteria MPTE'!$E143),"")</f>
        <v/>
      </c>
      <c r="H55" s="400" t="str">
        <f>IFERROR(IFERROR(1-VLOOKUP('Table 6-A| Controls &amp; Limits'!$K62,'Emission Controls'!$A$20:$L$33,7,),1)*('Table 5-A| Criteria MPTE'!J143*'Table 7-A| Facility-Wide APTE'!$C55/'Table 5-A| Criteria MPTE'!$E143),"")</f>
        <v/>
      </c>
      <c r="I55" s="400" t="str">
        <f>IFERROR(IFERROR(1-VLOOKUP('Table 6-A| Controls &amp; Limits'!$K62,'Emission Controls'!$A$20:$L$33,8,),1)*('Table 5-A| Criteria MPTE'!K143*'Table 7-A| Facility-Wide APTE'!$C55/'Table 5-A| Criteria MPTE'!$E143),"")</f>
        <v/>
      </c>
      <c r="J55" s="400" t="str">
        <f>IFERROR(IFERROR(1-VLOOKUP('Table 6-A| Controls &amp; Limits'!$K62,'Emission Controls'!$A$20:$L$33,9,),1)*('Table 5-A| Criteria MPTE'!L143*'Table 7-A| Facility-Wide APTE'!$C55/'Table 5-A| Criteria MPTE'!$E143),"")</f>
        <v/>
      </c>
      <c r="K55" s="400" t="str">
        <f>IFERROR(IFERROR(1-VLOOKUP('Table 6-A| Controls &amp; Limits'!$K62,'Emission Controls'!$A$20:$L$33,10,),1)*('Table 5-A| Criteria MPTE'!M143*'Table 7-A| Facility-Wide APTE'!$C55/'Table 5-A| Criteria MPTE'!$E143),"")</f>
        <v/>
      </c>
      <c r="L55" s="400" t="str">
        <f>IFERROR(IFERROR(1-VLOOKUP('Table 6-A| Controls &amp; Limits'!$K62,'Emission Controls'!$A$20:$L$33,11,),1)*('Table 5-A| Criteria MPTE'!N143*'Table 7-A| Facility-Wide APTE'!$C55/'Table 5-A| Criteria MPTE'!$E143),"")</f>
        <v/>
      </c>
      <c r="M55" s="401" t="str">
        <f>IFERROR(IFERROR(1-VLOOKUP('Table 6-A| Controls &amp; Limits'!$K62,'Emission Controls'!$A$20:$L$33,12,),1)*('Table 5-A| Criteria MPTE'!O143*'Table 7-A| Facility-Wide APTE'!$C55/'Table 5-A| Criteria MPTE'!$E143),"")</f>
        <v/>
      </c>
    </row>
    <row r="56" spans="1:13" ht="18" customHeight="1" thickBot="1" x14ac:dyDescent="0.3">
      <c r="A56" s="308">
        <f>IF('Table 3-A| Emission Units'!A86=0,0,'Table 5-A| Criteria MPTE'!A144)</f>
        <v>0</v>
      </c>
      <c r="B56" s="309">
        <f>IF(A56=0,0,'Table 3-A| Emission Units'!C86)</f>
        <v>0</v>
      </c>
      <c r="C56" s="311">
        <f>IF(ISBLANK('Table 6-A| Controls &amp; Limits'!C63),0,IF('Table 6-A| Controls &amp; Limits'!C63="No",'Table 6-A| Controls &amp; Limits'!D63,'Table 6-A| Controls &amp; Limits'!E63))</f>
        <v>0</v>
      </c>
      <c r="D56" s="398" t="str">
        <f>IF(C56=0,"",'Table 6-A| Controls &amp; Limits'!F63)</f>
        <v/>
      </c>
      <c r="E56" s="399" t="str">
        <f>IFERROR(IFERROR(1-VLOOKUP('Table 6-A| Controls &amp; Limits'!$K63,'Emission Controls'!$A$20:$L$33,4,),1)*('Table 5-A| Criteria MPTE'!G144*'Table 7-A| Facility-Wide APTE'!$C56/'Table 5-A| Criteria MPTE'!$E144),"")</f>
        <v/>
      </c>
      <c r="F56" s="400" t="str">
        <f>IFERROR(IFERROR(1-VLOOKUP('Table 6-A| Controls &amp; Limits'!$K63,'Emission Controls'!$A$20:$L$33,5,),1)*('Table 5-A| Criteria MPTE'!H144*'Table 7-A| Facility-Wide APTE'!$C56/'Table 5-A| Criteria MPTE'!$E144),"")</f>
        <v/>
      </c>
      <c r="G56" s="400" t="str">
        <f>IFERROR(IFERROR(1-VLOOKUP('Table 6-A| Controls &amp; Limits'!$K63,'Emission Controls'!$A$20:$L$33,6,),1)*('Table 5-A| Criteria MPTE'!I144*'Table 7-A| Facility-Wide APTE'!$C56/'Table 5-A| Criteria MPTE'!$E144),"")</f>
        <v/>
      </c>
      <c r="H56" s="400" t="str">
        <f>IFERROR(IFERROR(1-VLOOKUP('Table 6-A| Controls &amp; Limits'!$K63,'Emission Controls'!$A$20:$L$33,7,),1)*('Table 5-A| Criteria MPTE'!J144*'Table 7-A| Facility-Wide APTE'!$C56/'Table 5-A| Criteria MPTE'!$E144),"")</f>
        <v/>
      </c>
      <c r="I56" s="400" t="str">
        <f>IFERROR(IFERROR(1-VLOOKUP('Table 6-A| Controls &amp; Limits'!$K63,'Emission Controls'!$A$20:$L$33,8,),1)*('Table 5-A| Criteria MPTE'!K144*'Table 7-A| Facility-Wide APTE'!$C56/'Table 5-A| Criteria MPTE'!$E144),"")</f>
        <v/>
      </c>
      <c r="J56" s="400" t="str">
        <f>IFERROR(IFERROR(1-VLOOKUP('Table 6-A| Controls &amp; Limits'!$K63,'Emission Controls'!$A$20:$L$33,9,),1)*('Table 5-A| Criteria MPTE'!L144*'Table 7-A| Facility-Wide APTE'!$C56/'Table 5-A| Criteria MPTE'!$E144),"")</f>
        <v/>
      </c>
      <c r="K56" s="400" t="str">
        <f>IFERROR(IFERROR(1-VLOOKUP('Table 6-A| Controls &amp; Limits'!$K63,'Emission Controls'!$A$20:$L$33,10,),1)*('Table 5-A| Criteria MPTE'!M144*'Table 7-A| Facility-Wide APTE'!$C56/'Table 5-A| Criteria MPTE'!$E144),"")</f>
        <v/>
      </c>
      <c r="L56" s="400" t="str">
        <f>IFERROR(IFERROR(1-VLOOKUP('Table 6-A| Controls &amp; Limits'!$K63,'Emission Controls'!$A$20:$L$33,11,),1)*('Table 5-A| Criteria MPTE'!N144*'Table 7-A| Facility-Wide APTE'!$C56/'Table 5-A| Criteria MPTE'!$E144),"")</f>
        <v/>
      </c>
      <c r="M56" s="401" t="str">
        <f>IFERROR(IFERROR(1-VLOOKUP('Table 6-A| Controls &amp; Limits'!$K63,'Emission Controls'!$A$20:$L$33,12,),1)*('Table 5-A| Criteria MPTE'!O144*'Table 7-A| Facility-Wide APTE'!$C56/'Table 5-A| Criteria MPTE'!$E144),"")</f>
        <v/>
      </c>
    </row>
    <row r="57" spans="1:13" ht="18" customHeight="1" x14ac:dyDescent="0.25">
      <c r="A57" s="1301" t="str">
        <f>'Table 6-A| Controls &amp; Limits'!A64:J64</f>
        <v>Grain Milling - Grain Grinding Emission Units</v>
      </c>
      <c r="B57" s="1302"/>
      <c r="C57" s="1302"/>
      <c r="D57" s="1302"/>
      <c r="E57" s="1302"/>
      <c r="F57" s="1302"/>
      <c r="G57" s="1302"/>
      <c r="H57" s="1302"/>
      <c r="I57" s="1302"/>
      <c r="J57" s="1302"/>
      <c r="K57" s="1302"/>
      <c r="L57" s="1302"/>
      <c r="M57" s="1303"/>
    </row>
    <row r="58" spans="1:13" ht="18" customHeight="1" x14ac:dyDescent="0.25">
      <c r="A58" s="308">
        <f>IF('Table 3-A| Emission Units'!A88=0,0,'Table 5-A| Criteria MPTE'!A146)</f>
        <v>0</v>
      </c>
      <c r="B58" s="309">
        <f>IF(A58=0,0,'Table 3-A| Emission Units'!C88)</f>
        <v>0</v>
      </c>
      <c r="C58" s="311">
        <f>IF(ISBLANK('Table 6-A| Controls &amp; Limits'!C65),0,IF('Table 6-A| Controls &amp; Limits'!C65="No",'Table 6-A| Controls &amp; Limits'!D65,'Table 6-A| Controls &amp; Limits'!E65))</f>
        <v>0</v>
      </c>
      <c r="D58" s="398" t="str">
        <f>IF(C58=0,"",'Table 6-A| Controls &amp; Limits'!F65)</f>
        <v/>
      </c>
      <c r="E58" s="399" t="str">
        <f>IFERROR(IFERROR(1-VLOOKUP('Table 6-A| Controls &amp; Limits'!$K65,'Emission Controls'!$A$20:$L$33,4,),1)*('Table 5-A| Criteria MPTE'!G146*'Table 7-A| Facility-Wide APTE'!$C58/'Table 5-A| Criteria MPTE'!$E146),"")</f>
        <v/>
      </c>
      <c r="F58" s="400" t="str">
        <f>IFERROR(IFERROR(1-VLOOKUP('Table 6-A| Controls &amp; Limits'!$K65,'Emission Controls'!$A$20:$L$33,5,),1)*('Table 5-A| Criteria MPTE'!H146*'Table 7-A| Facility-Wide APTE'!$C58/'Table 5-A| Criteria MPTE'!$E146),"")</f>
        <v/>
      </c>
      <c r="G58" s="400" t="str">
        <f>IFERROR(IFERROR(1-VLOOKUP('Table 6-A| Controls &amp; Limits'!$K65,'Emission Controls'!$A$20:$L$33,6,),1)*('Table 5-A| Criteria MPTE'!I146*'Table 7-A| Facility-Wide APTE'!$C58/'Table 5-A| Criteria MPTE'!$E146),"")</f>
        <v/>
      </c>
      <c r="H58" s="400" t="str">
        <f>IFERROR(IFERROR(1-VLOOKUP('Table 6-A| Controls &amp; Limits'!$K65,'Emission Controls'!$A$20:$L$33,7,),1)*('Table 5-A| Criteria MPTE'!J146*'Table 7-A| Facility-Wide APTE'!$C58/'Table 5-A| Criteria MPTE'!$E146),"")</f>
        <v/>
      </c>
      <c r="I58" s="400" t="str">
        <f>IFERROR(IFERROR(1-VLOOKUP('Table 6-A| Controls &amp; Limits'!$K65,'Emission Controls'!$A$20:$L$33,8,),1)*('Table 5-A| Criteria MPTE'!K146*'Table 7-A| Facility-Wide APTE'!$C58/'Table 5-A| Criteria MPTE'!$E146),"")</f>
        <v/>
      </c>
      <c r="J58" s="400" t="str">
        <f>IFERROR(IFERROR(1-VLOOKUP('Table 6-A| Controls &amp; Limits'!$K65,'Emission Controls'!$A$20:$L$33,9,),1)*('Table 5-A| Criteria MPTE'!L146*'Table 7-A| Facility-Wide APTE'!$C58/'Table 5-A| Criteria MPTE'!$E146),"")</f>
        <v/>
      </c>
      <c r="K58" s="400" t="str">
        <f>IFERROR(IFERROR(1-VLOOKUP('Table 6-A| Controls &amp; Limits'!$K65,'Emission Controls'!$A$20:$L$33,10,),1)*('Table 5-A| Criteria MPTE'!M146*'Table 7-A| Facility-Wide APTE'!$C58/'Table 5-A| Criteria MPTE'!$E146),"")</f>
        <v/>
      </c>
      <c r="L58" s="400" t="str">
        <f>IFERROR(IFERROR(1-VLOOKUP('Table 6-A| Controls &amp; Limits'!$K65,'Emission Controls'!$A$20:$L$33,11,),1)*('Table 5-A| Criteria MPTE'!N146*'Table 7-A| Facility-Wide APTE'!$C58/'Table 5-A| Criteria MPTE'!$E146),"")</f>
        <v/>
      </c>
      <c r="M58" s="401" t="str">
        <f>IFERROR(IFERROR(1-VLOOKUP('Table 6-A| Controls &amp; Limits'!$K65,'Emission Controls'!$A$20:$L$33,12,),1)*('Table 5-A| Criteria MPTE'!O146*'Table 7-A| Facility-Wide APTE'!$C58/'Table 5-A| Criteria MPTE'!$E146),"")</f>
        <v/>
      </c>
    </row>
    <row r="59" spans="1:13" ht="18" customHeight="1" x14ac:dyDescent="0.25">
      <c r="A59" s="308">
        <f>IF('Table 3-A| Emission Units'!A89=0,0,'Table 5-A| Criteria MPTE'!A147)</f>
        <v>0</v>
      </c>
      <c r="B59" s="309">
        <f>IF(A59=0,0,'Table 3-A| Emission Units'!C89)</f>
        <v>0</v>
      </c>
      <c r="C59" s="311">
        <f>IF(ISBLANK('Table 6-A| Controls &amp; Limits'!C66),0,IF('Table 6-A| Controls &amp; Limits'!C66="No",'Table 6-A| Controls &amp; Limits'!D66,'Table 6-A| Controls &amp; Limits'!E66))</f>
        <v>0</v>
      </c>
      <c r="D59" s="398" t="str">
        <f>IF(C59=0,"",'Table 6-A| Controls &amp; Limits'!F66)</f>
        <v/>
      </c>
      <c r="E59" s="399" t="str">
        <f>IFERROR(IFERROR(1-VLOOKUP('Table 6-A| Controls &amp; Limits'!$K66,'Emission Controls'!$A$20:$L$33,4,),1)*('Table 5-A| Criteria MPTE'!G147*'Table 7-A| Facility-Wide APTE'!$C59/'Table 5-A| Criteria MPTE'!$E147),"")</f>
        <v/>
      </c>
      <c r="F59" s="400" t="str">
        <f>IFERROR(IFERROR(1-VLOOKUP('Table 6-A| Controls &amp; Limits'!$K66,'Emission Controls'!$A$20:$L$33,5,),1)*('Table 5-A| Criteria MPTE'!H147*'Table 7-A| Facility-Wide APTE'!$C59/'Table 5-A| Criteria MPTE'!$E147),"")</f>
        <v/>
      </c>
      <c r="G59" s="400" t="str">
        <f>IFERROR(IFERROR(1-VLOOKUP('Table 6-A| Controls &amp; Limits'!$K66,'Emission Controls'!$A$20:$L$33,6,),1)*('Table 5-A| Criteria MPTE'!I147*'Table 7-A| Facility-Wide APTE'!$C59/'Table 5-A| Criteria MPTE'!$E147),"")</f>
        <v/>
      </c>
      <c r="H59" s="400" t="str">
        <f>IFERROR(IFERROR(1-VLOOKUP('Table 6-A| Controls &amp; Limits'!$K66,'Emission Controls'!$A$20:$L$33,7,),1)*('Table 5-A| Criteria MPTE'!J147*'Table 7-A| Facility-Wide APTE'!$C59/'Table 5-A| Criteria MPTE'!$E147),"")</f>
        <v/>
      </c>
      <c r="I59" s="400" t="str">
        <f>IFERROR(IFERROR(1-VLOOKUP('Table 6-A| Controls &amp; Limits'!$K66,'Emission Controls'!$A$20:$L$33,8,),1)*('Table 5-A| Criteria MPTE'!K147*'Table 7-A| Facility-Wide APTE'!$C59/'Table 5-A| Criteria MPTE'!$E147),"")</f>
        <v/>
      </c>
      <c r="J59" s="400" t="str">
        <f>IFERROR(IFERROR(1-VLOOKUP('Table 6-A| Controls &amp; Limits'!$K66,'Emission Controls'!$A$20:$L$33,9,),1)*('Table 5-A| Criteria MPTE'!L147*'Table 7-A| Facility-Wide APTE'!$C59/'Table 5-A| Criteria MPTE'!$E147),"")</f>
        <v/>
      </c>
      <c r="K59" s="400" t="str">
        <f>IFERROR(IFERROR(1-VLOOKUP('Table 6-A| Controls &amp; Limits'!$K66,'Emission Controls'!$A$20:$L$33,10,),1)*('Table 5-A| Criteria MPTE'!M147*'Table 7-A| Facility-Wide APTE'!$C59/'Table 5-A| Criteria MPTE'!$E147),"")</f>
        <v/>
      </c>
      <c r="L59" s="400" t="str">
        <f>IFERROR(IFERROR(1-VLOOKUP('Table 6-A| Controls &amp; Limits'!$K66,'Emission Controls'!$A$20:$L$33,11,),1)*('Table 5-A| Criteria MPTE'!N147*'Table 7-A| Facility-Wide APTE'!$C59/'Table 5-A| Criteria MPTE'!$E147),"")</f>
        <v/>
      </c>
      <c r="M59" s="401" t="str">
        <f>IFERROR(IFERROR(1-VLOOKUP('Table 6-A| Controls &amp; Limits'!$K66,'Emission Controls'!$A$20:$L$33,12,),1)*('Table 5-A| Criteria MPTE'!O147*'Table 7-A| Facility-Wide APTE'!$C59/'Table 5-A| Criteria MPTE'!$E147),"")</f>
        <v/>
      </c>
    </row>
    <row r="60" spans="1:13" ht="18" customHeight="1" x14ac:dyDescent="0.25">
      <c r="A60" s="308">
        <f>IF('Table 3-A| Emission Units'!A90=0,0,'Table 5-A| Criteria MPTE'!A148)</f>
        <v>0</v>
      </c>
      <c r="B60" s="309">
        <f>IF(A60=0,0,'Table 3-A| Emission Units'!C90)</f>
        <v>0</v>
      </c>
      <c r="C60" s="311">
        <f>IF(ISBLANK('Table 6-A| Controls &amp; Limits'!C67),0,IF('Table 6-A| Controls &amp; Limits'!C67="No",'Table 6-A| Controls &amp; Limits'!D67,'Table 6-A| Controls &amp; Limits'!E67))</f>
        <v>0</v>
      </c>
      <c r="D60" s="398" t="str">
        <f>IF(C60=0,"",'Table 6-A| Controls &amp; Limits'!F67)</f>
        <v/>
      </c>
      <c r="E60" s="399" t="str">
        <f>IFERROR(IFERROR(1-VLOOKUP('Table 6-A| Controls &amp; Limits'!$K67,'Emission Controls'!$A$20:$L$33,4,),1)*('Table 5-A| Criteria MPTE'!G148*'Table 7-A| Facility-Wide APTE'!$C60/'Table 5-A| Criteria MPTE'!$E148),"")</f>
        <v/>
      </c>
      <c r="F60" s="400" t="str">
        <f>IFERROR(IFERROR(1-VLOOKUP('Table 6-A| Controls &amp; Limits'!$K67,'Emission Controls'!$A$20:$L$33,5,),1)*('Table 5-A| Criteria MPTE'!H148*'Table 7-A| Facility-Wide APTE'!$C60/'Table 5-A| Criteria MPTE'!$E148),"")</f>
        <v/>
      </c>
      <c r="G60" s="400" t="str">
        <f>IFERROR(IFERROR(1-VLOOKUP('Table 6-A| Controls &amp; Limits'!$K67,'Emission Controls'!$A$20:$L$33,6,),1)*('Table 5-A| Criteria MPTE'!I148*'Table 7-A| Facility-Wide APTE'!$C60/'Table 5-A| Criteria MPTE'!$E148),"")</f>
        <v/>
      </c>
      <c r="H60" s="400" t="str">
        <f>IFERROR(IFERROR(1-VLOOKUP('Table 6-A| Controls &amp; Limits'!$K67,'Emission Controls'!$A$20:$L$33,7,),1)*('Table 5-A| Criteria MPTE'!J148*'Table 7-A| Facility-Wide APTE'!$C60/'Table 5-A| Criteria MPTE'!$E148),"")</f>
        <v/>
      </c>
      <c r="I60" s="400" t="str">
        <f>IFERROR(IFERROR(1-VLOOKUP('Table 6-A| Controls &amp; Limits'!$K67,'Emission Controls'!$A$20:$L$33,8,),1)*('Table 5-A| Criteria MPTE'!K148*'Table 7-A| Facility-Wide APTE'!$C60/'Table 5-A| Criteria MPTE'!$E148),"")</f>
        <v/>
      </c>
      <c r="J60" s="400" t="str">
        <f>IFERROR(IFERROR(1-VLOOKUP('Table 6-A| Controls &amp; Limits'!$K67,'Emission Controls'!$A$20:$L$33,9,),1)*('Table 5-A| Criteria MPTE'!L148*'Table 7-A| Facility-Wide APTE'!$C60/'Table 5-A| Criteria MPTE'!$E148),"")</f>
        <v/>
      </c>
      <c r="K60" s="400" t="str">
        <f>IFERROR(IFERROR(1-VLOOKUP('Table 6-A| Controls &amp; Limits'!$K67,'Emission Controls'!$A$20:$L$33,10,),1)*('Table 5-A| Criteria MPTE'!M148*'Table 7-A| Facility-Wide APTE'!$C60/'Table 5-A| Criteria MPTE'!$E148),"")</f>
        <v/>
      </c>
      <c r="L60" s="400" t="str">
        <f>IFERROR(IFERROR(1-VLOOKUP('Table 6-A| Controls &amp; Limits'!$K67,'Emission Controls'!$A$20:$L$33,11,),1)*('Table 5-A| Criteria MPTE'!N148*'Table 7-A| Facility-Wide APTE'!$C60/'Table 5-A| Criteria MPTE'!$E148),"")</f>
        <v/>
      </c>
      <c r="M60" s="401" t="str">
        <f>IFERROR(IFERROR(1-VLOOKUP('Table 6-A| Controls &amp; Limits'!$K67,'Emission Controls'!$A$20:$L$33,12,),1)*('Table 5-A| Criteria MPTE'!O148*'Table 7-A| Facility-Wide APTE'!$C60/'Table 5-A| Criteria MPTE'!$E148),"")</f>
        <v/>
      </c>
    </row>
    <row r="61" spans="1:13" ht="18" customHeight="1" thickBot="1" x14ac:dyDescent="0.3">
      <c r="A61" s="308">
        <f>IF('Table 3-A| Emission Units'!A91=0,0,'Table 5-A| Criteria MPTE'!A149)</f>
        <v>0</v>
      </c>
      <c r="B61" s="309">
        <f>IF(A61=0,0,'Table 3-A| Emission Units'!C91)</f>
        <v>0</v>
      </c>
      <c r="C61" s="311">
        <f>IF(ISBLANK('Table 6-A| Controls &amp; Limits'!C68),0,IF('Table 6-A| Controls &amp; Limits'!C68="No",'Table 6-A| Controls &amp; Limits'!D68,'Table 6-A| Controls &amp; Limits'!E68))</f>
        <v>0</v>
      </c>
      <c r="D61" s="398" t="str">
        <f>IF(C61=0,"",'Table 6-A| Controls &amp; Limits'!F68)</f>
        <v/>
      </c>
      <c r="E61" s="399" t="str">
        <f>IFERROR(IFERROR(1-VLOOKUP('Table 6-A| Controls &amp; Limits'!$K68,'Emission Controls'!$A$20:$L$33,4,),1)*('Table 5-A| Criteria MPTE'!G149*'Table 7-A| Facility-Wide APTE'!$C61/'Table 5-A| Criteria MPTE'!$E149),"")</f>
        <v/>
      </c>
      <c r="F61" s="400" t="str">
        <f>IFERROR(IFERROR(1-VLOOKUP('Table 6-A| Controls &amp; Limits'!$K68,'Emission Controls'!$A$20:$L$33,5,),1)*('Table 5-A| Criteria MPTE'!H149*'Table 7-A| Facility-Wide APTE'!$C61/'Table 5-A| Criteria MPTE'!$E149),"")</f>
        <v/>
      </c>
      <c r="G61" s="400" t="str">
        <f>IFERROR(IFERROR(1-VLOOKUP('Table 6-A| Controls &amp; Limits'!$K68,'Emission Controls'!$A$20:$L$33,6,),1)*('Table 5-A| Criteria MPTE'!I149*'Table 7-A| Facility-Wide APTE'!$C61/'Table 5-A| Criteria MPTE'!$E149),"")</f>
        <v/>
      </c>
      <c r="H61" s="400" t="str">
        <f>IFERROR(IFERROR(1-VLOOKUP('Table 6-A| Controls &amp; Limits'!$K68,'Emission Controls'!$A$20:$L$33,7,),1)*('Table 5-A| Criteria MPTE'!J149*'Table 7-A| Facility-Wide APTE'!$C61/'Table 5-A| Criteria MPTE'!$E149),"")</f>
        <v/>
      </c>
      <c r="I61" s="400" t="str">
        <f>IFERROR(IFERROR(1-VLOOKUP('Table 6-A| Controls &amp; Limits'!$K68,'Emission Controls'!$A$20:$L$33,8,),1)*('Table 5-A| Criteria MPTE'!K149*'Table 7-A| Facility-Wide APTE'!$C61/'Table 5-A| Criteria MPTE'!$E149),"")</f>
        <v/>
      </c>
      <c r="J61" s="400" t="str">
        <f>IFERROR(IFERROR(1-VLOOKUP('Table 6-A| Controls &amp; Limits'!$K68,'Emission Controls'!$A$20:$L$33,9,),1)*('Table 5-A| Criteria MPTE'!L149*'Table 7-A| Facility-Wide APTE'!$C61/'Table 5-A| Criteria MPTE'!$E149),"")</f>
        <v/>
      </c>
      <c r="K61" s="400" t="str">
        <f>IFERROR(IFERROR(1-VLOOKUP('Table 6-A| Controls &amp; Limits'!$K68,'Emission Controls'!$A$20:$L$33,10,),1)*('Table 5-A| Criteria MPTE'!M149*'Table 7-A| Facility-Wide APTE'!$C61/'Table 5-A| Criteria MPTE'!$E149),"")</f>
        <v/>
      </c>
      <c r="L61" s="400" t="str">
        <f>IFERROR(IFERROR(1-VLOOKUP('Table 6-A| Controls &amp; Limits'!$K68,'Emission Controls'!$A$20:$L$33,11,),1)*('Table 5-A| Criteria MPTE'!N149*'Table 7-A| Facility-Wide APTE'!$C61/'Table 5-A| Criteria MPTE'!$E149),"")</f>
        <v/>
      </c>
      <c r="M61" s="401" t="str">
        <f>IFERROR(IFERROR(1-VLOOKUP('Table 6-A| Controls &amp; Limits'!$K68,'Emission Controls'!$A$20:$L$33,12,),1)*('Table 5-A| Criteria MPTE'!O149*'Table 7-A| Facility-Wide APTE'!$C61/'Table 5-A| Criteria MPTE'!$E149),"")</f>
        <v/>
      </c>
    </row>
    <row r="62" spans="1:13" ht="18" customHeight="1" x14ac:dyDescent="0.25">
      <c r="A62" s="1301" t="str">
        <f>'Table 6-A| Controls &amp; Limits'!A69:J69</f>
        <v>Grain Milling - Hammermilling Emission Units</v>
      </c>
      <c r="B62" s="1302"/>
      <c r="C62" s="1302"/>
      <c r="D62" s="1302"/>
      <c r="E62" s="1302"/>
      <c r="F62" s="1302"/>
      <c r="G62" s="1302"/>
      <c r="H62" s="1302"/>
      <c r="I62" s="1302"/>
      <c r="J62" s="1302"/>
      <c r="K62" s="1302"/>
      <c r="L62" s="1302"/>
      <c r="M62" s="1303"/>
    </row>
    <row r="63" spans="1:13" ht="18" customHeight="1" x14ac:dyDescent="0.25">
      <c r="A63" s="308">
        <f>IF('Table 3-A| Emission Units'!A93=0,0,'Table 5-A| Criteria MPTE'!A151)</f>
        <v>0</v>
      </c>
      <c r="B63" s="309">
        <f>IF(A63=0,0,'Table 3-A| Emission Units'!C93)</f>
        <v>0</v>
      </c>
      <c r="C63" s="311">
        <f>IF(ISBLANK('Table 6-A| Controls &amp; Limits'!C70),0,IF('Table 6-A| Controls &amp; Limits'!C70="No",'Table 6-A| Controls &amp; Limits'!D70,'Table 6-A| Controls &amp; Limits'!E70))</f>
        <v>0</v>
      </c>
      <c r="D63" s="398" t="str">
        <f>IF(C63=0,"",'Table 6-A| Controls &amp; Limits'!F70)</f>
        <v/>
      </c>
      <c r="E63" s="399" t="str">
        <f>IFERROR(IFERROR(1-VLOOKUP('Table 6-A| Controls &amp; Limits'!$K70,'Emission Controls'!$A$20:$L$33,4,),1)*('Table 5-A| Criteria MPTE'!G151*'Table 7-A| Facility-Wide APTE'!$C63/'Table 5-A| Criteria MPTE'!$E151),"")</f>
        <v/>
      </c>
      <c r="F63" s="400" t="str">
        <f>IFERROR(IFERROR(1-VLOOKUP('Table 6-A| Controls &amp; Limits'!$K70,'Emission Controls'!$A$20:$L$33,5,),1)*('Table 5-A| Criteria MPTE'!H151*'Table 7-A| Facility-Wide APTE'!$C63/'Table 5-A| Criteria MPTE'!$E151),"")</f>
        <v/>
      </c>
      <c r="G63" s="400" t="str">
        <f>IFERROR(IFERROR(1-VLOOKUP('Table 6-A| Controls &amp; Limits'!$K70,'Emission Controls'!$A$20:$L$33,6,),1)*('Table 5-A| Criteria MPTE'!I151*'Table 7-A| Facility-Wide APTE'!$C63/'Table 5-A| Criteria MPTE'!$E151),"")</f>
        <v/>
      </c>
      <c r="H63" s="400" t="str">
        <f>IFERROR(IFERROR(1-VLOOKUP('Table 6-A| Controls &amp; Limits'!$K70,'Emission Controls'!$A$20:$L$33,7,),1)*('Table 5-A| Criteria MPTE'!J151*'Table 7-A| Facility-Wide APTE'!$C63/'Table 5-A| Criteria MPTE'!$E151),"")</f>
        <v/>
      </c>
      <c r="I63" s="400" t="str">
        <f>IFERROR(IFERROR(1-VLOOKUP('Table 6-A| Controls &amp; Limits'!$K70,'Emission Controls'!$A$20:$L$33,8,),1)*('Table 5-A| Criteria MPTE'!K151*'Table 7-A| Facility-Wide APTE'!$C63/'Table 5-A| Criteria MPTE'!$E151),"")</f>
        <v/>
      </c>
      <c r="J63" s="400" t="str">
        <f>IFERROR(IFERROR(1-VLOOKUP('Table 6-A| Controls &amp; Limits'!$K70,'Emission Controls'!$A$20:$L$33,9,),1)*('Table 5-A| Criteria MPTE'!L151*'Table 7-A| Facility-Wide APTE'!$C63/'Table 5-A| Criteria MPTE'!$E151),"")</f>
        <v/>
      </c>
      <c r="K63" s="400" t="str">
        <f>IFERROR(IFERROR(1-VLOOKUP('Table 6-A| Controls &amp; Limits'!$K70,'Emission Controls'!$A$20:$L$33,10,),1)*('Table 5-A| Criteria MPTE'!M151*'Table 7-A| Facility-Wide APTE'!$C63/'Table 5-A| Criteria MPTE'!$E151),"")</f>
        <v/>
      </c>
      <c r="L63" s="400" t="str">
        <f>IFERROR(IFERROR(1-VLOOKUP('Table 6-A| Controls &amp; Limits'!$K70,'Emission Controls'!$A$20:$L$33,11,),1)*('Table 5-A| Criteria MPTE'!N151*'Table 7-A| Facility-Wide APTE'!$C63/'Table 5-A| Criteria MPTE'!$E151),"")</f>
        <v/>
      </c>
      <c r="M63" s="401" t="str">
        <f>IFERROR(IFERROR(1-VLOOKUP('Table 6-A| Controls &amp; Limits'!$K70,'Emission Controls'!$A$20:$L$33,12,),1)*('Table 5-A| Criteria MPTE'!O151*'Table 7-A| Facility-Wide APTE'!$C63/'Table 5-A| Criteria MPTE'!$E151),"")</f>
        <v/>
      </c>
    </row>
    <row r="64" spans="1:13" ht="18" customHeight="1" x14ac:dyDescent="0.25">
      <c r="A64" s="308">
        <f>IF('Table 3-A| Emission Units'!A94=0,0,'Table 5-A| Criteria MPTE'!A152)</f>
        <v>0</v>
      </c>
      <c r="B64" s="309">
        <f>IF(A64=0,0,'Table 3-A| Emission Units'!C94)</f>
        <v>0</v>
      </c>
      <c r="C64" s="311">
        <f>IF(ISBLANK('Table 6-A| Controls &amp; Limits'!C71),0,IF('Table 6-A| Controls &amp; Limits'!C71="No",'Table 6-A| Controls &amp; Limits'!D71,'Table 6-A| Controls &amp; Limits'!E71))</f>
        <v>0</v>
      </c>
      <c r="D64" s="398" t="str">
        <f>IF(C64=0,"",'Table 6-A| Controls &amp; Limits'!F71)</f>
        <v/>
      </c>
      <c r="E64" s="399" t="str">
        <f>IFERROR(IFERROR(1-VLOOKUP('Table 6-A| Controls &amp; Limits'!$K71,'Emission Controls'!$A$20:$L$33,4,),1)*('Table 5-A| Criteria MPTE'!G152*'Table 7-A| Facility-Wide APTE'!$C64/'Table 5-A| Criteria MPTE'!$E152),"")</f>
        <v/>
      </c>
      <c r="F64" s="400" t="str">
        <f>IFERROR(IFERROR(1-VLOOKUP('Table 6-A| Controls &amp; Limits'!$K71,'Emission Controls'!$A$20:$L$33,5,),1)*('Table 5-A| Criteria MPTE'!H152*'Table 7-A| Facility-Wide APTE'!$C64/'Table 5-A| Criteria MPTE'!$E152),"")</f>
        <v/>
      </c>
      <c r="G64" s="400" t="str">
        <f>IFERROR(IFERROR(1-VLOOKUP('Table 6-A| Controls &amp; Limits'!$K71,'Emission Controls'!$A$20:$L$33,6,),1)*('Table 5-A| Criteria MPTE'!I152*'Table 7-A| Facility-Wide APTE'!$C64/'Table 5-A| Criteria MPTE'!$E152),"")</f>
        <v/>
      </c>
      <c r="H64" s="400" t="str">
        <f>IFERROR(IFERROR(1-VLOOKUP('Table 6-A| Controls &amp; Limits'!$K71,'Emission Controls'!$A$20:$L$33,7,),1)*('Table 5-A| Criteria MPTE'!J152*'Table 7-A| Facility-Wide APTE'!$C64/'Table 5-A| Criteria MPTE'!$E152),"")</f>
        <v/>
      </c>
      <c r="I64" s="400" t="str">
        <f>IFERROR(IFERROR(1-VLOOKUP('Table 6-A| Controls &amp; Limits'!$K71,'Emission Controls'!$A$20:$L$33,8,),1)*('Table 5-A| Criteria MPTE'!K152*'Table 7-A| Facility-Wide APTE'!$C64/'Table 5-A| Criteria MPTE'!$E152),"")</f>
        <v/>
      </c>
      <c r="J64" s="400" t="str">
        <f>IFERROR(IFERROR(1-VLOOKUP('Table 6-A| Controls &amp; Limits'!$K71,'Emission Controls'!$A$20:$L$33,9,),1)*('Table 5-A| Criteria MPTE'!L152*'Table 7-A| Facility-Wide APTE'!$C64/'Table 5-A| Criteria MPTE'!$E152),"")</f>
        <v/>
      </c>
      <c r="K64" s="400" t="str">
        <f>IFERROR(IFERROR(1-VLOOKUP('Table 6-A| Controls &amp; Limits'!$K71,'Emission Controls'!$A$20:$L$33,10,),1)*('Table 5-A| Criteria MPTE'!M152*'Table 7-A| Facility-Wide APTE'!$C64/'Table 5-A| Criteria MPTE'!$E152),"")</f>
        <v/>
      </c>
      <c r="L64" s="400" t="str">
        <f>IFERROR(IFERROR(1-VLOOKUP('Table 6-A| Controls &amp; Limits'!$K71,'Emission Controls'!$A$20:$L$33,11,),1)*('Table 5-A| Criteria MPTE'!N152*'Table 7-A| Facility-Wide APTE'!$C64/'Table 5-A| Criteria MPTE'!$E152),"")</f>
        <v/>
      </c>
      <c r="M64" s="401" t="str">
        <f>IFERROR(IFERROR(1-VLOOKUP('Table 6-A| Controls &amp; Limits'!$K71,'Emission Controls'!$A$20:$L$33,12,),1)*('Table 5-A| Criteria MPTE'!O152*'Table 7-A| Facility-Wide APTE'!$C64/'Table 5-A| Criteria MPTE'!$E152),"")</f>
        <v/>
      </c>
    </row>
    <row r="65" spans="1:13" ht="18" customHeight="1" x14ac:dyDescent="0.25">
      <c r="A65" s="308">
        <f>IF('Table 3-A| Emission Units'!A95=0,0,'Table 5-A| Criteria MPTE'!A153)</f>
        <v>0</v>
      </c>
      <c r="B65" s="309">
        <f>IF(A65=0,0,'Table 3-A| Emission Units'!C95)</f>
        <v>0</v>
      </c>
      <c r="C65" s="311">
        <f>IF(ISBLANK('Table 6-A| Controls &amp; Limits'!C72),0,IF('Table 6-A| Controls &amp; Limits'!C72="No",'Table 6-A| Controls &amp; Limits'!D72,'Table 6-A| Controls &amp; Limits'!E72))</f>
        <v>0</v>
      </c>
      <c r="D65" s="398" t="str">
        <f>IF(C65=0,"",'Table 6-A| Controls &amp; Limits'!F72)</f>
        <v/>
      </c>
      <c r="E65" s="399" t="str">
        <f>IFERROR(IFERROR(1-VLOOKUP('Table 6-A| Controls &amp; Limits'!$K72,'Emission Controls'!$A$20:$L$33,4,),1)*('Table 5-A| Criteria MPTE'!G153*'Table 7-A| Facility-Wide APTE'!$C65/'Table 5-A| Criteria MPTE'!$E153),"")</f>
        <v/>
      </c>
      <c r="F65" s="400" t="str">
        <f>IFERROR(IFERROR(1-VLOOKUP('Table 6-A| Controls &amp; Limits'!$K72,'Emission Controls'!$A$20:$L$33,5,),1)*('Table 5-A| Criteria MPTE'!H153*'Table 7-A| Facility-Wide APTE'!$C65/'Table 5-A| Criteria MPTE'!$E153),"")</f>
        <v/>
      </c>
      <c r="G65" s="400" t="str">
        <f>IFERROR(IFERROR(1-VLOOKUP('Table 6-A| Controls &amp; Limits'!$K72,'Emission Controls'!$A$20:$L$33,6,),1)*('Table 5-A| Criteria MPTE'!I153*'Table 7-A| Facility-Wide APTE'!$C65/'Table 5-A| Criteria MPTE'!$E153),"")</f>
        <v/>
      </c>
      <c r="H65" s="400" t="str">
        <f>IFERROR(IFERROR(1-VLOOKUP('Table 6-A| Controls &amp; Limits'!$K72,'Emission Controls'!$A$20:$L$33,7,),1)*('Table 5-A| Criteria MPTE'!J153*'Table 7-A| Facility-Wide APTE'!$C65/'Table 5-A| Criteria MPTE'!$E153),"")</f>
        <v/>
      </c>
      <c r="I65" s="400" t="str">
        <f>IFERROR(IFERROR(1-VLOOKUP('Table 6-A| Controls &amp; Limits'!$K72,'Emission Controls'!$A$20:$L$33,8,),1)*('Table 5-A| Criteria MPTE'!K153*'Table 7-A| Facility-Wide APTE'!$C65/'Table 5-A| Criteria MPTE'!$E153),"")</f>
        <v/>
      </c>
      <c r="J65" s="400" t="str">
        <f>IFERROR(IFERROR(1-VLOOKUP('Table 6-A| Controls &amp; Limits'!$K72,'Emission Controls'!$A$20:$L$33,9,),1)*('Table 5-A| Criteria MPTE'!L153*'Table 7-A| Facility-Wide APTE'!$C65/'Table 5-A| Criteria MPTE'!$E153),"")</f>
        <v/>
      </c>
      <c r="K65" s="400" t="str">
        <f>IFERROR(IFERROR(1-VLOOKUP('Table 6-A| Controls &amp; Limits'!$K72,'Emission Controls'!$A$20:$L$33,10,),1)*('Table 5-A| Criteria MPTE'!M153*'Table 7-A| Facility-Wide APTE'!$C65/'Table 5-A| Criteria MPTE'!$E153),"")</f>
        <v/>
      </c>
      <c r="L65" s="400" t="str">
        <f>IFERROR(IFERROR(1-VLOOKUP('Table 6-A| Controls &amp; Limits'!$K72,'Emission Controls'!$A$20:$L$33,11,),1)*('Table 5-A| Criteria MPTE'!N153*'Table 7-A| Facility-Wide APTE'!$C65/'Table 5-A| Criteria MPTE'!$E153),"")</f>
        <v/>
      </c>
      <c r="M65" s="401" t="str">
        <f>IFERROR(IFERROR(1-VLOOKUP('Table 6-A| Controls &amp; Limits'!$K72,'Emission Controls'!$A$20:$L$33,12,),1)*('Table 5-A| Criteria MPTE'!O153*'Table 7-A| Facility-Wide APTE'!$C65/'Table 5-A| Criteria MPTE'!$E153),"")</f>
        <v/>
      </c>
    </row>
    <row r="66" spans="1:13" ht="18" customHeight="1" thickBot="1" x14ac:dyDescent="0.3">
      <c r="A66" s="308">
        <f>IF('Table 3-A| Emission Units'!A96=0,0,'Table 5-A| Criteria MPTE'!A154)</f>
        <v>0</v>
      </c>
      <c r="B66" s="309">
        <f>IF(A66=0,0,'Table 3-A| Emission Units'!C96)</f>
        <v>0</v>
      </c>
      <c r="C66" s="311">
        <f>IF(ISBLANK('Table 6-A| Controls &amp; Limits'!C73),0,IF('Table 6-A| Controls &amp; Limits'!C73="No",'Table 6-A| Controls &amp; Limits'!D73,'Table 6-A| Controls &amp; Limits'!E73))</f>
        <v>0</v>
      </c>
      <c r="D66" s="398" t="str">
        <f>IF(C66=0,"",'Table 6-A| Controls &amp; Limits'!F73)</f>
        <v/>
      </c>
      <c r="E66" s="399" t="str">
        <f>IFERROR(IFERROR(1-VLOOKUP('Table 6-A| Controls &amp; Limits'!$K73,'Emission Controls'!$A$20:$L$33,4,),1)*('Table 5-A| Criteria MPTE'!G154*'Table 7-A| Facility-Wide APTE'!$C66/'Table 5-A| Criteria MPTE'!$E154),"")</f>
        <v/>
      </c>
      <c r="F66" s="400" t="str">
        <f>IFERROR(IFERROR(1-VLOOKUP('Table 6-A| Controls &amp; Limits'!$K73,'Emission Controls'!$A$20:$L$33,5,),1)*('Table 5-A| Criteria MPTE'!H154*'Table 7-A| Facility-Wide APTE'!$C66/'Table 5-A| Criteria MPTE'!$E154),"")</f>
        <v/>
      </c>
      <c r="G66" s="400" t="str">
        <f>IFERROR(IFERROR(1-VLOOKUP('Table 6-A| Controls &amp; Limits'!$K73,'Emission Controls'!$A$20:$L$33,6,),1)*('Table 5-A| Criteria MPTE'!I154*'Table 7-A| Facility-Wide APTE'!$C66/'Table 5-A| Criteria MPTE'!$E154),"")</f>
        <v/>
      </c>
      <c r="H66" s="400" t="str">
        <f>IFERROR(IFERROR(1-VLOOKUP('Table 6-A| Controls &amp; Limits'!$K73,'Emission Controls'!$A$20:$L$33,7,),1)*('Table 5-A| Criteria MPTE'!J154*'Table 7-A| Facility-Wide APTE'!$C66/'Table 5-A| Criteria MPTE'!$E154),"")</f>
        <v/>
      </c>
      <c r="I66" s="400" t="str">
        <f>IFERROR(IFERROR(1-VLOOKUP('Table 6-A| Controls &amp; Limits'!$K73,'Emission Controls'!$A$20:$L$33,8,),1)*('Table 5-A| Criteria MPTE'!K154*'Table 7-A| Facility-Wide APTE'!$C66/'Table 5-A| Criteria MPTE'!$E154),"")</f>
        <v/>
      </c>
      <c r="J66" s="400" t="str">
        <f>IFERROR(IFERROR(1-VLOOKUP('Table 6-A| Controls &amp; Limits'!$K73,'Emission Controls'!$A$20:$L$33,9,),1)*('Table 5-A| Criteria MPTE'!L154*'Table 7-A| Facility-Wide APTE'!$C66/'Table 5-A| Criteria MPTE'!$E154),"")</f>
        <v/>
      </c>
      <c r="K66" s="400" t="str">
        <f>IFERROR(IFERROR(1-VLOOKUP('Table 6-A| Controls &amp; Limits'!$K73,'Emission Controls'!$A$20:$L$33,10,),1)*('Table 5-A| Criteria MPTE'!M154*'Table 7-A| Facility-Wide APTE'!$C66/'Table 5-A| Criteria MPTE'!$E154),"")</f>
        <v/>
      </c>
      <c r="L66" s="400" t="str">
        <f>IFERROR(IFERROR(1-VLOOKUP('Table 6-A| Controls &amp; Limits'!$K73,'Emission Controls'!$A$20:$L$33,11,),1)*('Table 5-A| Criteria MPTE'!N154*'Table 7-A| Facility-Wide APTE'!$C66/'Table 5-A| Criteria MPTE'!$E154),"")</f>
        <v/>
      </c>
      <c r="M66" s="401" t="str">
        <f>IFERROR(IFERROR(1-VLOOKUP('Table 6-A| Controls &amp; Limits'!$K73,'Emission Controls'!$A$20:$L$33,12,),1)*('Table 5-A| Criteria MPTE'!O154*'Table 7-A| Facility-Wide APTE'!$C66/'Table 5-A| Criteria MPTE'!$E154),"")</f>
        <v/>
      </c>
    </row>
    <row r="67" spans="1:13" ht="18" customHeight="1" x14ac:dyDescent="0.25">
      <c r="A67" s="1301" t="str">
        <f>'Table 6-A| Controls &amp; Limits'!A74:J74</f>
        <v>Grain Milling - Grain Flaking Emission Units</v>
      </c>
      <c r="B67" s="1302"/>
      <c r="C67" s="1302"/>
      <c r="D67" s="1302"/>
      <c r="E67" s="1302"/>
      <c r="F67" s="1302"/>
      <c r="G67" s="1302"/>
      <c r="H67" s="1302"/>
      <c r="I67" s="1302"/>
      <c r="J67" s="1302"/>
      <c r="K67" s="1302"/>
      <c r="L67" s="1302"/>
      <c r="M67" s="1303"/>
    </row>
    <row r="68" spans="1:13" ht="18" customHeight="1" x14ac:dyDescent="0.25">
      <c r="A68" s="308">
        <f>IF('Table 3-A| Emission Units'!A98=0,0,'Table 5-A| Criteria MPTE'!A156)</f>
        <v>0</v>
      </c>
      <c r="B68" s="309">
        <f>IF(A68=0,0,'Table 3-A| Emission Units'!C98)</f>
        <v>0</v>
      </c>
      <c r="C68" s="311">
        <f>IF(ISBLANK('Table 6-A| Controls &amp; Limits'!C75),0,IF('Table 6-A| Controls &amp; Limits'!C75="No",'Table 6-A| Controls &amp; Limits'!D75,'Table 6-A| Controls &amp; Limits'!E75))</f>
        <v>0</v>
      </c>
      <c r="D68" s="398" t="str">
        <f>IF(C68=0,"",'Table 6-A| Controls &amp; Limits'!F75)</f>
        <v/>
      </c>
      <c r="E68" s="399" t="str">
        <f>IFERROR(IFERROR(1-VLOOKUP('Table 6-A| Controls &amp; Limits'!$K75,'Emission Controls'!$A$20:$L$33,4,),1)*('Table 5-A| Criteria MPTE'!G156*'Table 7-A| Facility-Wide APTE'!$C68/'Table 5-A| Criteria MPTE'!$E156),"")</f>
        <v/>
      </c>
      <c r="F68" s="400" t="str">
        <f>IFERROR(IFERROR(1-VLOOKUP('Table 6-A| Controls &amp; Limits'!$K75,'Emission Controls'!$A$20:$L$33,5,),1)*('Table 5-A| Criteria MPTE'!H156*'Table 7-A| Facility-Wide APTE'!$C68/'Table 5-A| Criteria MPTE'!$E156),"")</f>
        <v/>
      </c>
      <c r="G68" s="400" t="str">
        <f>IFERROR(IFERROR(1-VLOOKUP('Table 6-A| Controls &amp; Limits'!$K75,'Emission Controls'!$A$20:$L$33,6,),1)*('Table 5-A| Criteria MPTE'!I156*'Table 7-A| Facility-Wide APTE'!$C68/'Table 5-A| Criteria MPTE'!$E156),"")</f>
        <v/>
      </c>
      <c r="H68" s="400" t="str">
        <f>IFERROR(IFERROR(1-VLOOKUP('Table 6-A| Controls &amp; Limits'!$K75,'Emission Controls'!$A$20:$L$33,7,),1)*('Table 5-A| Criteria MPTE'!J156*'Table 7-A| Facility-Wide APTE'!$C68/'Table 5-A| Criteria MPTE'!$E156),"")</f>
        <v/>
      </c>
      <c r="I68" s="400" t="str">
        <f>IFERROR(IFERROR(1-VLOOKUP('Table 6-A| Controls &amp; Limits'!$K75,'Emission Controls'!$A$20:$L$33,8,),1)*('Table 5-A| Criteria MPTE'!K156*'Table 7-A| Facility-Wide APTE'!$C68/'Table 5-A| Criteria MPTE'!$E156),"")</f>
        <v/>
      </c>
      <c r="J68" s="400" t="str">
        <f>IFERROR(IFERROR(1-VLOOKUP('Table 6-A| Controls &amp; Limits'!$K75,'Emission Controls'!$A$20:$L$33,9,),1)*('Table 5-A| Criteria MPTE'!L156*'Table 7-A| Facility-Wide APTE'!$C68/'Table 5-A| Criteria MPTE'!$E156),"")</f>
        <v/>
      </c>
      <c r="K68" s="400" t="str">
        <f>IFERROR(IFERROR(1-VLOOKUP('Table 6-A| Controls &amp; Limits'!$K75,'Emission Controls'!$A$20:$L$33,10,),1)*('Table 5-A| Criteria MPTE'!M156*'Table 7-A| Facility-Wide APTE'!$C68/'Table 5-A| Criteria MPTE'!$E156),"")</f>
        <v/>
      </c>
      <c r="L68" s="400" t="str">
        <f>IFERROR(IFERROR(1-VLOOKUP('Table 6-A| Controls &amp; Limits'!$K75,'Emission Controls'!$A$20:$L$33,11,),1)*('Table 5-A| Criteria MPTE'!N156*'Table 7-A| Facility-Wide APTE'!$C68/'Table 5-A| Criteria MPTE'!$E156),"")</f>
        <v/>
      </c>
      <c r="M68" s="401" t="str">
        <f>IFERROR(IFERROR(1-VLOOKUP('Table 6-A| Controls &amp; Limits'!$K75,'Emission Controls'!$A$20:$L$33,12,),1)*('Table 5-A| Criteria MPTE'!O156*'Table 7-A| Facility-Wide APTE'!$C68/'Table 5-A| Criteria MPTE'!$E156),"")</f>
        <v/>
      </c>
    </row>
    <row r="69" spans="1:13" ht="18" customHeight="1" x14ac:dyDescent="0.25">
      <c r="A69" s="308">
        <f>IF('Table 3-A| Emission Units'!A99=0,0,'Table 5-A| Criteria MPTE'!A157)</f>
        <v>0</v>
      </c>
      <c r="B69" s="309">
        <f>IF(A69=0,0,'Table 3-A| Emission Units'!C99)</f>
        <v>0</v>
      </c>
      <c r="C69" s="311">
        <f>IF(ISBLANK('Table 6-A| Controls &amp; Limits'!C76),0,IF('Table 6-A| Controls &amp; Limits'!C76="No",'Table 6-A| Controls &amp; Limits'!D76,'Table 6-A| Controls &amp; Limits'!E76))</f>
        <v>0</v>
      </c>
      <c r="D69" s="398" t="str">
        <f>IF(C69=0,"",'Table 6-A| Controls &amp; Limits'!F76)</f>
        <v/>
      </c>
      <c r="E69" s="399" t="str">
        <f>IFERROR(IFERROR(1-VLOOKUP('Table 6-A| Controls &amp; Limits'!$K76,'Emission Controls'!$A$20:$L$33,4,),1)*('Table 5-A| Criteria MPTE'!G157*'Table 7-A| Facility-Wide APTE'!$C69/'Table 5-A| Criteria MPTE'!$E157),"")</f>
        <v/>
      </c>
      <c r="F69" s="400" t="str">
        <f>IFERROR(IFERROR(1-VLOOKUP('Table 6-A| Controls &amp; Limits'!$K76,'Emission Controls'!$A$20:$L$33,5,),1)*('Table 5-A| Criteria MPTE'!H157*'Table 7-A| Facility-Wide APTE'!$C69/'Table 5-A| Criteria MPTE'!$E157),"")</f>
        <v/>
      </c>
      <c r="G69" s="400" t="str">
        <f>IFERROR(IFERROR(1-VLOOKUP('Table 6-A| Controls &amp; Limits'!$K76,'Emission Controls'!$A$20:$L$33,6,),1)*('Table 5-A| Criteria MPTE'!I157*'Table 7-A| Facility-Wide APTE'!$C69/'Table 5-A| Criteria MPTE'!$E157),"")</f>
        <v/>
      </c>
      <c r="H69" s="400" t="str">
        <f>IFERROR(IFERROR(1-VLOOKUP('Table 6-A| Controls &amp; Limits'!$K76,'Emission Controls'!$A$20:$L$33,7,),1)*('Table 5-A| Criteria MPTE'!J157*'Table 7-A| Facility-Wide APTE'!$C69/'Table 5-A| Criteria MPTE'!$E157),"")</f>
        <v/>
      </c>
      <c r="I69" s="400" t="str">
        <f>IFERROR(IFERROR(1-VLOOKUP('Table 6-A| Controls &amp; Limits'!$K76,'Emission Controls'!$A$20:$L$33,8,),1)*('Table 5-A| Criteria MPTE'!K157*'Table 7-A| Facility-Wide APTE'!$C69/'Table 5-A| Criteria MPTE'!$E157),"")</f>
        <v/>
      </c>
      <c r="J69" s="400" t="str">
        <f>IFERROR(IFERROR(1-VLOOKUP('Table 6-A| Controls &amp; Limits'!$K76,'Emission Controls'!$A$20:$L$33,9,),1)*('Table 5-A| Criteria MPTE'!L157*'Table 7-A| Facility-Wide APTE'!$C69/'Table 5-A| Criteria MPTE'!$E157),"")</f>
        <v/>
      </c>
      <c r="K69" s="400" t="str">
        <f>IFERROR(IFERROR(1-VLOOKUP('Table 6-A| Controls &amp; Limits'!$K76,'Emission Controls'!$A$20:$L$33,10,),1)*('Table 5-A| Criteria MPTE'!M157*'Table 7-A| Facility-Wide APTE'!$C69/'Table 5-A| Criteria MPTE'!$E157),"")</f>
        <v/>
      </c>
      <c r="L69" s="400" t="str">
        <f>IFERROR(IFERROR(1-VLOOKUP('Table 6-A| Controls &amp; Limits'!$K76,'Emission Controls'!$A$20:$L$33,11,),1)*('Table 5-A| Criteria MPTE'!N157*'Table 7-A| Facility-Wide APTE'!$C69/'Table 5-A| Criteria MPTE'!$E157),"")</f>
        <v/>
      </c>
      <c r="M69" s="401" t="str">
        <f>IFERROR(IFERROR(1-VLOOKUP('Table 6-A| Controls &amp; Limits'!$K76,'Emission Controls'!$A$20:$L$33,12,),1)*('Table 5-A| Criteria MPTE'!O157*'Table 7-A| Facility-Wide APTE'!$C69/'Table 5-A| Criteria MPTE'!$E157),"")</f>
        <v/>
      </c>
    </row>
    <row r="70" spans="1:13" ht="18" customHeight="1" x14ac:dyDescent="0.25">
      <c r="A70" s="308">
        <f>IF('Table 3-A| Emission Units'!A100=0,0,'Table 5-A| Criteria MPTE'!A158)</f>
        <v>0</v>
      </c>
      <c r="B70" s="309">
        <f>IF(A70=0,0,'Table 3-A| Emission Units'!C100)</f>
        <v>0</v>
      </c>
      <c r="C70" s="311">
        <f>IF(ISBLANK('Table 6-A| Controls &amp; Limits'!C77),0,IF('Table 6-A| Controls &amp; Limits'!C77="No",'Table 6-A| Controls &amp; Limits'!D77,'Table 6-A| Controls &amp; Limits'!E77))</f>
        <v>0</v>
      </c>
      <c r="D70" s="398" t="str">
        <f>IF(C70=0,"",'Table 6-A| Controls &amp; Limits'!F77)</f>
        <v/>
      </c>
      <c r="E70" s="399" t="str">
        <f>IFERROR(IFERROR(1-VLOOKUP('Table 6-A| Controls &amp; Limits'!$K77,'Emission Controls'!$A$20:$L$33,4,),1)*('Table 5-A| Criteria MPTE'!G158*'Table 7-A| Facility-Wide APTE'!$C70/'Table 5-A| Criteria MPTE'!$E158),"")</f>
        <v/>
      </c>
      <c r="F70" s="400" t="str">
        <f>IFERROR(IFERROR(1-VLOOKUP('Table 6-A| Controls &amp; Limits'!$K77,'Emission Controls'!$A$20:$L$33,5,),1)*('Table 5-A| Criteria MPTE'!H158*'Table 7-A| Facility-Wide APTE'!$C70/'Table 5-A| Criteria MPTE'!$E158),"")</f>
        <v/>
      </c>
      <c r="G70" s="400" t="str">
        <f>IFERROR(IFERROR(1-VLOOKUP('Table 6-A| Controls &amp; Limits'!$K77,'Emission Controls'!$A$20:$L$33,6,),1)*('Table 5-A| Criteria MPTE'!I158*'Table 7-A| Facility-Wide APTE'!$C70/'Table 5-A| Criteria MPTE'!$E158),"")</f>
        <v/>
      </c>
      <c r="H70" s="400" t="str">
        <f>IFERROR(IFERROR(1-VLOOKUP('Table 6-A| Controls &amp; Limits'!$K77,'Emission Controls'!$A$20:$L$33,7,),1)*('Table 5-A| Criteria MPTE'!J158*'Table 7-A| Facility-Wide APTE'!$C70/'Table 5-A| Criteria MPTE'!$E158),"")</f>
        <v/>
      </c>
      <c r="I70" s="400" t="str">
        <f>IFERROR(IFERROR(1-VLOOKUP('Table 6-A| Controls &amp; Limits'!$K77,'Emission Controls'!$A$20:$L$33,8,),1)*('Table 5-A| Criteria MPTE'!K158*'Table 7-A| Facility-Wide APTE'!$C70/'Table 5-A| Criteria MPTE'!$E158),"")</f>
        <v/>
      </c>
      <c r="J70" s="400" t="str">
        <f>IFERROR(IFERROR(1-VLOOKUP('Table 6-A| Controls &amp; Limits'!$K77,'Emission Controls'!$A$20:$L$33,9,),1)*('Table 5-A| Criteria MPTE'!L158*'Table 7-A| Facility-Wide APTE'!$C70/'Table 5-A| Criteria MPTE'!$E158),"")</f>
        <v/>
      </c>
      <c r="K70" s="400" t="str">
        <f>IFERROR(IFERROR(1-VLOOKUP('Table 6-A| Controls &amp; Limits'!$K77,'Emission Controls'!$A$20:$L$33,10,),1)*('Table 5-A| Criteria MPTE'!M158*'Table 7-A| Facility-Wide APTE'!$C70/'Table 5-A| Criteria MPTE'!$E158),"")</f>
        <v/>
      </c>
      <c r="L70" s="400" t="str">
        <f>IFERROR(IFERROR(1-VLOOKUP('Table 6-A| Controls &amp; Limits'!$K77,'Emission Controls'!$A$20:$L$33,11,),1)*('Table 5-A| Criteria MPTE'!N158*'Table 7-A| Facility-Wide APTE'!$C70/'Table 5-A| Criteria MPTE'!$E158),"")</f>
        <v/>
      </c>
      <c r="M70" s="401" t="str">
        <f>IFERROR(IFERROR(1-VLOOKUP('Table 6-A| Controls &amp; Limits'!$K77,'Emission Controls'!$A$20:$L$33,12,),1)*('Table 5-A| Criteria MPTE'!O158*'Table 7-A| Facility-Wide APTE'!$C70/'Table 5-A| Criteria MPTE'!$E158),"")</f>
        <v/>
      </c>
    </row>
    <row r="71" spans="1:13" ht="18" customHeight="1" thickBot="1" x14ac:dyDescent="0.3">
      <c r="A71" s="308">
        <f>IF('Table 3-A| Emission Units'!A101=0,0,'Table 5-A| Criteria MPTE'!A159)</f>
        <v>0</v>
      </c>
      <c r="B71" s="309">
        <f>IF(A71=0,0,'Table 3-A| Emission Units'!C101)</f>
        <v>0</v>
      </c>
      <c r="C71" s="311">
        <f>IF(ISBLANK('Table 6-A| Controls &amp; Limits'!C78),0,IF('Table 6-A| Controls &amp; Limits'!C78="No",'Table 6-A| Controls &amp; Limits'!D78,'Table 6-A| Controls &amp; Limits'!E78))</f>
        <v>0</v>
      </c>
      <c r="D71" s="398" t="str">
        <f>IF(C71=0,"",'Table 6-A| Controls &amp; Limits'!F78)</f>
        <v/>
      </c>
      <c r="E71" s="399" t="str">
        <f>IFERROR(IFERROR(1-VLOOKUP('Table 6-A| Controls &amp; Limits'!$K78,'Emission Controls'!$A$20:$L$33,4,),1)*('Table 5-A| Criteria MPTE'!G159*'Table 7-A| Facility-Wide APTE'!$C71/'Table 5-A| Criteria MPTE'!$E159),"")</f>
        <v/>
      </c>
      <c r="F71" s="400" t="str">
        <f>IFERROR(IFERROR(1-VLOOKUP('Table 6-A| Controls &amp; Limits'!$K78,'Emission Controls'!$A$20:$L$33,5,),1)*('Table 5-A| Criteria MPTE'!H159*'Table 7-A| Facility-Wide APTE'!$C71/'Table 5-A| Criteria MPTE'!$E159),"")</f>
        <v/>
      </c>
      <c r="G71" s="400" t="str">
        <f>IFERROR(IFERROR(1-VLOOKUP('Table 6-A| Controls &amp; Limits'!$K78,'Emission Controls'!$A$20:$L$33,6,),1)*('Table 5-A| Criteria MPTE'!I159*'Table 7-A| Facility-Wide APTE'!$C71/'Table 5-A| Criteria MPTE'!$E159),"")</f>
        <v/>
      </c>
      <c r="H71" s="400" t="str">
        <f>IFERROR(IFERROR(1-VLOOKUP('Table 6-A| Controls &amp; Limits'!$K78,'Emission Controls'!$A$20:$L$33,7,),1)*('Table 5-A| Criteria MPTE'!J159*'Table 7-A| Facility-Wide APTE'!$C71/'Table 5-A| Criteria MPTE'!$E159),"")</f>
        <v/>
      </c>
      <c r="I71" s="400" t="str">
        <f>IFERROR(IFERROR(1-VLOOKUP('Table 6-A| Controls &amp; Limits'!$K78,'Emission Controls'!$A$20:$L$33,8,),1)*('Table 5-A| Criteria MPTE'!K159*'Table 7-A| Facility-Wide APTE'!$C71/'Table 5-A| Criteria MPTE'!$E159),"")</f>
        <v/>
      </c>
      <c r="J71" s="400" t="str">
        <f>IFERROR(IFERROR(1-VLOOKUP('Table 6-A| Controls &amp; Limits'!$K78,'Emission Controls'!$A$20:$L$33,9,),1)*('Table 5-A| Criteria MPTE'!L159*'Table 7-A| Facility-Wide APTE'!$C71/'Table 5-A| Criteria MPTE'!$E159),"")</f>
        <v/>
      </c>
      <c r="K71" s="400" t="str">
        <f>IFERROR(IFERROR(1-VLOOKUP('Table 6-A| Controls &amp; Limits'!$K78,'Emission Controls'!$A$20:$L$33,10,),1)*('Table 5-A| Criteria MPTE'!M159*'Table 7-A| Facility-Wide APTE'!$C71/'Table 5-A| Criteria MPTE'!$E159),"")</f>
        <v/>
      </c>
      <c r="L71" s="400" t="str">
        <f>IFERROR(IFERROR(1-VLOOKUP('Table 6-A| Controls &amp; Limits'!$K78,'Emission Controls'!$A$20:$L$33,11,),1)*('Table 5-A| Criteria MPTE'!N159*'Table 7-A| Facility-Wide APTE'!$C71/'Table 5-A| Criteria MPTE'!$E159),"")</f>
        <v/>
      </c>
      <c r="M71" s="401" t="str">
        <f>IFERROR(IFERROR(1-VLOOKUP('Table 6-A| Controls &amp; Limits'!$K78,'Emission Controls'!$A$20:$L$33,12,),1)*('Table 5-A| Criteria MPTE'!O159*'Table 7-A| Facility-Wide APTE'!$C71/'Table 5-A| Criteria MPTE'!$E159),"")</f>
        <v/>
      </c>
    </row>
    <row r="72" spans="1:13" ht="18" customHeight="1" x14ac:dyDescent="0.25">
      <c r="A72" s="1301" t="str">
        <f>'Table 6-A| Controls &amp; Limits'!A79:J79</f>
        <v>Grain Milling - Pellet Cooling Emission Units</v>
      </c>
      <c r="B72" s="1302"/>
      <c r="C72" s="1302"/>
      <c r="D72" s="1302"/>
      <c r="E72" s="1302"/>
      <c r="F72" s="1302"/>
      <c r="G72" s="1302"/>
      <c r="H72" s="1302"/>
      <c r="I72" s="1302"/>
      <c r="J72" s="1302"/>
      <c r="K72" s="1302"/>
      <c r="L72" s="1302"/>
      <c r="M72" s="1303"/>
    </row>
    <row r="73" spans="1:13" ht="18" customHeight="1" x14ac:dyDescent="0.25">
      <c r="A73" s="308">
        <f>IF('Table 3-A| Emission Units'!A103=0,0,'Table 5-A| Criteria MPTE'!A161)</f>
        <v>0</v>
      </c>
      <c r="B73" s="309">
        <f>IF(A73=0,0,'Table 3-A| Emission Units'!C103)</f>
        <v>0</v>
      </c>
      <c r="C73" s="311">
        <f>IF(ISBLANK('Table 6-A| Controls &amp; Limits'!C80),0,IF('Table 6-A| Controls &amp; Limits'!C80="No",'Table 6-A| Controls &amp; Limits'!D80,'Table 6-A| Controls &amp; Limits'!E80))</f>
        <v>0</v>
      </c>
      <c r="D73" s="398" t="str">
        <f>IF(C73=0,"",'Table 6-A| Controls &amp; Limits'!F80)</f>
        <v/>
      </c>
      <c r="E73" s="399" t="str">
        <f>IFERROR(IFERROR(1-VLOOKUP('Table 6-A| Controls &amp; Limits'!$K80,'Emission Controls'!$A$20:$L$33,4,),1)*('Table 5-A| Criteria MPTE'!G161*'Table 7-A| Facility-Wide APTE'!$C73/'Table 5-A| Criteria MPTE'!$E161),"")</f>
        <v/>
      </c>
      <c r="F73" s="400" t="str">
        <f>IFERROR(IFERROR(1-VLOOKUP('Table 6-A| Controls &amp; Limits'!$K80,'Emission Controls'!$A$20:$L$33,5,),1)*('Table 5-A| Criteria MPTE'!H161*'Table 7-A| Facility-Wide APTE'!$C73/'Table 5-A| Criteria MPTE'!$E161),"")</f>
        <v/>
      </c>
      <c r="G73" s="400" t="str">
        <f>IFERROR(IFERROR(1-VLOOKUP('Table 6-A| Controls &amp; Limits'!$K80,'Emission Controls'!$A$20:$L$33,6,),1)*('Table 5-A| Criteria MPTE'!I161*'Table 7-A| Facility-Wide APTE'!$C73/'Table 5-A| Criteria MPTE'!$E161),"")</f>
        <v/>
      </c>
      <c r="H73" s="400" t="str">
        <f>IFERROR(IFERROR(1-VLOOKUP('Table 6-A| Controls &amp; Limits'!$K80,'Emission Controls'!$A$20:$L$33,7,),1)*('Table 5-A| Criteria MPTE'!J161*'Table 7-A| Facility-Wide APTE'!$C73/'Table 5-A| Criteria MPTE'!$E161),"")</f>
        <v/>
      </c>
      <c r="I73" s="400" t="str">
        <f>IFERROR(IFERROR(1-VLOOKUP('Table 6-A| Controls &amp; Limits'!$K80,'Emission Controls'!$A$20:$L$33,8,),1)*('Table 5-A| Criteria MPTE'!K161*'Table 7-A| Facility-Wide APTE'!$C73/'Table 5-A| Criteria MPTE'!$E161),"")</f>
        <v/>
      </c>
      <c r="J73" s="400" t="str">
        <f>IFERROR(IFERROR(1-VLOOKUP('Table 6-A| Controls &amp; Limits'!$K80,'Emission Controls'!$A$20:$L$33,9,),1)*('Table 5-A| Criteria MPTE'!L161*'Table 7-A| Facility-Wide APTE'!$C73/'Table 5-A| Criteria MPTE'!$E161),"")</f>
        <v/>
      </c>
      <c r="K73" s="400" t="str">
        <f>IFERROR(IFERROR(1-VLOOKUP('Table 6-A| Controls &amp; Limits'!$K80,'Emission Controls'!$A$20:$L$33,10,),1)*('Table 5-A| Criteria MPTE'!M161*'Table 7-A| Facility-Wide APTE'!$C73/'Table 5-A| Criteria MPTE'!$E161),"")</f>
        <v/>
      </c>
      <c r="L73" s="400" t="str">
        <f>IFERROR(IFERROR(1-VLOOKUP('Table 6-A| Controls &amp; Limits'!$K80,'Emission Controls'!$A$20:$L$33,11,),1)*('Table 5-A| Criteria MPTE'!N161*'Table 7-A| Facility-Wide APTE'!$C73/'Table 5-A| Criteria MPTE'!$E161),"")</f>
        <v/>
      </c>
      <c r="M73" s="401" t="str">
        <f>IFERROR(IFERROR(1-VLOOKUP('Table 6-A| Controls &amp; Limits'!$K80,'Emission Controls'!$A$20:$L$33,12,),1)*('Table 5-A| Criteria MPTE'!O161*'Table 7-A| Facility-Wide APTE'!$C73/'Table 5-A| Criteria MPTE'!$E161),"")</f>
        <v/>
      </c>
    </row>
    <row r="74" spans="1:13" ht="18" customHeight="1" x14ac:dyDescent="0.25">
      <c r="A74" s="308">
        <f>IF('Table 3-A| Emission Units'!A104=0,0,'Table 5-A| Criteria MPTE'!A162)</f>
        <v>0</v>
      </c>
      <c r="B74" s="309">
        <f>IF(A74=0,0,'Table 3-A| Emission Units'!C104)</f>
        <v>0</v>
      </c>
      <c r="C74" s="311">
        <f>IF(ISBLANK('Table 6-A| Controls &amp; Limits'!C81),0,IF('Table 6-A| Controls &amp; Limits'!C81="No",'Table 6-A| Controls &amp; Limits'!D81,'Table 6-A| Controls &amp; Limits'!E81))</f>
        <v>0</v>
      </c>
      <c r="D74" s="398" t="str">
        <f>IF(C74=0,"",'Table 6-A| Controls &amp; Limits'!F81)</f>
        <v/>
      </c>
      <c r="E74" s="399" t="str">
        <f>IFERROR(IFERROR(1-VLOOKUP('Table 6-A| Controls &amp; Limits'!$K81,'Emission Controls'!$A$20:$L$33,4,),1)*('Table 5-A| Criteria MPTE'!G162*'Table 7-A| Facility-Wide APTE'!$C74/'Table 5-A| Criteria MPTE'!$E162),"")</f>
        <v/>
      </c>
      <c r="F74" s="400" t="str">
        <f>IFERROR(IFERROR(1-VLOOKUP('Table 6-A| Controls &amp; Limits'!$K81,'Emission Controls'!$A$20:$L$33,5,),1)*('Table 5-A| Criteria MPTE'!H162*'Table 7-A| Facility-Wide APTE'!$C74/'Table 5-A| Criteria MPTE'!$E162),"")</f>
        <v/>
      </c>
      <c r="G74" s="400" t="str">
        <f>IFERROR(IFERROR(1-VLOOKUP('Table 6-A| Controls &amp; Limits'!$K81,'Emission Controls'!$A$20:$L$33,6,),1)*('Table 5-A| Criteria MPTE'!I162*'Table 7-A| Facility-Wide APTE'!$C74/'Table 5-A| Criteria MPTE'!$E162),"")</f>
        <v/>
      </c>
      <c r="H74" s="400" t="str">
        <f>IFERROR(IFERROR(1-VLOOKUP('Table 6-A| Controls &amp; Limits'!$K81,'Emission Controls'!$A$20:$L$33,7,),1)*('Table 5-A| Criteria MPTE'!J162*'Table 7-A| Facility-Wide APTE'!$C74/'Table 5-A| Criteria MPTE'!$E162),"")</f>
        <v/>
      </c>
      <c r="I74" s="400" t="str">
        <f>IFERROR(IFERROR(1-VLOOKUP('Table 6-A| Controls &amp; Limits'!$K81,'Emission Controls'!$A$20:$L$33,8,),1)*('Table 5-A| Criteria MPTE'!K162*'Table 7-A| Facility-Wide APTE'!$C74/'Table 5-A| Criteria MPTE'!$E162),"")</f>
        <v/>
      </c>
      <c r="J74" s="400" t="str">
        <f>IFERROR(IFERROR(1-VLOOKUP('Table 6-A| Controls &amp; Limits'!$K81,'Emission Controls'!$A$20:$L$33,9,),1)*('Table 5-A| Criteria MPTE'!L162*'Table 7-A| Facility-Wide APTE'!$C74/'Table 5-A| Criteria MPTE'!$E162),"")</f>
        <v/>
      </c>
      <c r="K74" s="400" t="str">
        <f>IFERROR(IFERROR(1-VLOOKUP('Table 6-A| Controls &amp; Limits'!$K81,'Emission Controls'!$A$20:$L$33,10,),1)*('Table 5-A| Criteria MPTE'!M162*'Table 7-A| Facility-Wide APTE'!$C74/'Table 5-A| Criteria MPTE'!$E162),"")</f>
        <v/>
      </c>
      <c r="L74" s="400" t="str">
        <f>IFERROR(IFERROR(1-VLOOKUP('Table 6-A| Controls &amp; Limits'!$K81,'Emission Controls'!$A$20:$L$33,11,),1)*('Table 5-A| Criteria MPTE'!N162*'Table 7-A| Facility-Wide APTE'!$C74/'Table 5-A| Criteria MPTE'!$E162),"")</f>
        <v/>
      </c>
      <c r="M74" s="401" t="str">
        <f>IFERROR(IFERROR(1-VLOOKUP('Table 6-A| Controls &amp; Limits'!$K81,'Emission Controls'!$A$20:$L$33,12,),1)*('Table 5-A| Criteria MPTE'!O162*'Table 7-A| Facility-Wide APTE'!$C74/'Table 5-A| Criteria MPTE'!$E162),"")</f>
        <v/>
      </c>
    </row>
    <row r="75" spans="1:13" ht="18" customHeight="1" x14ac:dyDescent="0.25">
      <c r="A75" s="308">
        <f>IF('Table 3-A| Emission Units'!A105=0,0,'Table 5-A| Criteria MPTE'!A163)</f>
        <v>0</v>
      </c>
      <c r="B75" s="309">
        <f>IF(A75=0,0,'Table 3-A| Emission Units'!C105)</f>
        <v>0</v>
      </c>
      <c r="C75" s="311">
        <f>IF(ISBLANK('Table 6-A| Controls &amp; Limits'!C82),0,IF('Table 6-A| Controls &amp; Limits'!C82="No",'Table 6-A| Controls &amp; Limits'!D82,'Table 6-A| Controls &amp; Limits'!E82))</f>
        <v>0</v>
      </c>
      <c r="D75" s="398" t="str">
        <f>IF(C75=0,"",'Table 6-A| Controls &amp; Limits'!F82)</f>
        <v/>
      </c>
      <c r="E75" s="399" t="str">
        <f>IFERROR(IFERROR(1-VLOOKUP('Table 6-A| Controls &amp; Limits'!$K82,'Emission Controls'!$A$20:$L$33,4,),1)*('Table 5-A| Criteria MPTE'!G163*'Table 7-A| Facility-Wide APTE'!$C75/'Table 5-A| Criteria MPTE'!$E163),"")</f>
        <v/>
      </c>
      <c r="F75" s="400" t="str">
        <f>IFERROR(IFERROR(1-VLOOKUP('Table 6-A| Controls &amp; Limits'!$K82,'Emission Controls'!$A$20:$L$33,5,),1)*('Table 5-A| Criteria MPTE'!H163*'Table 7-A| Facility-Wide APTE'!$C75/'Table 5-A| Criteria MPTE'!$E163),"")</f>
        <v/>
      </c>
      <c r="G75" s="400" t="str">
        <f>IFERROR(IFERROR(1-VLOOKUP('Table 6-A| Controls &amp; Limits'!$K82,'Emission Controls'!$A$20:$L$33,6,),1)*('Table 5-A| Criteria MPTE'!I163*'Table 7-A| Facility-Wide APTE'!$C75/'Table 5-A| Criteria MPTE'!$E163),"")</f>
        <v/>
      </c>
      <c r="H75" s="400" t="str">
        <f>IFERROR(IFERROR(1-VLOOKUP('Table 6-A| Controls &amp; Limits'!$K82,'Emission Controls'!$A$20:$L$33,7,),1)*('Table 5-A| Criteria MPTE'!J163*'Table 7-A| Facility-Wide APTE'!$C75/'Table 5-A| Criteria MPTE'!$E163),"")</f>
        <v/>
      </c>
      <c r="I75" s="400" t="str">
        <f>IFERROR(IFERROR(1-VLOOKUP('Table 6-A| Controls &amp; Limits'!$K82,'Emission Controls'!$A$20:$L$33,8,),1)*('Table 5-A| Criteria MPTE'!K163*'Table 7-A| Facility-Wide APTE'!$C75/'Table 5-A| Criteria MPTE'!$E163),"")</f>
        <v/>
      </c>
      <c r="J75" s="400" t="str">
        <f>IFERROR(IFERROR(1-VLOOKUP('Table 6-A| Controls &amp; Limits'!$K82,'Emission Controls'!$A$20:$L$33,9,),1)*('Table 5-A| Criteria MPTE'!L163*'Table 7-A| Facility-Wide APTE'!$C75/'Table 5-A| Criteria MPTE'!$E163),"")</f>
        <v/>
      </c>
      <c r="K75" s="400" t="str">
        <f>IFERROR(IFERROR(1-VLOOKUP('Table 6-A| Controls &amp; Limits'!$K82,'Emission Controls'!$A$20:$L$33,10,),1)*('Table 5-A| Criteria MPTE'!M163*'Table 7-A| Facility-Wide APTE'!$C75/'Table 5-A| Criteria MPTE'!$E163),"")</f>
        <v/>
      </c>
      <c r="L75" s="400" t="str">
        <f>IFERROR(IFERROR(1-VLOOKUP('Table 6-A| Controls &amp; Limits'!$K82,'Emission Controls'!$A$20:$L$33,11,),1)*('Table 5-A| Criteria MPTE'!N163*'Table 7-A| Facility-Wide APTE'!$C75/'Table 5-A| Criteria MPTE'!$E163),"")</f>
        <v/>
      </c>
      <c r="M75" s="401" t="str">
        <f>IFERROR(IFERROR(1-VLOOKUP('Table 6-A| Controls &amp; Limits'!$K82,'Emission Controls'!$A$20:$L$33,12,),1)*('Table 5-A| Criteria MPTE'!O163*'Table 7-A| Facility-Wide APTE'!$C75/'Table 5-A| Criteria MPTE'!$E163),"")</f>
        <v/>
      </c>
    </row>
    <row r="76" spans="1:13" ht="18" customHeight="1" thickBot="1" x14ac:dyDescent="0.3">
      <c r="A76" s="308">
        <f>IF('Table 3-A| Emission Units'!A106=0,0,'Table 5-A| Criteria MPTE'!A164)</f>
        <v>0</v>
      </c>
      <c r="B76" s="309">
        <f>IF(A76=0,0,'Table 3-A| Emission Units'!C106)</f>
        <v>0</v>
      </c>
      <c r="C76" s="311">
        <f>IF(ISBLANK('Table 6-A| Controls &amp; Limits'!C83),0,IF('Table 6-A| Controls &amp; Limits'!C83="No",'Table 6-A| Controls &amp; Limits'!D83,'Table 6-A| Controls &amp; Limits'!E83))</f>
        <v>0</v>
      </c>
      <c r="D76" s="398" t="str">
        <f>IF(C76=0,"",'Table 6-A| Controls &amp; Limits'!F83)</f>
        <v/>
      </c>
      <c r="E76" s="399" t="str">
        <f>IFERROR(IFERROR(1-VLOOKUP('Table 6-A| Controls &amp; Limits'!$K83,'Emission Controls'!$A$20:$L$33,4,),1)*('Table 5-A| Criteria MPTE'!G164*'Table 7-A| Facility-Wide APTE'!$C76/'Table 5-A| Criteria MPTE'!$E164),"")</f>
        <v/>
      </c>
      <c r="F76" s="400" t="str">
        <f>IFERROR(IFERROR(1-VLOOKUP('Table 6-A| Controls &amp; Limits'!$K83,'Emission Controls'!$A$20:$L$33,5,),1)*('Table 5-A| Criteria MPTE'!H164*'Table 7-A| Facility-Wide APTE'!$C76/'Table 5-A| Criteria MPTE'!$E164),"")</f>
        <v/>
      </c>
      <c r="G76" s="400" t="str">
        <f>IFERROR(IFERROR(1-VLOOKUP('Table 6-A| Controls &amp; Limits'!$K83,'Emission Controls'!$A$20:$L$33,6,),1)*('Table 5-A| Criteria MPTE'!I164*'Table 7-A| Facility-Wide APTE'!$C76/'Table 5-A| Criteria MPTE'!$E164),"")</f>
        <v/>
      </c>
      <c r="H76" s="400" t="str">
        <f>IFERROR(IFERROR(1-VLOOKUP('Table 6-A| Controls &amp; Limits'!$K83,'Emission Controls'!$A$20:$L$33,7,),1)*('Table 5-A| Criteria MPTE'!J164*'Table 7-A| Facility-Wide APTE'!$C76/'Table 5-A| Criteria MPTE'!$E164),"")</f>
        <v/>
      </c>
      <c r="I76" s="400" t="str">
        <f>IFERROR(IFERROR(1-VLOOKUP('Table 6-A| Controls &amp; Limits'!$K83,'Emission Controls'!$A$20:$L$33,8,),1)*('Table 5-A| Criteria MPTE'!K164*'Table 7-A| Facility-Wide APTE'!$C76/'Table 5-A| Criteria MPTE'!$E164),"")</f>
        <v/>
      </c>
      <c r="J76" s="400" t="str">
        <f>IFERROR(IFERROR(1-VLOOKUP('Table 6-A| Controls &amp; Limits'!$K83,'Emission Controls'!$A$20:$L$33,9,),1)*('Table 5-A| Criteria MPTE'!L164*'Table 7-A| Facility-Wide APTE'!$C76/'Table 5-A| Criteria MPTE'!$E164),"")</f>
        <v/>
      </c>
      <c r="K76" s="400" t="str">
        <f>IFERROR(IFERROR(1-VLOOKUP('Table 6-A| Controls &amp; Limits'!$K83,'Emission Controls'!$A$20:$L$33,10,),1)*('Table 5-A| Criteria MPTE'!M164*'Table 7-A| Facility-Wide APTE'!$C76/'Table 5-A| Criteria MPTE'!$E164),"")</f>
        <v/>
      </c>
      <c r="L76" s="400" t="str">
        <f>IFERROR(IFERROR(1-VLOOKUP('Table 6-A| Controls &amp; Limits'!$K83,'Emission Controls'!$A$20:$L$33,11,),1)*('Table 5-A| Criteria MPTE'!N164*'Table 7-A| Facility-Wide APTE'!$C76/'Table 5-A| Criteria MPTE'!$E164),"")</f>
        <v/>
      </c>
      <c r="M76" s="401" t="str">
        <f>IFERROR(IFERROR(1-VLOOKUP('Table 6-A| Controls &amp; Limits'!$K83,'Emission Controls'!$A$20:$L$33,12,),1)*('Table 5-A| Criteria MPTE'!O164*'Table 7-A| Facility-Wide APTE'!$C76/'Table 5-A| Criteria MPTE'!$E164),"")</f>
        <v/>
      </c>
    </row>
    <row r="77" spans="1:13" ht="18" customHeight="1" x14ac:dyDescent="0.25">
      <c r="A77" s="1301" t="str">
        <f>'Table 6-A| Controls &amp; Limits'!A84:J84</f>
        <v>Miscellaneous Emission Units</v>
      </c>
      <c r="B77" s="1302"/>
      <c r="C77" s="1302"/>
      <c r="D77" s="1302"/>
      <c r="E77" s="1302"/>
      <c r="F77" s="1302"/>
      <c r="G77" s="1302"/>
      <c r="H77" s="1302"/>
      <c r="I77" s="1302"/>
      <c r="J77" s="1302"/>
      <c r="K77" s="1302"/>
      <c r="L77" s="1302"/>
      <c r="M77" s="1303"/>
    </row>
    <row r="78" spans="1:13" ht="18" customHeight="1" x14ac:dyDescent="0.25">
      <c r="A78" s="308">
        <f>IF(ISBLANK('Table 3-A| Emission Units'!A108),0,'Table 5-A| Criteria MPTE'!A166)</f>
        <v>0</v>
      </c>
      <c r="B78" s="309">
        <f>IF(A78=0,0,'Table 3-A| Emission Units'!C108)</f>
        <v>0</v>
      </c>
      <c r="C78" s="311">
        <f>IF(ISBLANK('Table 6-A| Controls &amp; Limits'!C85),0,IF('Table 6-A| Controls &amp; Limits'!C85="No",'Table 6-A| Controls &amp; Limits'!D85,'Table 6-A| Controls &amp; Limits'!E85))</f>
        <v>0</v>
      </c>
      <c r="D78" s="398" t="str">
        <f>IF(C78=0,"",'Table 6-A| Controls &amp; Limits'!F85)</f>
        <v/>
      </c>
      <c r="E78" s="399" t="str">
        <f>IF('Table 6-B| Emission Limits'!E35=0,IFERROR(IFERROR(1-VLOOKUP('Table 6-A| Controls &amp; Limits'!$K85,'Emission Controls'!$A$20:$L$33,4,),1)*('Table 5-A| Criteria MPTE'!G166*'Table 7-A| Facility-Wide APTE'!$C78/'Table 5-A| Criteria MPTE'!$E166),""),'Table 6-B| Emission Limits'!E35)</f>
        <v/>
      </c>
      <c r="F78" s="400" t="str">
        <f>IF('Table 6-B| Emission Limits'!F35=0,IFERROR(IFERROR(1-VLOOKUP('Table 6-A| Controls &amp; Limits'!$K85,'Emission Controls'!$A$20:$L$33,5,),1)*('Table 5-A| Criteria MPTE'!H166*'Table 7-A| Facility-Wide APTE'!$C78/'Table 5-A| Criteria MPTE'!$E166),""),'Table 6-B| Emission Limits'!F35)</f>
        <v/>
      </c>
      <c r="G78" s="400" t="str">
        <f>IF('Table 6-B| Emission Limits'!G35=0,IFERROR(IFERROR(1-VLOOKUP('Table 6-A| Controls &amp; Limits'!$K85,'Emission Controls'!$A$20:$L$33,6,),1)*('Table 5-A| Criteria MPTE'!I166*'Table 7-A| Facility-Wide APTE'!$C78/'Table 5-A| Criteria MPTE'!$E166),""),'Table 6-B| Emission Limits'!G35)</f>
        <v/>
      </c>
      <c r="H78" s="400" t="str">
        <f>IF('Table 6-B| Emission Limits'!H35=0,IFERROR(IFERROR(1-VLOOKUP('Table 6-A| Controls &amp; Limits'!$K85,'Emission Controls'!$A$20:$L$33,7,),1)*('Table 5-A| Criteria MPTE'!J166*'Table 7-A| Facility-Wide APTE'!$C78/'Table 5-A| Criteria MPTE'!$E166),""),'Table 6-B| Emission Limits'!H35)</f>
        <v/>
      </c>
      <c r="I78" s="400" t="str">
        <f>IF('Table 6-B| Emission Limits'!I35=0,IFERROR(IFERROR(1-VLOOKUP('Table 6-A| Controls &amp; Limits'!$K85,'Emission Controls'!$A$20:$L$33,8,),1)*('Table 5-A| Criteria MPTE'!K166*'Table 7-A| Facility-Wide APTE'!$C78/'Table 5-A| Criteria MPTE'!$E166),""),'Table 6-B| Emission Limits'!I35)</f>
        <v/>
      </c>
      <c r="J78" s="400" t="str">
        <f>IF('Table 6-B| Emission Limits'!J35=0,IFERROR(IFERROR(1-VLOOKUP('Table 6-A| Controls &amp; Limits'!$K85,'Emission Controls'!$A$20:$L$33,9,),1)*('Table 5-A| Criteria MPTE'!L166*'Table 7-A| Facility-Wide APTE'!$C78/'Table 5-A| Criteria MPTE'!$E166),""),'Table 6-B| Emission Limits'!J35)</f>
        <v/>
      </c>
      <c r="K78" s="400" t="str">
        <f>IF('Table 6-B| Emission Limits'!K35=0,IFERROR(IFERROR(1-VLOOKUP('Table 6-A| Controls &amp; Limits'!$K85,'Emission Controls'!$A$20:$L$33,10,),1)*('Table 5-A| Criteria MPTE'!M166*'Table 7-A| Facility-Wide APTE'!$C78/'Table 5-A| Criteria MPTE'!$E166),""),'Table 6-B| Emission Limits'!K35)</f>
        <v/>
      </c>
      <c r="L78" s="400" t="str">
        <f>IF('Table 6-B| Emission Limits'!L35=0,IFERROR(IFERROR(1-VLOOKUP('Table 6-A| Controls &amp; Limits'!$K85,'Emission Controls'!$A$20:$L$33,11,),1)*('Table 5-A| Criteria MPTE'!N166*'Table 7-A| Facility-Wide APTE'!$C78/'Table 5-A| Criteria MPTE'!$E166),""),'Table 6-B| Emission Limits'!L35)</f>
        <v/>
      </c>
      <c r="M78" s="401" t="str">
        <f>IF('Table 6-B| Emission Limits'!N35=0,IFERROR(IFERROR(1-VLOOKUP('Table 6-A| Controls &amp; Limits'!$K85,'Emission Controls'!$A$20:$L$33,12,),1)*('Table 5-A| Criteria MPTE'!O166*'Table 7-A| Facility-Wide APTE'!$C78/'Table 5-A| Criteria MPTE'!$E166),""),'Table 6-B| Emission Limits'!N35)</f>
        <v/>
      </c>
    </row>
    <row r="79" spans="1:13" ht="18" customHeight="1" x14ac:dyDescent="0.25">
      <c r="A79" s="308">
        <f>IF(ISBLANK('Table 3-A| Emission Units'!A109),0,'Table 5-A| Criteria MPTE'!A167)</f>
        <v>0</v>
      </c>
      <c r="B79" s="309">
        <f>IF(A79=0,0,'Table 3-A| Emission Units'!C109)</f>
        <v>0</v>
      </c>
      <c r="C79" s="311">
        <f>IF(ISBLANK('Table 6-A| Controls &amp; Limits'!C86),0,IF('Table 6-A| Controls &amp; Limits'!C86="No",'Table 6-A| Controls &amp; Limits'!D86,'Table 6-A| Controls &amp; Limits'!E86))</f>
        <v>0</v>
      </c>
      <c r="D79" s="398" t="str">
        <f>IF(C79=0,"",'Table 6-A| Controls &amp; Limits'!F86)</f>
        <v/>
      </c>
      <c r="E79" s="399" t="str">
        <f>IF('Table 6-B| Emission Limits'!E36=0,IFERROR(IFERROR(1-VLOOKUP('Table 6-A| Controls &amp; Limits'!$K86,'Emission Controls'!$A$20:$L$33,4,),1)*('Table 5-A| Criteria MPTE'!G167*'Table 7-A| Facility-Wide APTE'!$C79/'Table 5-A| Criteria MPTE'!$E167),""),'Table 6-B| Emission Limits'!E36)</f>
        <v/>
      </c>
      <c r="F79" s="400" t="str">
        <f>IF('Table 6-B| Emission Limits'!F36=0,IFERROR(IFERROR(1-VLOOKUP('Table 6-A| Controls &amp; Limits'!$K86,'Emission Controls'!$A$20:$L$33,5,),1)*('Table 5-A| Criteria MPTE'!H167*'Table 7-A| Facility-Wide APTE'!$C79/'Table 5-A| Criteria MPTE'!$E167),""),'Table 6-B| Emission Limits'!F36)</f>
        <v/>
      </c>
      <c r="G79" s="400" t="str">
        <f>IF('Table 6-B| Emission Limits'!G36=0,IFERROR(IFERROR(1-VLOOKUP('Table 6-A| Controls &amp; Limits'!$K86,'Emission Controls'!$A$20:$L$33,6,),1)*('Table 5-A| Criteria MPTE'!I167*'Table 7-A| Facility-Wide APTE'!$C79/'Table 5-A| Criteria MPTE'!$E167),""),'Table 6-B| Emission Limits'!G36)</f>
        <v/>
      </c>
      <c r="H79" s="400" t="str">
        <f>IF('Table 6-B| Emission Limits'!H36=0,IFERROR(IFERROR(1-VLOOKUP('Table 6-A| Controls &amp; Limits'!$K86,'Emission Controls'!$A$20:$L$33,7,),1)*('Table 5-A| Criteria MPTE'!J167*'Table 7-A| Facility-Wide APTE'!$C79/'Table 5-A| Criteria MPTE'!$E167),""),'Table 6-B| Emission Limits'!H36)</f>
        <v/>
      </c>
      <c r="I79" s="400" t="str">
        <f>IF('Table 6-B| Emission Limits'!I36=0,IFERROR(IFERROR(1-VLOOKUP('Table 6-A| Controls &amp; Limits'!$K86,'Emission Controls'!$A$20:$L$33,8,),1)*('Table 5-A| Criteria MPTE'!K167*'Table 7-A| Facility-Wide APTE'!$C79/'Table 5-A| Criteria MPTE'!$E167),""),'Table 6-B| Emission Limits'!I36)</f>
        <v/>
      </c>
      <c r="J79" s="400" t="str">
        <f>IF('Table 6-B| Emission Limits'!J36=0,IFERROR(IFERROR(1-VLOOKUP('Table 6-A| Controls &amp; Limits'!$K86,'Emission Controls'!$A$20:$L$33,9,),1)*('Table 5-A| Criteria MPTE'!L167*'Table 7-A| Facility-Wide APTE'!$C79/'Table 5-A| Criteria MPTE'!$E167),""),'Table 6-B| Emission Limits'!J36)</f>
        <v/>
      </c>
      <c r="K79" s="400" t="str">
        <f>IF('Table 6-B| Emission Limits'!K36=0,IFERROR(IFERROR(1-VLOOKUP('Table 6-A| Controls &amp; Limits'!$K86,'Emission Controls'!$A$20:$L$33,10,),1)*('Table 5-A| Criteria MPTE'!M167*'Table 7-A| Facility-Wide APTE'!$C79/'Table 5-A| Criteria MPTE'!$E167),""),'Table 6-B| Emission Limits'!K36)</f>
        <v/>
      </c>
      <c r="L79" s="400" t="str">
        <f>IF('Table 6-B| Emission Limits'!L36=0,IFERROR(IFERROR(1-VLOOKUP('Table 6-A| Controls &amp; Limits'!$K86,'Emission Controls'!$A$20:$L$33,11,),1)*('Table 5-A| Criteria MPTE'!N167*'Table 7-A| Facility-Wide APTE'!$C79/'Table 5-A| Criteria MPTE'!$E167),""),'Table 6-B| Emission Limits'!L36)</f>
        <v/>
      </c>
      <c r="M79" s="401" t="str">
        <f>IF('Table 6-B| Emission Limits'!N36=0,IFERROR(IFERROR(1-VLOOKUP('Table 6-A| Controls &amp; Limits'!$K86,'Emission Controls'!$A$20:$L$33,12,),1)*('Table 5-A| Criteria MPTE'!O167*'Table 7-A| Facility-Wide APTE'!$C79/'Table 5-A| Criteria MPTE'!$E167),""),'Table 6-B| Emission Limits'!N36)</f>
        <v/>
      </c>
    </row>
    <row r="80" spans="1:13" ht="18" customHeight="1" x14ac:dyDescent="0.25">
      <c r="A80" s="308">
        <f>IF(ISBLANK('Table 3-A| Emission Units'!A110),0,'Table 5-A| Criteria MPTE'!A168)</f>
        <v>0</v>
      </c>
      <c r="B80" s="309">
        <f>IF(A80=0,0,'Table 3-A| Emission Units'!C110)</f>
        <v>0</v>
      </c>
      <c r="C80" s="311">
        <f>IF(ISBLANK('Table 6-A| Controls &amp; Limits'!C87),0,IF('Table 6-A| Controls &amp; Limits'!C87="No",'Table 6-A| Controls &amp; Limits'!D87,'Table 6-A| Controls &amp; Limits'!E87))</f>
        <v>0</v>
      </c>
      <c r="D80" s="398" t="str">
        <f>IF(C80=0,"",'Table 6-A| Controls &amp; Limits'!F87)</f>
        <v/>
      </c>
      <c r="E80" s="399" t="str">
        <f>IF('Table 6-B| Emission Limits'!E37=0,IFERROR(IFERROR(1-VLOOKUP('Table 6-A| Controls &amp; Limits'!$K87,'Emission Controls'!$A$20:$L$33,4,),1)*('Table 5-A| Criteria MPTE'!G168*'Table 7-A| Facility-Wide APTE'!$C80/'Table 5-A| Criteria MPTE'!$E168),""),'Table 6-B| Emission Limits'!E37)</f>
        <v/>
      </c>
      <c r="F80" s="400" t="str">
        <f>IF('Table 6-B| Emission Limits'!F37=0,IFERROR(IFERROR(1-VLOOKUP('Table 6-A| Controls &amp; Limits'!$K87,'Emission Controls'!$A$20:$L$33,5,),1)*('Table 5-A| Criteria MPTE'!H168*'Table 7-A| Facility-Wide APTE'!$C80/'Table 5-A| Criteria MPTE'!$E168),""),'Table 6-B| Emission Limits'!F37)</f>
        <v/>
      </c>
      <c r="G80" s="400" t="str">
        <f>IF('Table 6-B| Emission Limits'!G37=0,IFERROR(IFERROR(1-VLOOKUP('Table 6-A| Controls &amp; Limits'!$K87,'Emission Controls'!$A$20:$L$33,6,),1)*('Table 5-A| Criteria MPTE'!I168*'Table 7-A| Facility-Wide APTE'!$C80/'Table 5-A| Criteria MPTE'!$E168),""),'Table 6-B| Emission Limits'!G37)</f>
        <v/>
      </c>
      <c r="H80" s="400" t="str">
        <f>IF('Table 6-B| Emission Limits'!H37=0,IFERROR(IFERROR(1-VLOOKUP('Table 6-A| Controls &amp; Limits'!$K87,'Emission Controls'!$A$20:$L$33,7,),1)*('Table 5-A| Criteria MPTE'!J168*'Table 7-A| Facility-Wide APTE'!$C80/'Table 5-A| Criteria MPTE'!$E168),""),'Table 6-B| Emission Limits'!H37)</f>
        <v/>
      </c>
      <c r="I80" s="400" t="str">
        <f>IF('Table 6-B| Emission Limits'!I37=0,IFERROR(IFERROR(1-VLOOKUP('Table 6-A| Controls &amp; Limits'!$K87,'Emission Controls'!$A$20:$L$33,8,),1)*('Table 5-A| Criteria MPTE'!K168*'Table 7-A| Facility-Wide APTE'!$C80/'Table 5-A| Criteria MPTE'!$E168),""),'Table 6-B| Emission Limits'!I37)</f>
        <v/>
      </c>
      <c r="J80" s="400" t="str">
        <f>IF('Table 6-B| Emission Limits'!J37=0,IFERROR(IFERROR(1-VLOOKUP('Table 6-A| Controls &amp; Limits'!$K87,'Emission Controls'!$A$20:$L$33,9,),1)*('Table 5-A| Criteria MPTE'!L168*'Table 7-A| Facility-Wide APTE'!$C80/'Table 5-A| Criteria MPTE'!$E168),""),'Table 6-B| Emission Limits'!J37)</f>
        <v/>
      </c>
      <c r="K80" s="400" t="str">
        <f>IF('Table 6-B| Emission Limits'!K37=0,IFERROR(IFERROR(1-VLOOKUP('Table 6-A| Controls &amp; Limits'!$K87,'Emission Controls'!$A$20:$L$33,10,),1)*('Table 5-A| Criteria MPTE'!M168*'Table 7-A| Facility-Wide APTE'!$C80/'Table 5-A| Criteria MPTE'!$E168),""),'Table 6-B| Emission Limits'!K37)</f>
        <v/>
      </c>
      <c r="L80" s="400" t="str">
        <f>IF('Table 6-B| Emission Limits'!L37=0,IFERROR(IFERROR(1-VLOOKUP('Table 6-A| Controls &amp; Limits'!$K87,'Emission Controls'!$A$20:$L$33,11,),1)*('Table 5-A| Criteria MPTE'!N168*'Table 7-A| Facility-Wide APTE'!$C80/'Table 5-A| Criteria MPTE'!$E168),""),'Table 6-B| Emission Limits'!L37)</f>
        <v/>
      </c>
      <c r="M80" s="401" t="str">
        <f>IF('Table 6-B| Emission Limits'!N37=0,IFERROR(IFERROR(1-VLOOKUP('Table 6-A| Controls &amp; Limits'!$K87,'Emission Controls'!$A$20:$L$33,12,),1)*('Table 5-A| Criteria MPTE'!O168*'Table 7-A| Facility-Wide APTE'!$C80/'Table 5-A| Criteria MPTE'!$E168),""),'Table 6-B| Emission Limits'!N37)</f>
        <v/>
      </c>
    </row>
    <row r="81" spans="1:13" ht="18" customHeight="1" x14ac:dyDescent="0.25">
      <c r="A81" s="308">
        <f>IF(ISBLANK('Table 3-A| Emission Units'!A111),0,'Table 5-A| Criteria MPTE'!A169)</f>
        <v>0</v>
      </c>
      <c r="B81" s="309">
        <f>IF(A81=0,0,'Table 3-A| Emission Units'!C111)</f>
        <v>0</v>
      </c>
      <c r="C81" s="311">
        <f>IF(ISBLANK('Table 6-A| Controls &amp; Limits'!C88),0,IF('Table 6-A| Controls &amp; Limits'!C88="No",'Table 6-A| Controls &amp; Limits'!D88,'Table 6-A| Controls &amp; Limits'!E88))</f>
        <v>0</v>
      </c>
      <c r="D81" s="398" t="str">
        <f>IF(C81=0,"",'Table 6-A| Controls &amp; Limits'!F88)</f>
        <v/>
      </c>
      <c r="E81" s="399" t="str">
        <f>IF('Table 6-B| Emission Limits'!E38=0,IFERROR(IFERROR(1-VLOOKUP('Table 6-A| Controls &amp; Limits'!$K88,'Emission Controls'!$A$20:$L$33,4,),1)*('Table 5-A| Criteria MPTE'!G169*'Table 7-A| Facility-Wide APTE'!$C81/'Table 5-A| Criteria MPTE'!$E169),""),'Table 6-B| Emission Limits'!E38)</f>
        <v/>
      </c>
      <c r="F81" s="400" t="str">
        <f>IF('Table 6-B| Emission Limits'!F38=0,IFERROR(IFERROR(1-VLOOKUP('Table 6-A| Controls &amp; Limits'!$K88,'Emission Controls'!$A$20:$L$33,5,),1)*('Table 5-A| Criteria MPTE'!H169*'Table 7-A| Facility-Wide APTE'!$C81/'Table 5-A| Criteria MPTE'!$E169),""),'Table 6-B| Emission Limits'!F38)</f>
        <v/>
      </c>
      <c r="G81" s="400" t="str">
        <f>IF('Table 6-B| Emission Limits'!G38=0,IFERROR(IFERROR(1-VLOOKUP('Table 6-A| Controls &amp; Limits'!$K88,'Emission Controls'!$A$20:$L$33,6,),1)*('Table 5-A| Criteria MPTE'!I169*'Table 7-A| Facility-Wide APTE'!$C81/'Table 5-A| Criteria MPTE'!$E169),""),'Table 6-B| Emission Limits'!G38)</f>
        <v/>
      </c>
      <c r="H81" s="400" t="str">
        <f>IF('Table 6-B| Emission Limits'!H38=0,IFERROR(IFERROR(1-VLOOKUP('Table 6-A| Controls &amp; Limits'!$K88,'Emission Controls'!$A$20:$L$33,7,),1)*('Table 5-A| Criteria MPTE'!J169*'Table 7-A| Facility-Wide APTE'!$C81/'Table 5-A| Criteria MPTE'!$E169),""),'Table 6-B| Emission Limits'!H38)</f>
        <v/>
      </c>
      <c r="I81" s="400" t="str">
        <f>IF('Table 6-B| Emission Limits'!I38=0,IFERROR(IFERROR(1-VLOOKUP('Table 6-A| Controls &amp; Limits'!$K88,'Emission Controls'!$A$20:$L$33,8,),1)*('Table 5-A| Criteria MPTE'!K169*'Table 7-A| Facility-Wide APTE'!$C81/'Table 5-A| Criteria MPTE'!$E169),""),'Table 6-B| Emission Limits'!I38)</f>
        <v/>
      </c>
      <c r="J81" s="400" t="str">
        <f>IF('Table 6-B| Emission Limits'!J38=0,IFERROR(IFERROR(1-VLOOKUP('Table 6-A| Controls &amp; Limits'!$K88,'Emission Controls'!$A$20:$L$33,9,),1)*('Table 5-A| Criteria MPTE'!L169*'Table 7-A| Facility-Wide APTE'!$C81/'Table 5-A| Criteria MPTE'!$E169),""),'Table 6-B| Emission Limits'!J38)</f>
        <v/>
      </c>
      <c r="K81" s="400" t="str">
        <f>IF('Table 6-B| Emission Limits'!K38=0,IFERROR(IFERROR(1-VLOOKUP('Table 6-A| Controls &amp; Limits'!$K88,'Emission Controls'!$A$20:$L$33,10,),1)*('Table 5-A| Criteria MPTE'!M169*'Table 7-A| Facility-Wide APTE'!$C81/'Table 5-A| Criteria MPTE'!$E169),""),'Table 6-B| Emission Limits'!K38)</f>
        <v/>
      </c>
      <c r="L81" s="400" t="str">
        <f>IF('Table 6-B| Emission Limits'!L38=0,IFERROR(IFERROR(1-VLOOKUP('Table 6-A| Controls &amp; Limits'!$K88,'Emission Controls'!$A$20:$L$33,11,),1)*('Table 5-A| Criteria MPTE'!N169*'Table 7-A| Facility-Wide APTE'!$C81/'Table 5-A| Criteria MPTE'!$E169),""),'Table 6-B| Emission Limits'!L38)</f>
        <v/>
      </c>
      <c r="M81" s="401" t="str">
        <f>IF('Table 6-B| Emission Limits'!N38=0,IFERROR(IFERROR(1-VLOOKUP('Table 6-A| Controls &amp; Limits'!$K88,'Emission Controls'!$A$20:$L$33,12,),1)*('Table 5-A| Criteria MPTE'!O169*'Table 7-A| Facility-Wide APTE'!$C81/'Table 5-A| Criteria MPTE'!$E169),""),'Table 6-B| Emission Limits'!N38)</f>
        <v/>
      </c>
    </row>
    <row r="82" spans="1:13" ht="18" customHeight="1" x14ac:dyDescent="0.25">
      <c r="A82" s="308">
        <f>IF(ISBLANK('Table 3-A| Emission Units'!A112),0,'Table 5-A| Criteria MPTE'!A170)</f>
        <v>0</v>
      </c>
      <c r="B82" s="309">
        <f>IF(A82=0,0,'Table 3-A| Emission Units'!C112)</f>
        <v>0</v>
      </c>
      <c r="C82" s="311">
        <f>IF(ISBLANK('Table 6-A| Controls &amp; Limits'!C89),0,IF('Table 6-A| Controls &amp; Limits'!C89="No",'Table 6-A| Controls &amp; Limits'!D89,'Table 6-A| Controls &amp; Limits'!E89))</f>
        <v>0</v>
      </c>
      <c r="D82" s="398" t="str">
        <f>IF(C82=0,"",'Table 6-A| Controls &amp; Limits'!F89)</f>
        <v/>
      </c>
      <c r="E82" s="399" t="str">
        <f>IF('Table 6-B| Emission Limits'!E39=0,IFERROR(IFERROR(1-VLOOKUP('Table 6-A| Controls &amp; Limits'!$K89,'Emission Controls'!$A$20:$L$33,4,),1)*('Table 5-A| Criteria MPTE'!G170*'Table 7-A| Facility-Wide APTE'!$C82/'Table 5-A| Criteria MPTE'!$E170),""),'Table 6-B| Emission Limits'!E39)</f>
        <v/>
      </c>
      <c r="F82" s="400" t="str">
        <f>IF('Table 6-B| Emission Limits'!F39=0,IFERROR(IFERROR(1-VLOOKUP('Table 6-A| Controls &amp; Limits'!$K89,'Emission Controls'!$A$20:$L$33,5,),1)*('Table 5-A| Criteria MPTE'!H170*'Table 7-A| Facility-Wide APTE'!$C82/'Table 5-A| Criteria MPTE'!$E170),""),'Table 6-B| Emission Limits'!F39)</f>
        <v/>
      </c>
      <c r="G82" s="400" t="str">
        <f>IF('Table 6-B| Emission Limits'!G39=0,IFERROR(IFERROR(1-VLOOKUP('Table 6-A| Controls &amp; Limits'!$K89,'Emission Controls'!$A$20:$L$33,6,),1)*('Table 5-A| Criteria MPTE'!I170*'Table 7-A| Facility-Wide APTE'!$C82/'Table 5-A| Criteria MPTE'!$E170),""),'Table 6-B| Emission Limits'!G39)</f>
        <v/>
      </c>
      <c r="H82" s="400" t="str">
        <f>IF('Table 6-B| Emission Limits'!H39=0,IFERROR(IFERROR(1-VLOOKUP('Table 6-A| Controls &amp; Limits'!$K89,'Emission Controls'!$A$20:$L$33,7,),1)*('Table 5-A| Criteria MPTE'!J170*'Table 7-A| Facility-Wide APTE'!$C82/'Table 5-A| Criteria MPTE'!$E170),""),'Table 6-B| Emission Limits'!H39)</f>
        <v/>
      </c>
      <c r="I82" s="400" t="str">
        <f>IF('Table 6-B| Emission Limits'!I39=0,IFERROR(IFERROR(1-VLOOKUP('Table 6-A| Controls &amp; Limits'!$K89,'Emission Controls'!$A$20:$L$33,8,),1)*('Table 5-A| Criteria MPTE'!K170*'Table 7-A| Facility-Wide APTE'!$C82/'Table 5-A| Criteria MPTE'!$E170),""),'Table 6-B| Emission Limits'!I39)</f>
        <v/>
      </c>
      <c r="J82" s="400" t="str">
        <f>IF('Table 6-B| Emission Limits'!J39=0,IFERROR(IFERROR(1-VLOOKUP('Table 6-A| Controls &amp; Limits'!$K89,'Emission Controls'!$A$20:$L$33,9,),1)*('Table 5-A| Criteria MPTE'!L170*'Table 7-A| Facility-Wide APTE'!$C82/'Table 5-A| Criteria MPTE'!$E170),""),'Table 6-B| Emission Limits'!J39)</f>
        <v/>
      </c>
      <c r="K82" s="400" t="str">
        <f>IF('Table 6-B| Emission Limits'!K39=0,IFERROR(IFERROR(1-VLOOKUP('Table 6-A| Controls &amp; Limits'!$K89,'Emission Controls'!$A$20:$L$33,10,),1)*('Table 5-A| Criteria MPTE'!M170*'Table 7-A| Facility-Wide APTE'!$C82/'Table 5-A| Criteria MPTE'!$E170),""),'Table 6-B| Emission Limits'!K39)</f>
        <v/>
      </c>
      <c r="L82" s="400" t="str">
        <f>IF('Table 6-B| Emission Limits'!L39=0,IFERROR(IFERROR(1-VLOOKUP('Table 6-A| Controls &amp; Limits'!$K89,'Emission Controls'!$A$20:$L$33,11,),1)*('Table 5-A| Criteria MPTE'!N170*'Table 7-A| Facility-Wide APTE'!$C82/'Table 5-A| Criteria MPTE'!$E170),""),'Table 6-B| Emission Limits'!L39)</f>
        <v/>
      </c>
      <c r="M82" s="401" t="str">
        <f>IF('Table 6-B| Emission Limits'!N39=0,IFERROR(IFERROR(1-VLOOKUP('Table 6-A| Controls &amp; Limits'!$K89,'Emission Controls'!$A$20:$L$33,12,),1)*('Table 5-A| Criteria MPTE'!O170*'Table 7-A| Facility-Wide APTE'!$C82/'Table 5-A| Criteria MPTE'!$E170),""),'Table 6-B| Emission Limits'!N39)</f>
        <v/>
      </c>
    </row>
    <row r="83" spans="1:13" ht="18" customHeight="1" x14ac:dyDescent="0.25">
      <c r="A83" s="308">
        <f>IF(ISBLANK('Table 3-A| Emission Units'!A113),0,'Table 5-A| Criteria MPTE'!A171)</f>
        <v>0</v>
      </c>
      <c r="B83" s="309">
        <f>IF(A83=0,0,'Table 3-A| Emission Units'!C113)</f>
        <v>0</v>
      </c>
      <c r="C83" s="311">
        <f>IF(ISBLANK('Table 6-A| Controls &amp; Limits'!C90),0,IF('Table 6-A| Controls &amp; Limits'!C90="No",'Table 6-A| Controls &amp; Limits'!D90,'Table 6-A| Controls &amp; Limits'!E90))</f>
        <v>0</v>
      </c>
      <c r="D83" s="398" t="str">
        <f>IF(C83=0,"",'Table 6-A| Controls &amp; Limits'!F90)</f>
        <v/>
      </c>
      <c r="E83" s="399" t="str">
        <f>IF('Table 6-B| Emission Limits'!E40=0,IFERROR(IFERROR(1-VLOOKUP('Table 6-A| Controls &amp; Limits'!$K90,'Emission Controls'!$A$20:$L$33,4,),1)*('Table 5-A| Criteria MPTE'!G171*'Table 7-A| Facility-Wide APTE'!$C83/'Table 5-A| Criteria MPTE'!$E171),""),'Table 6-B| Emission Limits'!E40)</f>
        <v/>
      </c>
      <c r="F83" s="400" t="str">
        <f>IF('Table 6-B| Emission Limits'!F40=0,IFERROR(IFERROR(1-VLOOKUP('Table 6-A| Controls &amp; Limits'!$K90,'Emission Controls'!$A$20:$L$33,5,),1)*('Table 5-A| Criteria MPTE'!H171*'Table 7-A| Facility-Wide APTE'!$C83/'Table 5-A| Criteria MPTE'!$E171),""),'Table 6-B| Emission Limits'!F40)</f>
        <v/>
      </c>
      <c r="G83" s="400" t="str">
        <f>IF('Table 6-B| Emission Limits'!G40=0,IFERROR(IFERROR(1-VLOOKUP('Table 6-A| Controls &amp; Limits'!$K90,'Emission Controls'!$A$20:$L$33,6,),1)*('Table 5-A| Criteria MPTE'!I171*'Table 7-A| Facility-Wide APTE'!$C83/'Table 5-A| Criteria MPTE'!$E171),""),'Table 6-B| Emission Limits'!G40)</f>
        <v/>
      </c>
      <c r="H83" s="400" t="str">
        <f>IF('Table 6-B| Emission Limits'!H40=0,IFERROR(IFERROR(1-VLOOKUP('Table 6-A| Controls &amp; Limits'!$K90,'Emission Controls'!$A$20:$L$33,7,),1)*('Table 5-A| Criteria MPTE'!J171*'Table 7-A| Facility-Wide APTE'!$C83/'Table 5-A| Criteria MPTE'!$E171),""),'Table 6-B| Emission Limits'!H40)</f>
        <v/>
      </c>
      <c r="I83" s="400" t="str">
        <f>IF('Table 6-B| Emission Limits'!I40=0,IFERROR(IFERROR(1-VLOOKUP('Table 6-A| Controls &amp; Limits'!$K90,'Emission Controls'!$A$20:$L$33,8,),1)*('Table 5-A| Criteria MPTE'!K171*'Table 7-A| Facility-Wide APTE'!$C83/'Table 5-A| Criteria MPTE'!$E171),""),'Table 6-B| Emission Limits'!I40)</f>
        <v/>
      </c>
      <c r="J83" s="400" t="str">
        <f>IF('Table 6-B| Emission Limits'!J40=0,IFERROR(IFERROR(1-VLOOKUP('Table 6-A| Controls &amp; Limits'!$K90,'Emission Controls'!$A$20:$L$33,9,),1)*('Table 5-A| Criteria MPTE'!L171*'Table 7-A| Facility-Wide APTE'!$C83/'Table 5-A| Criteria MPTE'!$E171),""),'Table 6-B| Emission Limits'!J40)</f>
        <v/>
      </c>
      <c r="K83" s="400" t="str">
        <f>IF('Table 6-B| Emission Limits'!K40=0,IFERROR(IFERROR(1-VLOOKUP('Table 6-A| Controls &amp; Limits'!$K90,'Emission Controls'!$A$20:$L$33,10,),1)*('Table 5-A| Criteria MPTE'!M171*'Table 7-A| Facility-Wide APTE'!$C83/'Table 5-A| Criteria MPTE'!$E171),""),'Table 6-B| Emission Limits'!K40)</f>
        <v/>
      </c>
      <c r="L83" s="400" t="str">
        <f>IF('Table 6-B| Emission Limits'!L40=0,IFERROR(IFERROR(1-VLOOKUP('Table 6-A| Controls &amp; Limits'!$K90,'Emission Controls'!$A$20:$L$33,11,),1)*('Table 5-A| Criteria MPTE'!N171*'Table 7-A| Facility-Wide APTE'!$C83/'Table 5-A| Criteria MPTE'!$E171),""),'Table 6-B| Emission Limits'!L40)</f>
        <v/>
      </c>
      <c r="M83" s="401" t="str">
        <f>IF('Table 6-B| Emission Limits'!N40=0,IFERROR(IFERROR(1-VLOOKUP('Table 6-A| Controls &amp; Limits'!$K90,'Emission Controls'!$A$20:$L$33,12,),1)*('Table 5-A| Criteria MPTE'!O171*'Table 7-A| Facility-Wide APTE'!$C83/'Table 5-A| Criteria MPTE'!$E171),""),'Table 6-B| Emission Limits'!N40)</f>
        <v/>
      </c>
    </row>
    <row r="84" spans="1:13" ht="18" customHeight="1" x14ac:dyDescent="0.25">
      <c r="A84" s="308">
        <f>IF(ISBLANK('Table 3-A| Emission Units'!A114),0,'Table 5-A| Criteria MPTE'!A172)</f>
        <v>0</v>
      </c>
      <c r="B84" s="309">
        <f>IF(A84=0,0,'Table 3-A| Emission Units'!C114)</f>
        <v>0</v>
      </c>
      <c r="C84" s="311">
        <f>IF(ISBLANK('Table 6-A| Controls &amp; Limits'!C91),0,IF('Table 6-A| Controls &amp; Limits'!C91="No",'Table 6-A| Controls &amp; Limits'!D91,'Table 6-A| Controls &amp; Limits'!E91))</f>
        <v>0</v>
      </c>
      <c r="D84" s="398" t="str">
        <f>IF(C84=0,"",'Table 6-A| Controls &amp; Limits'!F91)</f>
        <v/>
      </c>
      <c r="E84" s="399" t="str">
        <f>IF('Table 6-B| Emission Limits'!E41=0,IFERROR(IFERROR(1-VLOOKUP('Table 6-A| Controls &amp; Limits'!$K91,'Emission Controls'!$A$20:$L$33,4,),1)*('Table 5-A| Criteria MPTE'!G172*'Table 7-A| Facility-Wide APTE'!$C84/'Table 5-A| Criteria MPTE'!$E172),""),'Table 6-B| Emission Limits'!E41)</f>
        <v/>
      </c>
      <c r="F84" s="400" t="str">
        <f>IF('Table 6-B| Emission Limits'!F41=0,IFERROR(IFERROR(1-VLOOKUP('Table 6-A| Controls &amp; Limits'!$K91,'Emission Controls'!$A$20:$L$33,5,),1)*('Table 5-A| Criteria MPTE'!H172*'Table 7-A| Facility-Wide APTE'!$C84/'Table 5-A| Criteria MPTE'!$E172),""),'Table 6-B| Emission Limits'!F41)</f>
        <v/>
      </c>
      <c r="G84" s="400" t="str">
        <f>IF('Table 6-B| Emission Limits'!G41=0,IFERROR(IFERROR(1-VLOOKUP('Table 6-A| Controls &amp; Limits'!$K91,'Emission Controls'!$A$20:$L$33,6,),1)*('Table 5-A| Criteria MPTE'!I172*'Table 7-A| Facility-Wide APTE'!$C84/'Table 5-A| Criteria MPTE'!$E172),""),'Table 6-B| Emission Limits'!G41)</f>
        <v/>
      </c>
      <c r="H84" s="400" t="str">
        <f>IF('Table 6-B| Emission Limits'!H41=0,IFERROR(IFERROR(1-VLOOKUP('Table 6-A| Controls &amp; Limits'!$K91,'Emission Controls'!$A$20:$L$33,7,),1)*('Table 5-A| Criteria MPTE'!J172*'Table 7-A| Facility-Wide APTE'!$C84/'Table 5-A| Criteria MPTE'!$E172),""),'Table 6-B| Emission Limits'!H41)</f>
        <v/>
      </c>
      <c r="I84" s="400" t="str">
        <f>IF('Table 6-B| Emission Limits'!I41=0,IFERROR(IFERROR(1-VLOOKUP('Table 6-A| Controls &amp; Limits'!$K91,'Emission Controls'!$A$20:$L$33,8,),1)*('Table 5-A| Criteria MPTE'!K172*'Table 7-A| Facility-Wide APTE'!$C84/'Table 5-A| Criteria MPTE'!$E172),""),'Table 6-B| Emission Limits'!I41)</f>
        <v/>
      </c>
      <c r="J84" s="400" t="str">
        <f>IF('Table 6-B| Emission Limits'!J41=0,IFERROR(IFERROR(1-VLOOKUP('Table 6-A| Controls &amp; Limits'!$K91,'Emission Controls'!$A$20:$L$33,9,),1)*('Table 5-A| Criteria MPTE'!L172*'Table 7-A| Facility-Wide APTE'!$C84/'Table 5-A| Criteria MPTE'!$E172),""),'Table 6-B| Emission Limits'!J41)</f>
        <v/>
      </c>
      <c r="K84" s="400" t="str">
        <f>IF('Table 6-B| Emission Limits'!K41=0,IFERROR(IFERROR(1-VLOOKUP('Table 6-A| Controls &amp; Limits'!$K91,'Emission Controls'!$A$20:$L$33,10,),1)*('Table 5-A| Criteria MPTE'!M172*'Table 7-A| Facility-Wide APTE'!$C84/'Table 5-A| Criteria MPTE'!$E172),""),'Table 6-B| Emission Limits'!K41)</f>
        <v/>
      </c>
      <c r="L84" s="400" t="str">
        <f>IF('Table 6-B| Emission Limits'!L41=0,IFERROR(IFERROR(1-VLOOKUP('Table 6-A| Controls &amp; Limits'!$K91,'Emission Controls'!$A$20:$L$33,11,),1)*('Table 5-A| Criteria MPTE'!N172*'Table 7-A| Facility-Wide APTE'!$C84/'Table 5-A| Criteria MPTE'!$E172),""),'Table 6-B| Emission Limits'!L41)</f>
        <v/>
      </c>
      <c r="M84" s="401" t="str">
        <f>IF('Table 6-B| Emission Limits'!N41=0,IFERROR(IFERROR(1-VLOOKUP('Table 6-A| Controls &amp; Limits'!$K91,'Emission Controls'!$A$20:$L$33,12,),1)*('Table 5-A| Criteria MPTE'!O172*'Table 7-A| Facility-Wide APTE'!$C84/'Table 5-A| Criteria MPTE'!$E172),""),'Table 6-B| Emission Limits'!N41)</f>
        <v/>
      </c>
    </row>
    <row r="85" spans="1:13" ht="18" customHeight="1" x14ac:dyDescent="0.25">
      <c r="A85" s="308">
        <f>IF(ISBLANK('Table 3-A| Emission Units'!A115),0,'Table 5-A| Criteria MPTE'!A173)</f>
        <v>0</v>
      </c>
      <c r="B85" s="309">
        <f>IF(A85=0,0,'Table 3-A| Emission Units'!C115)</f>
        <v>0</v>
      </c>
      <c r="C85" s="311">
        <f>IF(ISBLANK('Table 6-A| Controls &amp; Limits'!C92),0,IF('Table 6-A| Controls &amp; Limits'!C92="No",'Table 6-A| Controls &amp; Limits'!D92,'Table 6-A| Controls &amp; Limits'!E92))</f>
        <v>0</v>
      </c>
      <c r="D85" s="398" t="str">
        <f>IF(C85=0,"",'Table 6-A| Controls &amp; Limits'!F92)</f>
        <v/>
      </c>
      <c r="E85" s="399" t="str">
        <f>IF('Table 6-B| Emission Limits'!E42=0,IFERROR(IFERROR(1-VLOOKUP('Table 6-A| Controls &amp; Limits'!$K92,'Emission Controls'!$A$20:$L$33,4,),1)*('Table 5-A| Criteria MPTE'!G173*'Table 7-A| Facility-Wide APTE'!$C85/'Table 5-A| Criteria MPTE'!$E173),""),'Table 6-B| Emission Limits'!E42)</f>
        <v/>
      </c>
      <c r="F85" s="400" t="str">
        <f>IF('Table 6-B| Emission Limits'!F42=0,IFERROR(IFERROR(1-VLOOKUP('Table 6-A| Controls &amp; Limits'!$K92,'Emission Controls'!$A$20:$L$33,5,),1)*('Table 5-A| Criteria MPTE'!H173*'Table 7-A| Facility-Wide APTE'!$C85/'Table 5-A| Criteria MPTE'!$E173),""),'Table 6-B| Emission Limits'!F42)</f>
        <v/>
      </c>
      <c r="G85" s="400" t="str">
        <f>IF('Table 6-B| Emission Limits'!G42=0,IFERROR(IFERROR(1-VLOOKUP('Table 6-A| Controls &amp; Limits'!$K92,'Emission Controls'!$A$20:$L$33,6,),1)*('Table 5-A| Criteria MPTE'!I173*'Table 7-A| Facility-Wide APTE'!$C85/'Table 5-A| Criteria MPTE'!$E173),""),'Table 6-B| Emission Limits'!G42)</f>
        <v/>
      </c>
      <c r="H85" s="400" t="str">
        <f>IF('Table 6-B| Emission Limits'!H42=0,IFERROR(IFERROR(1-VLOOKUP('Table 6-A| Controls &amp; Limits'!$K92,'Emission Controls'!$A$20:$L$33,7,),1)*('Table 5-A| Criteria MPTE'!J173*'Table 7-A| Facility-Wide APTE'!$C85/'Table 5-A| Criteria MPTE'!$E173),""),'Table 6-B| Emission Limits'!H42)</f>
        <v/>
      </c>
      <c r="I85" s="400" t="str">
        <f>IF('Table 6-B| Emission Limits'!I42=0,IFERROR(IFERROR(1-VLOOKUP('Table 6-A| Controls &amp; Limits'!$K92,'Emission Controls'!$A$20:$L$33,8,),1)*('Table 5-A| Criteria MPTE'!K173*'Table 7-A| Facility-Wide APTE'!$C85/'Table 5-A| Criteria MPTE'!$E173),""),'Table 6-B| Emission Limits'!I42)</f>
        <v/>
      </c>
      <c r="J85" s="400" t="str">
        <f>IF('Table 6-B| Emission Limits'!J42=0,IFERROR(IFERROR(1-VLOOKUP('Table 6-A| Controls &amp; Limits'!$K92,'Emission Controls'!$A$20:$L$33,9,),1)*('Table 5-A| Criteria MPTE'!L173*'Table 7-A| Facility-Wide APTE'!$C85/'Table 5-A| Criteria MPTE'!$E173),""),'Table 6-B| Emission Limits'!J42)</f>
        <v/>
      </c>
      <c r="K85" s="400" t="str">
        <f>IF('Table 6-B| Emission Limits'!K42=0,IFERROR(IFERROR(1-VLOOKUP('Table 6-A| Controls &amp; Limits'!$K92,'Emission Controls'!$A$20:$L$33,10,),1)*('Table 5-A| Criteria MPTE'!M173*'Table 7-A| Facility-Wide APTE'!$C85/'Table 5-A| Criteria MPTE'!$E173),""),'Table 6-B| Emission Limits'!K42)</f>
        <v/>
      </c>
      <c r="L85" s="400" t="str">
        <f>IF('Table 6-B| Emission Limits'!L42=0,IFERROR(IFERROR(1-VLOOKUP('Table 6-A| Controls &amp; Limits'!$K92,'Emission Controls'!$A$20:$L$33,11,),1)*('Table 5-A| Criteria MPTE'!N173*'Table 7-A| Facility-Wide APTE'!$C85/'Table 5-A| Criteria MPTE'!$E173),""),'Table 6-B| Emission Limits'!L42)</f>
        <v/>
      </c>
      <c r="M85" s="401" t="str">
        <f>IF('Table 6-B| Emission Limits'!N42=0,IFERROR(IFERROR(1-VLOOKUP('Table 6-A| Controls &amp; Limits'!$K92,'Emission Controls'!$A$20:$L$33,12,),1)*('Table 5-A| Criteria MPTE'!O173*'Table 7-A| Facility-Wide APTE'!$C85/'Table 5-A| Criteria MPTE'!$E173),""),'Table 6-B| Emission Limits'!N42)</f>
        <v/>
      </c>
    </row>
    <row r="86" spans="1:13" ht="18" customHeight="1" x14ac:dyDescent="0.25">
      <c r="A86" s="308">
        <f>IF(ISBLANK('Table 3-A| Emission Units'!A116),0,'Table 5-A| Criteria MPTE'!A174)</f>
        <v>0</v>
      </c>
      <c r="B86" s="309">
        <f>IF(A86=0,0,'Table 3-A| Emission Units'!C116)</f>
        <v>0</v>
      </c>
      <c r="C86" s="311">
        <f>IF(ISBLANK('Table 6-A| Controls &amp; Limits'!C93),0,IF('Table 6-A| Controls &amp; Limits'!C93="No",'Table 6-A| Controls &amp; Limits'!D93,'Table 6-A| Controls &amp; Limits'!E93))</f>
        <v>0</v>
      </c>
      <c r="D86" s="398" t="str">
        <f>IF(C86=0,"",'Table 6-A| Controls &amp; Limits'!F93)</f>
        <v/>
      </c>
      <c r="E86" s="399" t="str">
        <f>IF('Table 6-B| Emission Limits'!E43=0,IFERROR(IFERROR(1-VLOOKUP('Table 6-A| Controls &amp; Limits'!$K93,'Emission Controls'!$A$20:$L$33,4,),1)*('Table 5-A| Criteria MPTE'!G174*'Table 7-A| Facility-Wide APTE'!$C86/'Table 5-A| Criteria MPTE'!$E174),""),'Table 6-B| Emission Limits'!E43)</f>
        <v/>
      </c>
      <c r="F86" s="400" t="str">
        <f>IF('Table 6-B| Emission Limits'!F43=0,IFERROR(IFERROR(1-VLOOKUP('Table 6-A| Controls &amp; Limits'!$K93,'Emission Controls'!$A$20:$L$33,5,),1)*('Table 5-A| Criteria MPTE'!H174*'Table 7-A| Facility-Wide APTE'!$C86/'Table 5-A| Criteria MPTE'!$E174),""),'Table 6-B| Emission Limits'!F43)</f>
        <v/>
      </c>
      <c r="G86" s="400" t="str">
        <f>IF('Table 6-B| Emission Limits'!G43=0,IFERROR(IFERROR(1-VLOOKUP('Table 6-A| Controls &amp; Limits'!$K93,'Emission Controls'!$A$20:$L$33,6,),1)*('Table 5-A| Criteria MPTE'!I174*'Table 7-A| Facility-Wide APTE'!$C86/'Table 5-A| Criteria MPTE'!$E174),""),'Table 6-B| Emission Limits'!G43)</f>
        <v/>
      </c>
      <c r="H86" s="400" t="str">
        <f>IF('Table 6-B| Emission Limits'!H43=0,IFERROR(IFERROR(1-VLOOKUP('Table 6-A| Controls &amp; Limits'!$K93,'Emission Controls'!$A$20:$L$33,7,),1)*('Table 5-A| Criteria MPTE'!J174*'Table 7-A| Facility-Wide APTE'!$C86/'Table 5-A| Criteria MPTE'!$E174),""),'Table 6-B| Emission Limits'!H43)</f>
        <v/>
      </c>
      <c r="I86" s="400" t="str">
        <f>IF('Table 6-B| Emission Limits'!I43=0,IFERROR(IFERROR(1-VLOOKUP('Table 6-A| Controls &amp; Limits'!$K93,'Emission Controls'!$A$20:$L$33,8,),1)*('Table 5-A| Criteria MPTE'!K174*'Table 7-A| Facility-Wide APTE'!$C86/'Table 5-A| Criteria MPTE'!$E174),""),'Table 6-B| Emission Limits'!I43)</f>
        <v/>
      </c>
      <c r="J86" s="400" t="str">
        <f>IF('Table 6-B| Emission Limits'!J43=0,IFERROR(IFERROR(1-VLOOKUP('Table 6-A| Controls &amp; Limits'!$K93,'Emission Controls'!$A$20:$L$33,9,),1)*('Table 5-A| Criteria MPTE'!L174*'Table 7-A| Facility-Wide APTE'!$C86/'Table 5-A| Criteria MPTE'!$E174),""),'Table 6-B| Emission Limits'!J43)</f>
        <v/>
      </c>
      <c r="K86" s="400" t="str">
        <f>IF('Table 6-B| Emission Limits'!K43=0,IFERROR(IFERROR(1-VLOOKUP('Table 6-A| Controls &amp; Limits'!$K93,'Emission Controls'!$A$20:$L$33,10,),1)*('Table 5-A| Criteria MPTE'!M174*'Table 7-A| Facility-Wide APTE'!$C86/'Table 5-A| Criteria MPTE'!$E174),""),'Table 6-B| Emission Limits'!K43)</f>
        <v/>
      </c>
      <c r="L86" s="400" t="str">
        <f>IF('Table 6-B| Emission Limits'!L43=0,IFERROR(IFERROR(1-VLOOKUP('Table 6-A| Controls &amp; Limits'!$K93,'Emission Controls'!$A$20:$L$33,11,),1)*('Table 5-A| Criteria MPTE'!N174*'Table 7-A| Facility-Wide APTE'!$C86/'Table 5-A| Criteria MPTE'!$E174),""),'Table 6-B| Emission Limits'!L43)</f>
        <v/>
      </c>
      <c r="M86" s="401" t="str">
        <f>IF('Table 6-B| Emission Limits'!N43=0,IFERROR(IFERROR(1-VLOOKUP('Table 6-A| Controls &amp; Limits'!$K93,'Emission Controls'!$A$20:$L$33,12,),1)*('Table 5-A| Criteria MPTE'!O174*'Table 7-A| Facility-Wide APTE'!$C86/'Table 5-A| Criteria MPTE'!$E174),""),'Table 6-B| Emission Limits'!N43)</f>
        <v/>
      </c>
    </row>
    <row r="87" spans="1:13" ht="18" customHeight="1" x14ac:dyDescent="0.25">
      <c r="A87" s="308">
        <f>IF(ISBLANK('Table 3-A| Emission Units'!A117),0,'Table 5-A| Criteria MPTE'!A175)</f>
        <v>0</v>
      </c>
      <c r="B87" s="309">
        <f>IF(A87=0,0,'Table 3-A| Emission Units'!C117)</f>
        <v>0</v>
      </c>
      <c r="C87" s="311">
        <f>IF(ISBLANK('Table 6-A| Controls &amp; Limits'!C94),0,IF('Table 6-A| Controls &amp; Limits'!C94="No",'Table 6-A| Controls &amp; Limits'!D94,'Table 6-A| Controls &amp; Limits'!E94))</f>
        <v>0</v>
      </c>
      <c r="D87" s="398" t="str">
        <f>IF(C87=0,"",'Table 6-A| Controls &amp; Limits'!F94)</f>
        <v/>
      </c>
      <c r="E87" s="399" t="str">
        <f>IF('Table 6-B| Emission Limits'!E44=0,IFERROR(IFERROR(1-VLOOKUP('Table 6-A| Controls &amp; Limits'!$K94,'Emission Controls'!$A$20:$L$33,4,),1)*('Table 5-A| Criteria MPTE'!G175*'Table 7-A| Facility-Wide APTE'!$C87/'Table 5-A| Criteria MPTE'!$E175),""),'Table 6-B| Emission Limits'!E44)</f>
        <v/>
      </c>
      <c r="F87" s="400" t="str">
        <f>IF('Table 6-B| Emission Limits'!F44=0,IFERROR(IFERROR(1-VLOOKUP('Table 6-A| Controls &amp; Limits'!$K94,'Emission Controls'!$A$20:$L$33,5,),1)*('Table 5-A| Criteria MPTE'!H175*'Table 7-A| Facility-Wide APTE'!$C87/'Table 5-A| Criteria MPTE'!$E175),""),'Table 6-B| Emission Limits'!F44)</f>
        <v/>
      </c>
      <c r="G87" s="400" t="str">
        <f>IF('Table 6-B| Emission Limits'!G44=0,IFERROR(IFERROR(1-VLOOKUP('Table 6-A| Controls &amp; Limits'!$K94,'Emission Controls'!$A$20:$L$33,6,),1)*('Table 5-A| Criteria MPTE'!I175*'Table 7-A| Facility-Wide APTE'!$C87/'Table 5-A| Criteria MPTE'!$E175),""),'Table 6-B| Emission Limits'!G44)</f>
        <v/>
      </c>
      <c r="H87" s="400" t="str">
        <f>IF('Table 6-B| Emission Limits'!H44=0,IFERROR(IFERROR(1-VLOOKUP('Table 6-A| Controls &amp; Limits'!$K94,'Emission Controls'!$A$20:$L$33,7,),1)*('Table 5-A| Criteria MPTE'!J175*'Table 7-A| Facility-Wide APTE'!$C87/'Table 5-A| Criteria MPTE'!$E175),""),'Table 6-B| Emission Limits'!H44)</f>
        <v/>
      </c>
      <c r="I87" s="400" t="str">
        <f>IF('Table 6-B| Emission Limits'!I44=0,IFERROR(IFERROR(1-VLOOKUP('Table 6-A| Controls &amp; Limits'!$K94,'Emission Controls'!$A$20:$L$33,8,),1)*('Table 5-A| Criteria MPTE'!K175*'Table 7-A| Facility-Wide APTE'!$C87/'Table 5-A| Criteria MPTE'!$E175),""),'Table 6-B| Emission Limits'!I44)</f>
        <v/>
      </c>
      <c r="J87" s="400" t="str">
        <f>IF('Table 6-B| Emission Limits'!J44=0,IFERROR(IFERROR(1-VLOOKUP('Table 6-A| Controls &amp; Limits'!$K94,'Emission Controls'!$A$20:$L$33,9,),1)*('Table 5-A| Criteria MPTE'!L175*'Table 7-A| Facility-Wide APTE'!$C87/'Table 5-A| Criteria MPTE'!$E175),""),'Table 6-B| Emission Limits'!J44)</f>
        <v/>
      </c>
      <c r="K87" s="400" t="str">
        <f>IF('Table 6-B| Emission Limits'!K44=0,IFERROR(IFERROR(1-VLOOKUP('Table 6-A| Controls &amp; Limits'!$K94,'Emission Controls'!$A$20:$L$33,10,),1)*('Table 5-A| Criteria MPTE'!M175*'Table 7-A| Facility-Wide APTE'!$C87/'Table 5-A| Criteria MPTE'!$E175),""),'Table 6-B| Emission Limits'!K44)</f>
        <v/>
      </c>
      <c r="L87" s="400" t="str">
        <f>IF('Table 6-B| Emission Limits'!L44=0,IFERROR(IFERROR(1-VLOOKUP('Table 6-A| Controls &amp; Limits'!$K94,'Emission Controls'!$A$20:$L$33,11,),1)*('Table 5-A| Criteria MPTE'!N175*'Table 7-A| Facility-Wide APTE'!$C87/'Table 5-A| Criteria MPTE'!$E175),""),'Table 6-B| Emission Limits'!L44)</f>
        <v/>
      </c>
      <c r="M87" s="401" t="str">
        <f>IF('Table 6-B| Emission Limits'!N44=0,IFERROR(IFERROR(1-VLOOKUP('Table 6-A| Controls &amp; Limits'!$K94,'Emission Controls'!$A$20:$L$33,12,),1)*('Table 5-A| Criteria MPTE'!O175*'Table 7-A| Facility-Wide APTE'!$C87/'Table 5-A| Criteria MPTE'!$E175),""),'Table 6-B| Emission Limits'!N44)</f>
        <v/>
      </c>
    </row>
    <row r="88" spans="1:13" ht="18" customHeight="1" x14ac:dyDescent="0.25">
      <c r="A88" s="308">
        <f>IF(ISBLANK('Table 3-A| Emission Units'!A118),0,'Table 5-A| Criteria MPTE'!A176)</f>
        <v>0</v>
      </c>
      <c r="B88" s="309">
        <f>IF(A88=0,0,'Table 3-A| Emission Units'!C118)</f>
        <v>0</v>
      </c>
      <c r="C88" s="311">
        <f>IF(ISBLANK('Table 6-A| Controls &amp; Limits'!C95),0,IF('Table 6-A| Controls &amp; Limits'!C95="No",'Table 6-A| Controls &amp; Limits'!D95,'Table 6-A| Controls &amp; Limits'!E95))</f>
        <v>0</v>
      </c>
      <c r="D88" s="398" t="str">
        <f>IF(C88=0,"",'Table 6-A| Controls &amp; Limits'!F95)</f>
        <v/>
      </c>
      <c r="E88" s="399" t="str">
        <f>IF('Table 6-B| Emission Limits'!E45=0,IFERROR(IFERROR(1-VLOOKUP('Table 6-A| Controls &amp; Limits'!$K95,'Emission Controls'!$A$20:$L$33,4,),1)*('Table 5-A| Criteria MPTE'!G176*'Table 7-A| Facility-Wide APTE'!$C88/'Table 5-A| Criteria MPTE'!$E176),""),'Table 6-B| Emission Limits'!E45)</f>
        <v/>
      </c>
      <c r="F88" s="400" t="str">
        <f>IF('Table 6-B| Emission Limits'!F45=0,IFERROR(IFERROR(1-VLOOKUP('Table 6-A| Controls &amp; Limits'!$K95,'Emission Controls'!$A$20:$L$33,5,),1)*('Table 5-A| Criteria MPTE'!H176*'Table 7-A| Facility-Wide APTE'!$C88/'Table 5-A| Criteria MPTE'!$E176),""),'Table 6-B| Emission Limits'!F45)</f>
        <v/>
      </c>
      <c r="G88" s="400" t="str">
        <f>IF('Table 6-B| Emission Limits'!G45=0,IFERROR(IFERROR(1-VLOOKUP('Table 6-A| Controls &amp; Limits'!$K95,'Emission Controls'!$A$20:$L$33,6,),1)*('Table 5-A| Criteria MPTE'!I176*'Table 7-A| Facility-Wide APTE'!$C88/'Table 5-A| Criteria MPTE'!$E176),""),'Table 6-B| Emission Limits'!G45)</f>
        <v/>
      </c>
      <c r="H88" s="400" t="str">
        <f>IF('Table 6-B| Emission Limits'!H45=0,IFERROR(IFERROR(1-VLOOKUP('Table 6-A| Controls &amp; Limits'!$K95,'Emission Controls'!$A$20:$L$33,7,),1)*('Table 5-A| Criteria MPTE'!J176*'Table 7-A| Facility-Wide APTE'!$C88/'Table 5-A| Criteria MPTE'!$E176),""),'Table 6-B| Emission Limits'!H45)</f>
        <v/>
      </c>
      <c r="I88" s="400" t="str">
        <f>IF('Table 6-B| Emission Limits'!I45=0,IFERROR(IFERROR(1-VLOOKUP('Table 6-A| Controls &amp; Limits'!$K95,'Emission Controls'!$A$20:$L$33,8,),1)*('Table 5-A| Criteria MPTE'!K176*'Table 7-A| Facility-Wide APTE'!$C88/'Table 5-A| Criteria MPTE'!$E176),""),'Table 6-B| Emission Limits'!I45)</f>
        <v/>
      </c>
      <c r="J88" s="400" t="str">
        <f>IF('Table 6-B| Emission Limits'!J45=0,IFERROR(IFERROR(1-VLOOKUP('Table 6-A| Controls &amp; Limits'!$K95,'Emission Controls'!$A$20:$L$33,9,),1)*('Table 5-A| Criteria MPTE'!L176*'Table 7-A| Facility-Wide APTE'!$C88/'Table 5-A| Criteria MPTE'!$E176),""),'Table 6-B| Emission Limits'!J45)</f>
        <v/>
      </c>
      <c r="K88" s="400" t="str">
        <f>IF('Table 6-B| Emission Limits'!K45=0,IFERROR(IFERROR(1-VLOOKUP('Table 6-A| Controls &amp; Limits'!$K95,'Emission Controls'!$A$20:$L$33,10,),1)*('Table 5-A| Criteria MPTE'!M176*'Table 7-A| Facility-Wide APTE'!$C88/'Table 5-A| Criteria MPTE'!$E176),""),'Table 6-B| Emission Limits'!K45)</f>
        <v/>
      </c>
      <c r="L88" s="400" t="str">
        <f>IF('Table 6-B| Emission Limits'!L45=0,IFERROR(IFERROR(1-VLOOKUP('Table 6-A| Controls &amp; Limits'!$K95,'Emission Controls'!$A$20:$L$33,11,),1)*('Table 5-A| Criteria MPTE'!N176*'Table 7-A| Facility-Wide APTE'!$C88/'Table 5-A| Criteria MPTE'!$E176),""),'Table 6-B| Emission Limits'!L45)</f>
        <v/>
      </c>
      <c r="M88" s="401" t="str">
        <f>IF('Table 6-B| Emission Limits'!N45=0,IFERROR(IFERROR(1-VLOOKUP('Table 6-A| Controls &amp; Limits'!$K95,'Emission Controls'!$A$20:$L$33,12,),1)*('Table 5-A| Criteria MPTE'!O176*'Table 7-A| Facility-Wide APTE'!$C88/'Table 5-A| Criteria MPTE'!$E176),""),'Table 6-B| Emission Limits'!N45)</f>
        <v/>
      </c>
    </row>
    <row r="89" spans="1:13" ht="18" customHeight="1" x14ac:dyDescent="0.25">
      <c r="A89" s="308">
        <f>IF(ISBLANK('Table 3-A| Emission Units'!A119),0,'Table 5-A| Criteria MPTE'!A177)</f>
        <v>0</v>
      </c>
      <c r="B89" s="309">
        <f>IF(A89=0,0,'Table 3-A| Emission Units'!C119)</f>
        <v>0</v>
      </c>
      <c r="C89" s="311">
        <f>IF(ISBLANK('Table 6-A| Controls &amp; Limits'!C96),0,IF('Table 6-A| Controls &amp; Limits'!C96="No",'Table 6-A| Controls &amp; Limits'!D96,'Table 6-A| Controls &amp; Limits'!E96))</f>
        <v>0</v>
      </c>
      <c r="D89" s="398" t="str">
        <f>IF(C89=0,"",'Table 6-A| Controls &amp; Limits'!F96)</f>
        <v/>
      </c>
      <c r="E89" s="399" t="str">
        <f>IF('Table 6-B| Emission Limits'!E46=0,IFERROR(IFERROR(1-VLOOKUP('Table 6-A| Controls &amp; Limits'!$K96,'Emission Controls'!$A$20:$L$33,4,),1)*('Table 5-A| Criteria MPTE'!G177*'Table 7-A| Facility-Wide APTE'!$C89/'Table 5-A| Criteria MPTE'!$E177),""),'Table 6-B| Emission Limits'!E46)</f>
        <v/>
      </c>
      <c r="F89" s="400" t="str">
        <f>IF('Table 6-B| Emission Limits'!F46=0,IFERROR(IFERROR(1-VLOOKUP('Table 6-A| Controls &amp; Limits'!$K96,'Emission Controls'!$A$20:$L$33,5,),1)*('Table 5-A| Criteria MPTE'!H177*'Table 7-A| Facility-Wide APTE'!$C89/'Table 5-A| Criteria MPTE'!$E177),""),'Table 6-B| Emission Limits'!F46)</f>
        <v/>
      </c>
      <c r="G89" s="400" t="str">
        <f>IF('Table 6-B| Emission Limits'!G46=0,IFERROR(IFERROR(1-VLOOKUP('Table 6-A| Controls &amp; Limits'!$K96,'Emission Controls'!$A$20:$L$33,6,),1)*('Table 5-A| Criteria MPTE'!I177*'Table 7-A| Facility-Wide APTE'!$C89/'Table 5-A| Criteria MPTE'!$E177),""),'Table 6-B| Emission Limits'!G46)</f>
        <v/>
      </c>
      <c r="H89" s="400" t="str">
        <f>IF('Table 6-B| Emission Limits'!H46=0,IFERROR(IFERROR(1-VLOOKUP('Table 6-A| Controls &amp; Limits'!$K96,'Emission Controls'!$A$20:$L$33,7,),1)*('Table 5-A| Criteria MPTE'!J177*'Table 7-A| Facility-Wide APTE'!$C89/'Table 5-A| Criteria MPTE'!$E177),""),'Table 6-B| Emission Limits'!H46)</f>
        <v/>
      </c>
      <c r="I89" s="400" t="str">
        <f>IF('Table 6-B| Emission Limits'!I46=0,IFERROR(IFERROR(1-VLOOKUP('Table 6-A| Controls &amp; Limits'!$K96,'Emission Controls'!$A$20:$L$33,8,),1)*('Table 5-A| Criteria MPTE'!K177*'Table 7-A| Facility-Wide APTE'!$C89/'Table 5-A| Criteria MPTE'!$E177),""),'Table 6-B| Emission Limits'!I46)</f>
        <v/>
      </c>
      <c r="J89" s="400" t="str">
        <f>IF('Table 6-B| Emission Limits'!J46=0,IFERROR(IFERROR(1-VLOOKUP('Table 6-A| Controls &amp; Limits'!$K96,'Emission Controls'!$A$20:$L$33,9,),1)*('Table 5-A| Criteria MPTE'!L177*'Table 7-A| Facility-Wide APTE'!$C89/'Table 5-A| Criteria MPTE'!$E177),""),'Table 6-B| Emission Limits'!J46)</f>
        <v/>
      </c>
      <c r="K89" s="400" t="str">
        <f>IF('Table 6-B| Emission Limits'!K46=0,IFERROR(IFERROR(1-VLOOKUP('Table 6-A| Controls &amp; Limits'!$K96,'Emission Controls'!$A$20:$L$33,10,),1)*('Table 5-A| Criteria MPTE'!M177*'Table 7-A| Facility-Wide APTE'!$C89/'Table 5-A| Criteria MPTE'!$E177),""),'Table 6-B| Emission Limits'!K46)</f>
        <v/>
      </c>
      <c r="L89" s="400" t="str">
        <f>IF('Table 6-B| Emission Limits'!L46=0,IFERROR(IFERROR(1-VLOOKUP('Table 6-A| Controls &amp; Limits'!$K96,'Emission Controls'!$A$20:$L$33,11,),1)*('Table 5-A| Criteria MPTE'!N177*'Table 7-A| Facility-Wide APTE'!$C89/'Table 5-A| Criteria MPTE'!$E177),""),'Table 6-B| Emission Limits'!L46)</f>
        <v/>
      </c>
      <c r="M89" s="401" t="str">
        <f>IF('Table 6-B| Emission Limits'!N46=0,IFERROR(IFERROR(1-VLOOKUP('Table 6-A| Controls &amp; Limits'!$K96,'Emission Controls'!$A$20:$L$33,12,),1)*('Table 5-A| Criteria MPTE'!O177*'Table 7-A| Facility-Wide APTE'!$C89/'Table 5-A| Criteria MPTE'!$E177),""),'Table 6-B| Emission Limits'!N46)</f>
        <v/>
      </c>
    </row>
    <row r="90" spans="1:13" ht="18" customHeight="1" x14ac:dyDescent="0.25">
      <c r="A90" s="308">
        <f>IF(ISBLANK('Table 3-A| Emission Units'!A120),0,'Table 5-A| Criteria MPTE'!A178)</f>
        <v>0</v>
      </c>
      <c r="B90" s="309">
        <f>IF(A90=0,0,'Table 3-A| Emission Units'!C120)</f>
        <v>0</v>
      </c>
      <c r="C90" s="311">
        <f>IF(ISBLANK('Table 6-A| Controls &amp; Limits'!C97),0,IF('Table 6-A| Controls &amp; Limits'!C97="No",'Table 6-A| Controls &amp; Limits'!D97,'Table 6-A| Controls &amp; Limits'!E97))</f>
        <v>0</v>
      </c>
      <c r="D90" s="398" t="str">
        <f>IF(C90=0,"",'Table 6-A| Controls &amp; Limits'!F97)</f>
        <v/>
      </c>
      <c r="E90" s="399" t="str">
        <f>IF('Table 6-B| Emission Limits'!E47=0,IFERROR(IFERROR(1-VLOOKUP('Table 6-A| Controls &amp; Limits'!$K97,'Emission Controls'!$A$20:$L$33,4,),1)*('Table 5-A| Criteria MPTE'!G178*'Table 7-A| Facility-Wide APTE'!$C90/'Table 5-A| Criteria MPTE'!$E178),""),'Table 6-B| Emission Limits'!E47)</f>
        <v/>
      </c>
      <c r="F90" s="400" t="str">
        <f>IF('Table 6-B| Emission Limits'!F47=0,IFERROR(IFERROR(1-VLOOKUP('Table 6-A| Controls &amp; Limits'!$K97,'Emission Controls'!$A$20:$L$33,5,),1)*('Table 5-A| Criteria MPTE'!H178*'Table 7-A| Facility-Wide APTE'!$C90/'Table 5-A| Criteria MPTE'!$E178),""),'Table 6-B| Emission Limits'!F47)</f>
        <v/>
      </c>
      <c r="G90" s="400" t="str">
        <f>IF('Table 6-B| Emission Limits'!G47=0,IFERROR(IFERROR(1-VLOOKUP('Table 6-A| Controls &amp; Limits'!$K97,'Emission Controls'!$A$20:$L$33,6,),1)*('Table 5-A| Criteria MPTE'!I178*'Table 7-A| Facility-Wide APTE'!$C90/'Table 5-A| Criteria MPTE'!$E178),""),'Table 6-B| Emission Limits'!G47)</f>
        <v/>
      </c>
      <c r="H90" s="400" t="str">
        <f>IF('Table 6-B| Emission Limits'!H47=0,IFERROR(IFERROR(1-VLOOKUP('Table 6-A| Controls &amp; Limits'!$K97,'Emission Controls'!$A$20:$L$33,7,),1)*('Table 5-A| Criteria MPTE'!J178*'Table 7-A| Facility-Wide APTE'!$C90/'Table 5-A| Criteria MPTE'!$E178),""),'Table 6-B| Emission Limits'!H47)</f>
        <v/>
      </c>
      <c r="I90" s="400" t="str">
        <f>IF('Table 6-B| Emission Limits'!I47=0,IFERROR(IFERROR(1-VLOOKUP('Table 6-A| Controls &amp; Limits'!$K97,'Emission Controls'!$A$20:$L$33,8,),1)*('Table 5-A| Criteria MPTE'!K178*'Table 7-A| Facility-Wide APTE'!$C90/'Table 5-A| Criteria MPTE'!$E178),""),'Table 6-B| Emission Limits'!I47)</f>
        <v/>
      </c>
      <c r="J90" s="400" t="str">
        <f>IF('Table 6-B| Emission Limits'!J47=0,IFERROR(IFERROR(1-VLOOKUP('Table 6-A| Controls &amp; Limits'!$K97,'Emission Controls'!$A$20:$L$33,9,),1)*('Table 5-A| Criteria MPTE'!L178*'Table 7-A| Facility-Wide APTE'!$C90/'Table 5-A| Criteria MPTE'!$E178),""),'Table 6-B| Emission Limits'!J47)</f>
        <v/>
      </c>
      <c r="K90" s="400" t="str">
        <f>IF('Table 6-B| Emission Limits'!K47=0,IFERROR(IFERROR(1-VLOOKUP('Table 6-A| Controls &amp; Limits'!$K97,'Emission Controls'!$A$20:$L$33,10,),1)*('Table 5-A| Criteria MPTE'!M178*'Table 7-A| Facility-Wide APTE'!$C90/'Table 5-A| Criteria MPTE'!$E178),""),'Table 6-B| Emission Limits'!K47)</f>
        <v/>
      </c>
      <c r="L90" s="400" t="str">
        <f>IF('Table 6-B| Emission Limits'!L47=0,IFERROR(IFERROR(1-VLOOKUP('Table 6-A| Controls &amp; Limits'!$K97,'Emission Controls'!$A$20:$L$33,11,),1)*('Table 5-A| Criteria MPTE'!N178*'Table 7-A| Facility-Wide APTE'!$C90/'Table 5-A| Criteria MPTE'!$E178),""),'Table 6-B| Emission Limits'!L47)</f>
        <v/>
      </c>
      <c r="M90" s="401" t="str">
        <f>IF('Table 6-B| Emission Limits'!N47=0,IFERROR(IFERROR(1-VLOOKUP('Table 6-A| Controls &amp; Limits'!$K97,'Emission Controls'!$A$20:$L$33,12,),1)*('Table 5-A| Criteria MPTE'!O178*'Table 7-A| Facility-Wide APTE'!$C90/'Table 5-A| Criteria MPTE'!$E178),""),'Table 6-B| Emission Limits'!N47)</f>
        <v/>
      </c>
    </row>
    <row r="91" spans="1:13" ht="18" customHeight="1" x14ac:dyDescent="0.25">
      <c r="A91" s="308">
        <f>IF(ISBLANK('Table 3-A| Emission Units'!A121),0,'Table 5-A| Criteria MPTE'!A179)</f>
        <v>0</v>
      </c>
      <c r="B91" s="309">
        <f>IF(A91=0,0,'Table 3-A| Emission Units'!C121)</f>
        <v>0</v>
      </c>
      <c r="C91" s="311">
        <f>IF(ISBLANK('Table 6-A| Controls &amp; Limits'!C98),0,IF('Table 6-A| Controls &amp; Limits'!C98="No",'Table 6-A| Controls &amp; Limits'!D98,'Table 6-A| Controls &amp; Limits'!E98))</f>
        <v>0</v>
      </c>
      <c r="D91" s="398" t="str">
        <f>IF(C91=0,"",'Table 6-A| Controls &amp; Limits'!F98)</f>
        <v/>
      </c>
      <c r="E91" s="399" t="str">
        <f>IF('Table 6-B| Emission Limits'!E48=0,IFERROR(IFERROR(1-VLOOKUP('Table 6-A| Controls &amp; Limits'!$K98,'Emission Controls'!$A$20:$L$33,4,),1)*('Table 5-A| Criteria MPTE'!G179*'Table 7-A| Facility-Wide APTE'!$C91/'Table 5-A| Criteria MPTE'!$E179),""),'Table 6-B| Emission Limits'!E48)</f>
        <v/>
      </c>
      <c r="F91" s="400" t="str">
        <f>IF('Table 6-B| Emission Limits'!F48=0,IFERROR(IFERROR(1-VLOOKUP('Table 6-A| Controls &amp; Limits'!$K98,'Emission Controls'!$A$20:$L$33,5,),1)*('Table 5-A| Criteria MPTE'!H179*'Table 7-A| Facility-Wide APTE'!$C91/'Table 5-A| Criteria MPTE'!$E179),""),'Table 6-B| Emission Limits'!F48)</f>
        <v/>
      </c>
      <c r="G91" s="400" t="str">
        <f>IF('Table 6-B| Emission Limits'!G48=0,IFERROR(IFERROR(1-VLOOKUP('Table 6-A| Controls &amp; Limits'!$K98,'Emission Controls'!$A$20:$L$33,6,),1)*('Table 5-A| Criteria MPTE'!I179*'Table 7-A| Facility-Wide APTE'!$C91/'Table 5-A| Criteria MPTE'!$E179),""),'Table 6-B| Emission Limits'!G48)</f>
        <v/>
      </c>
      <c r="H91" s="400" t="str">
        <f>IF('Table 6-B| Emission Limits'!H48=0,IFERROR(IFERROR(1-VLOOKUP('Table 6-A| Controls &amp; Limits'!$K98,'Emission Controls'!$A$20:$L$33,7,),1)*('Table 5-A| Criteria MPTE'!J179*'Table 7-A| Facility-Wide APTE'!$C91/'Table 5-A| Criteria MPTE'!$E179),""),'Table 6-B| Emission Limits'!H48)</f>
        <v/>
      </c>
      <c r="I91" s="400" t="str">
        <f>IF('Table 6-B| Emission Limits'!I48=0,IFERROR(IFERROR(1-VLOOKUP('Table 6-A| Controls &amp; Limits'!$K98,'Emission Controls'!$A$20:$L$33,8,),1)*('Table 5-A| Criteria MPTE'!K179*'Table 7-A| Facility-Wide APTE'!$C91/'Table 5-A| Criteria MPTE'!$E179),""),'Table 6-B| Emission Limits'!I48)</f>
        <v/>
      </c>
      <c r="J91" s="400" t="str">
        <f>IF('Table 6-B| Emission Limits'!J48=0,IFERROR(IFERROR(1-VLOOKUP('Table 6-A| Controls &amp; Limits'!$K98,'Emission Controls'!$A$20:$L$33,9,),1)*('Table 5-A| Criteria MPTE'!L179*'Table 7-A| Facility-Wide APTE'!$C91/'Table 5-A| Criteria MPTE'!$E179),""),'Table 6-B| Emission Limits'!J48)</f>
        <v/>
      </c>
      <c r="K91" s="400" t="str">
        <f>IF('Table 6-B| Emission Limits'!K48=0,IFERROR(IFERROR(1-VLOOKUP('Table 6-A| Controls &amp; Limits'!$K98,'Emission Controls'!$A$20:$L$33,10,),1)*('Table 5-A| Criteria MPTE'!M179*'Table 7-A| Facility-Wide APTE'!$C91/'Table 5-A| Criteria MPTE'!$E179),""),'Table 6-B| Emission Limits'!K48)</f>
        <v/>
      </c>
      <c r="L91" s="400" t="str">
        <f>IF('Table 6-B| Emission Limits'!L48=0,IFERROR(IFERROR(1-VLOOKUP('Table 6-A| Controls &amp; Limits'!$K98,'Emission Controls'!$A$20:$L$33,11,),1)*('Table 5-A| Criteria MPTE'!N179*'Table 7-A| Facility-Wide APTE'!$C91/'Table 5-A| Criteria MPTE'!$E179),""),'Table 6-B| Emission Limits'!L48)</f>
        <v/>
      </c>
      <c r="M91" s="401" t="str">
        <f>IF('Table 6-B| Emission Limits'!N48=0,IFERROR(IFERROR(1-VLOOKUP('Table 6-A| Controls &amp; Limits'!$K98,'Emission Controls'!$A$20:$L$33,12,),1)*('Table 5-A| Criteria MPTE'!O179*'Table 7-A| Facility-Wide APTE'!$C91/'Table 5-A| Criteria MPTE'!$E179),""),'Table 6-B| Emission Limits'!N48)</f>
        <v/>
      </c>
    </row>
    <row r="92" spans="1:13" ht="18" customHeight="1" x14ac:dyDescent="0.25">
      <c r="A92" s="308">
        <f>IF(ISBLANK('Table 3-A| Emission Units'!A122),0,'Table 5-A| Criteria MPTE'!A180)</f>
        <v>0</v>
      </c>
      <c r="B92" s="309">
        <f>IF(A92=0,0,'Table 3-A| Emission Units'!C122)</f>
        <v>0</v>
      </c>
      <c r="C92" s="311">
        <f>IF(ISBLANK('Table 6-A| Controls &amp; Limits'!C99),0,IF('Table 6-A| Controls &amp; Limits'!C99="No",'Table 6-A| Controls &amp; Limits'!D99,'Table 6-A| Controls &amp; Limits'!E99))</f>
        <v>0</v>
      </c>
      <c r="D92" s="398" t="str">
        <f>IF(C92=0,"",'Table 6-A| Controls &amp; Limits'!F99)</f>
        <v/>
      </c>
      <c r="E92" s="399" t="str">
        <f>IF('Table 6-B| Emission Limits'!E49=0,IFERROR(IFERROR(1-VLOOKUP('Table 6-A| Controls &amp; Limits'!$K99,'Emission Controls'!$A$20:$L$33,4,),1)*('Table 5-A| Criteria MPTE'!G180*'Table 7-A| Facility-Wide APTE'!$C92/'Table 5-A| Criteria MPTE'!$E180),""),'Table 6-B| Emission Limits'!E49)</f>
        <v/>
      </c>
      <c r="F92" s="400" t="str">
        <f>IF('Table 6-B| Emission Limits'!F49=0,IFERROR(IFERROR(1-VLOOKUP('Table 6-A| Controls &amp; Limits'!$K99,'Emission Controls'!$A$20:$L$33,5,),1)*('Table 5-A| Criteria MPTE'!H180*'Table 7-A| Facility-Wide APTE'!$C92/'Table 5-A| Criteria MPTE'!$E180),""),'Table 6-B| Emission Limits'!F49)</f>
        <v/>
      </c>
      <c r="G92" s="400" t="str">
        <f>IF('Table 6-B| Emission Limits'!G49=0,IFERROR(IFERROR(1-VLOOKUP('Table 6-A| Controls &amp; Limits'!$K99,'Emission Controls'!$A$20:$L$33,6,),1)*('Table 5-A| Criteria MPTE'!I180*'Table 7-A| Facility-Wide APTE'!$C92/'Table 5-A| Criteria MPTE'!$E180),""),'Table 6-B| Emission Limits'!G49)</f>
        <v/>
      </c>
      <c r="H92" s="400" t="str">
        <f>IF('Table 6-B| Emission Limits'!H49=0,IFERROR(IFERROR(1-VLOOKUP('Table 6-A| Controls &amp; Limits'!$K99,'Emission Controls'!$A$20:$L$33,7,),1)*('Table 5-A| Criteria MPTE'!J180*'Table 7-A| Facility-Wide APTE'!$C92/'Table 5-A| Criteria MPTE'!$E180),""),'Table 6-B| Emission Limits'!H49)</f>
        <v/>
      </c>
      <c r="I92" s="400" t="str">
        <f>IF('Table 6-B| Emission Limits'!I49=0,IFERROR(IFERROR(1-VLOOKUP('Table 6-A| Controls &amp; Limits'!$K99,'Emission Controls'!$A$20:$L$33,8,),1)*('Table 5-A| Criteria MPTE'!K180*'Table 7-A| Facility-Wide APTE'!$C92/'Table 5-A| Criteria MPTE'!$E180),""),'Table 6-B| Emission Limits'!I49)</f>
        <v/>
      </c>
      <c r="J92" s="400" t="str">
        <f>IF('Table 6-B| Emission Limits'!J49=0,IFERROR(IFERROR(1-VLOOKUP('Table 6-A| Controls &amp; Limits'!$K99,'Emission Controls'!$A$20:$L$33,9,),1)*('Table 5-A| Criteria MPTE'!L180*'Table 7-A| Facility-Wide APTE'!$C92/'Table 5-A| Criteria MPTE'!$E180),""),'Table 6-B| Emission Limits'!J49)</f>
        <v/>
      </c>
      <c r="K92" s="400" t="str">
        <f>IF('Table 6-B| Emission Limits'!K49=0,IFERROR(IFERROR(1-VLOOKUP('Table 6-A| Controls &amp; Limits'!$K99,'Emission Controls'!$A$20:$L$33,10,),1)*('Table 5-A| Criteria MPTE'!M180*'Table 7-A| Facility-Wide APTE'!$C92/'Table 5-A| Criteria MPTE'!$E180),""),'Table 6-B| Emission Limits'!K49)</f>
        <v/>
      </c>
      <c r="L92" s="400" t="str">
        <f>IF('Table 6-B| Emission Limits'!L49=0,IFERROR(IFERROR(1-VLOOKUP('Table 6-A| Controls &amp; Limits'!$K99,'Emission Controls'!$A$20:$L$33,11,),1)*('Table 5-A| Criteria MPTE'!N180*'Table 7-A| Facility-Wide APTE'!$C92/'Table 5-A| Criteria MPTE'!$E180),""),'Table 6-B| Emission Limits'!L49)</f>
        <v/>
      </c>
      <c r="M92" s="401" t="str">
        <f>IF('Table 6-B| Emission Limits'!N49=0,IFERROR(IFERROR(1-VLOOKUP('Table 6-A| Controls &amp; Limits'!$K99,'Emission Controls'!$A$20:$L$33,12,),1)*('Table 5-A| Criteria MPTE'!O180*'Table 7-A| Facility-Wide APTE'!$C92/'Table 5-A| Criteria MPTE'!$E180),""),'Table 6-B| Emission Limits'!N49)</f>
        <v/>
      </c>
    </row>
    <row r="93" spans="1:13" ht="18" customHeight="1" x14ac:dyDescent="0.25">
      <c r="A93" s="308">
        <f>IF(ISBLANK('Table 3-A| Emission Units'!A123),0,'Table 5-A| Criteria MPTE'!A181)</f>
        <v>0</v>
      </c>
      <c r="B93" s="309">
        <f>IF(A93=0,0,'Table 3-A| Emission Units'!C123)</f>
        <v>0</v>
      </c>
      <c r="C93" s="311">
        <f>IF(ISBLANK('Table 6-A| Controls &amp; Limits'!C100),0,IF('Table 6-A| Controls &amp; Limits'!C100="No",'Table 6-A| Controls &amp; Limits'!D100,'Table 6-A| Controls &amp; Limits'!E100))</f>
        <v>0</v>
      </c>
      <c r="D93" s="398" t="str">
        <f>IF(C93=0,"",'Table 6-A| Controls &amp; Limits'!F100)</f>
        <v/>
      </c>
      <c r="E93" s="399" t="str">
        <f>IF('Table 6-B| Emission Limits'!E50=0,IFERROR(IFERROR(1-VLOOKUP('Table 6-A| Controls &amp; Limits'!$K100,'Emission Controls'!$A$20:$L$33,4,),1)*('Table 5-A| Criteria MPTE'!G181*'Table 7-A| Facility-Wide APTE'!$C93/'Table 5-A| Criteria MPTE'!$E181),""),'Table 6-B| Emission Limits'!E50)</f>
        <v/>
      </c>
      <c r="F93" s="400" t="str">
        <f>IF('Table 6-B| Emission Limits'!F50=0,IFERROR(IFERROR(1-VLOOKUP('Table 6-A| Controls &amp; Limits'!$K100,'Emission Controls'!$A$20:$L$33,5,),1)*('Table 5-A| Criteria MPTE'!H181*'Table 7-A| Facility-Wide APTE'!$C93/'Table 5-A| Criteria MPTE'!$E181),""),'Table 6-B| Emission Limits'!F50)</f>
        <v/>
      </c>
      <c r="G93" s="400" t="str">
        <f>IF('Table 6-B| Emission Limits'!G50=0,IFERROR(IFERROR(1-VLOOKUP('Table 6-A| Controls &amp; Limits'!$K100,'Emission Controls'!$A$20:$L$33,6,),1)*('Table 5-A| Criteria MPTE'!I181*'Table 7-A| Facility-Wide APTE'!$C93/'Table 5-A| Criteria MPTE'!$E181),""),'Table 6-B| Emission Limits'!G50)</f>
        <v/>
      </c>
      <c r="H93" s="400" t="str">
        <f>IF('Table 6-B| Emission Limits'!H50=0,IFERROR(IFERROR(1-VLOOKUP('Table 6-A| Controls &amp; Limits'!$K100,'Emission Controls'!$A$20:$L$33,7,),1)*('Table 5-A| Criteria MPTE'!J181*'Table 7-A| Facility-Wide APTE'!$C93/'Table 5-A| Criteria MPTE'!$E181),""),'Table 6-B| Emission Limits'!H50)</f>
        <v/>
      </c>
      <c r="I93" s="400" t="str">
        <f>IF('Table 6-B| Emission Limits'!I50=0,IFERROR(IFERROR(1-VLOOKUP('Table 6-A| Controls &amp; Limits'!$K100,'Emission Controls'!$A$20:$L$33,8,),1)*('Table 5-A| Criteria MPTE'!K181*'Table 7-A| Facility-Wide APTE'!$C93/'Table 5-A| Criteria MPTE'!$E181),""),'Table 6-B| Emission Limits'!I50)</f>
        <v/>
      </c>
      <c r="J93" s="400" t="str">
        <f>IF('Table 6-B| Emission Limits'!J50=0,IFERROR(IFERROR(1-VLOOKUP('Table 6-A| Controls &amp; Limits'!$K100,'Emission Controls'!$A$20:$L$33,9,),1)*('Table 5-A| Criteria MPTE'!L181*'Table 7-A| Facility-Wide APTE'!$C93/'Table 5-A| Criteria MPTE'!$E181),""),'Table 6-B| Emission Limits'!J50)</f>
        <v/>
      </c>
      <c r="K93" s="400" t="str">
        <f>IF('Table 6-B| Emission Limits'!K50=0,IFERROR(IFERROR(1-VLOOKUP('Table 6-A| Controls &amp; Limits'!$K100,'Emission Controls'!$A$20:$L$33,10,),1)*('Table 5-A| Criteria MPTE'!M181*'Table 7-A| Facility-Wide APTE'!$C93/'Table 5-A| Criteria MPTE'!$E181),""),'Table 6-B| Emission Limits'!K50)</f>
        <v/>
      </c>
      <c r="L93" s="400" t="str">
        <f>IF('Table 6-B| Emission Limits'!L50=0,IFERROR(IFERROR(1-VLOOKUP('Table 6-A| Controls &amp; Limits'!$K100,'Emission Controls'!$A$20:$L$33,11,),1)*('Table 5-A| Criteria MPTE'!N181*'Table 7-A| Facility-Wide APTE'!$C93/'Table 5-A| Criteria MPTE'!$E181),""),'Table 6-B| Emission Limits'!L50)</f>
        <v/>
      </c>
      <c r="M93" s="401" t="str">
        <f>IF('Table 6-B| Emission Limits'!N50=0,IFERROR(IFERROR(1-VLOOKUP('Table 6-A| Controls &amp; Limits'!$K100,'Emission Controls'!$A$20:$L$33,12,),1)*('Table 5-A| Criteria MPTE'!O181*'Table 7-A| Facility-Wide APTE'!$C93/'Table 5-A| Criteria MPTE'!$E181),""),'Table 6-B| Emission Limits'!N50)</f>
        <v/>
      </c>
    </row>
    <row r="94" spans="1:13" ht="18" customHeight="1" x14ac:dyDescent="0.25">
      <c r="A94" s="308">
        <f>IF(ISBLANK('Table 3-A| Emission Units'!A124),0,'Table 5-A| Criteria MPTE'!A182)</f>
        <v>0</v>
      </c>
      <c r="B94" s="309">
        <f>IF(A94=0,0,'Table 3-A| Emission Units'!C124)</f>
        <v>0</v>
      </c>
      <c r="C94" s="311">
        <f>IF(ISBLANK('Table 6-A| Controls &amp; Limits'!C101),0,IF('Table 6-A| Controls &amp; Limits'!C101="No",'Table 6-A| Controls &amp; Limits'!D101,'Table 6-A| Controls &amp; Limits'!E101))</f>
        <v>0</v>
      </c>
      <c r="D94" s="398" t="str">
        <f>IF(C94=0,"",'Table 6-A| Controls &amp; Limits'!F101)</f>
        <v/>
      </c>
      <c r="E94" s="399" t="str">
        <f>IF('Table 6-B| Emission Limits'!E51=0,IFERROR(IFERROR(1-VLOOKUP('Table 6-A| Controls &amp; Limits'!$K101,'Emission Controls'!$A$20:$L$33,4,),1)*('Table 5-A| Criteria MPTE'!G182*'Table 7-A| Facility-Wide APTE'!$C94/'Table 5-A| Criteria MPTE'!$E182),""),'Table 6-B| Emission Limits'!E51)</f>
        <v/>
      </c>
      <c r="F94" s="400" t="str">
        <f>IF('Table 6-B| Emission Limits'!F51=0,IFERROR(IFERROR(1-VLOOKUP('Table 6-A| Controls &amp; Limits'!$K101,'Emission Controls'!$A$20:$L$33,5,),1)*('Table 5-A| Criteria MPTE'!H182*'Table 7-A| Facility-Wide APTE'!$C94/'Table 5-A| Criteria MPTE'!$E182),""),'Table 6-B| Emission Limits'!F51)</f>
        <v/>
      </c>
      <c r="G94" s="400" t="str">
        <f>IF('Table 6-B| Emission Limits'!G51=0,IFERROR(IFERROR(1-VLOOKUP('Table 6-A| Controls &amp; Limits'!$K101,'Emission Controls'!$A$20:$L$33,6,),1)*('Table 5-A| Criteria MPTE'!I182*'Table 7-A| Facility-Wide APTE'!$C94/'Table 5-A| Criteria MPTE'!$E182),""),'Table 6-B| Emission Limits'!G51)</f>
        <v/>
      </c>
      <c r="H94" s="400" t="str">
        <f>IF('Table 6-B| Emission Limits'!H51=0,IFERROR(IFERROR(1-VLOOKUP('Table 6-A| Controls &amp; Limits'!$K101,'Emission Controls'!$A$20:$L$33,7,),1)*('Table 5-A| Criteria MPTE'!J182*'Table 7-A| Facility-Wide APTE'!$C94/'Table 5-A| Criteria MPTE'!$E182),""),'Table 6-B| Emission Limits'!H51)</f>
        <v/>
      </c>
      <c r="I94" s="400" t="str">
        <f>IF('Table 6-B| Emission Limits'!I51=0,IFERROR(IFERROR(1-VLOOKUP('Table 6-A| Controls &amp; Limits'!$K101,'Emission Controls'!$A$20:$L$33,8,),1)*('Table 5-A| Criteria MPTE'!K182*'Table 7-A| Facility-Wide APTE'!$C94/'Table 5-A| Criteria MPTE'!$E182),""),'Table 6-B| Emission Limits'!I51)</f>
        <v/>
      </c>
      <c r="J94" s="400" t="str">
        <f>IF('Table 6-B| Emission Limits'!J51=0,IFERROR(IFERROR(1-VLOOKUP('Table 6-A| Controls &amp; Limits'!$K101,'Emission Controls'!$A$20:$L$33,9,),1)*('Table 5-A| Criteria MPTE'!L182*'Table 7-A| Facility-Wide APTE'!$C94/'Table 5-A| Criteria MPTE'!$E182),""),'Table 6-B| Emission Limits'!J51)</f>
        <v/>
      </c>
      <c r="K94" s="400" t="str">
        <f>IF('Table 6-B| Emission Limits'!K51=0,IFERROR(IFERROR(1-VLOOKUP('Table 6-A| Controls &amp; Limits'!$K101,'Emission Controls'!$A$20:$L$33,10,),1)*('Table 5-A| Criteria MPTE'!M182*'Table 7-A| Facility-Wide APTE'!$C94/'Table 5-A| Criteria MPTE'!$E182),""),'Table 6-B| Emission Limits'!K51)</f>
        <v/>
      </c>
      <c r="L94" s="400" t="str">
        <f>IF('Table 6-B| Emission Limits'!L51=0,IFERROR(IFERROR(1-VLOOKUP('Table 6-A| Controls &amp; Limits'!$K101,'Emission Controls'!$A$20:$L$33,11,),1)*('Table 5-A| Criteria MPTE'!N182*'Table 7-A| Facility-Wide APTE'!$C94/'Table 5-A| Criteria MPTE'!$E182),""),'Table 6-B| Emission Limits'!L51)</f>
        <v/>
      </c>
      <c r="M94" s="401" t="str">
        <f>IF('Table 6-B| Emission Limits'!N51=0,IFERROR(IFERROR(1-VLOOKUP('Table 6-A| Controls &amp; Limits'!$K101,'Emission Controls'!$A$20:$L$33,12,),1)*('Table 5-A| Criteria MPTE'!O182*'Table 7-A| Facility-Wide APTE'!$C94/'Table 5-A| Criteria MPTE'!$E182),""),'Table 6-B| Emission Limits'!N51)</f>
        <v/>
      </c>
    </row>
    <row r="95" spans="1:13" ht="18" customHeight="1" x14ac:dyDescent="0.25">
      <c r="A95" s="308">
        <f>IF(ISBLANK('Table 3-A| Emission Units'!A125),0,'Table 5-A| Criteria MPTE'!A183)</f>
        <v>0</v>
      </c>
      <c r="B95" s="309">
        <f>IF(A95=0,0,'Table 3-A| Emission Units'!C125)</f>
        <v>0</v>
      </c>
      <c r="C95" s="311">
        <f>IF(ISBLANK('Table 6-A| Controls &amp; Limits'!C102),0,IF('Table 6-A| Controls &amp; Limits'!C102="No",'Table 6-A| Controls &amp; Limits'!D102,'Table 6-A| Controls &amp; Limits'!E102))</f>
        <v>0</v>
      </c>
      <c r="D95" s="398" t="str">
        <f>IF(C95=0,"",'Table 6-A| Controls &amp; Limits'!F102)</f>
        <v/>
      </c>
      <c r="E95" s="399" t="str">
        <f>IF('Table 6-B| Emission Limits'!E52=0,IFERROR(IFERROR(1-VLOOKUP('Table 6-A| Controls &amp; Limits'!$K102,'Emission Controls'!$A$20:$L$33,4,),1)*('Table 5-A| Criteria MPTE'!G183*'Table 7-A| Facility-Wide APTE'!$C95/'Table 5-A| Criteria MPTE'!$E183),""),'Table 6-B| Emission Limits'!E52)</f>
        <v/>
      </c>
      <c r="F95" s="400" t="str">
        <f>IF('Table 6-B| Emission Limits'!F52=0,IFERROR(IFERROR(1-VLOOKUP('Table 6-A| Controls &amp; Limits'!$K102,'Emission Controls'!$A$20:$L$33,5,),1)*('Table 5-A| Criteria MPTE'!H183*'Table 7-A| Facility-Wide APTE'!$C95/'Table 5-A| Criteria MPTE'!$E183),""),'Table 6-B| Emission Limits'!F52)</f>
        <v/>
      </c>
      <c r="G95" s="400" t="str">
        <f>IF('Table 6-B| Emission Limits'!G52=0,IFERROR(IFERROR(1-VLOOKUP('Table 6-A| Controls &amp; Limits'!$K102,'Emission Controls'!$A$20:$L$33,6,),1)*('Table 5-A| Criteria MPTE'!I183*'Table 7-A| Facility-Wide APTE'!$C95/'Table 5-A| Criteria MPTE'!$E183),""),'Table 6-B| Emission Limits'!G52)</f>
        <v/>
      </c>
      <c r="H95" s="400" t="str">
        <f>IF('Table 6-B| Emission Limits'!H52=0,IFERROR(IFERROR(1-VLOOKUP('Table 6-A| Controls &amp; Limits'!$K102,'Emission Controls'!$A$20:$L$33,7,),1)*('Table 5-A| Criteria MPTE'!J183*'Table 7-A| Facility-Wide APTE'!$C95/'Table 5-A| Criteria MPTE'!$E183),""),'Table 6-B| Emission Limits'!H52)</f>
        <v/>
      </c>
      <c r="I95" s="400" t="str">
        <f>IF('Table 6-B| Emission Limits'!I52=0,IFERROR(IFERROR(1-VLOOKUP('Table 6-A| Controls &amp; Limits'!$K102,'Emission Controls'!$A$20:$L$33,8,),1)*('Table 5-A| Criteria MPTE'!K183*'Table 7-A| Facility-Wide APTE'!$C95/'Table 5-A| Criteria MPTE'!$E183),""),'Table 6-B| Emission Limits'!I52)</f>
        <v/>
      </c>
      <c r="J95" s="400" t="str">
        <f>IF('Table 6-B| Emission Limits'!J52=0,IFERROR(IFERROR(1-VLOOKUP('Table 6-A| Controls &amp; Limits'!$K102,'Emission Controls'!$A$20:$L$33,9,),1)*('Table 5-A| Criteria MPTE'!L183*'Table 7-A| Facility-Wide APTE'!$C95/'Table 5-A| Criteria MPTE'!$E183),""),'Table 6-B| Emission Limits'!J52)</f>
        <v/>
      </c>
      <c r="K95" s="400" t="str">
        <f>IF('Table 6-B| Emission Limits'!K52=0,IFERROR(IFERROR(1-VLOOKUP('Table 6-A| Controls &amp; Limits'!$K102,'Emission Controls'!$A$20:$L$33,10,),1)*('Table 5-A| Criteria MPTE'!M183*'Table 7-A| Facility-Wide APTE'!$C95/'Table 5-A| Criteria MPTE'!$E183),""),'Table 6-B| Emission Limits'!K52)</f>
        <v/>
      </c>
      <c r="L95" s="400" t="str">
        <f>IF('Table 6-B| Emission Limits'!L52=0,IFERROR(IFERROR(1-VLOOKUP('Table 6-A| Controls &amp; Limits'!$K102,'Emission Controls'!$A$20:$L$33,11,),1)*('Table 5-A| Criteria MPTE'!N183*'Table 7-A| Facility-Wide APTE'!$C95/'Table 5-A| Criteria MPTE'!$E183),""),'Table 6-B| Emission Limits'!L52)</f>
        <v/>
      </c>
      <c r="M95" s="401" t="str">
        <f>IF('Table 6-B| Emission Limits'!N52=0,IFERROR(IFERROR(1-VLOOKUP('Table 6-A| Controls &amp; Limits'!$K102,'Emission Controls'!$A$20:$L$33,12,),1)*('Table 5-A| Criteria MPTE'!O183*'Table 7-A| Facility-Wide APTE'!$C95/'Table 5-A| Criteria MPTE'!$E183),""),'Table 6-B| Emission Limits'!N52)</f>
        <v/>
      </c>
    </row>
    <row r="96" spans="1:13" ht="18" customHeight="1" x14ac:dyDescent="0.25">
      <c r="A96" s="308">
        <f>IF(ISBLANK('Table 3-A| Emission Units'!A126),0,'Table 5-A| Criteria MPTE'!A184)</f>
        <v>0</v>
      </c>
      <c r="B96" s="309">
        <f>IF(A96=0,0,'Table 3-A| Emission Units'!C126)</f>
        <v>0</v>
      </c>
      <c r="C96" s="311">
        <f>IF(ISBLANK('Table 6-A| Controls &amp; Limits'!C103),0,IF('Table 6-A| Controls &amp; Limits'!C103="No",'Table 6-A| Controls &amp; Limits'!D103,'Table 6-A| Controls &amp; Limits'!E103))</f>
        <v>0</v>
      </c>
      <c r="D96" s="398" t="str">
        <f>IF(C96=0,"",'Table 6-A| Controls &amp; Limits'!F103)</f>
        <v/>
      </c>
      <c r="E96" s="399" t="str">
        <f>IF('Table 6-B| Emission Limits'!E53=0,IFERROR(IFERROR(1-VLOOKUP('Table 6-A| Controls &amp; Limits'!$K103,'Emission Controls'!$A$20:$L$33,4,),1)*('Table 5-A| Criteria MPTE'!G184*'Table 7-A| Facility-Wide APTE'!$C96/'Table 5-A| Criteria MPTE'!$E184),""),'Table 6-B| Emission Limits'!E53)</f>
        <v/>
      </c>
      <c r="F96" s="400" t="str">
        <f>IF('Table 6-B| Emission Limits'!F53=0,IFERROR(IFERROR(1-VLOOKUP('Table 6-A| Controls &amp; Limits'!$K103,'Emission Controls'!$A$20:$L$33,5,),1)*('Table 5-A| Criteria MPTE'!H184*'Table 7-A| Facility-Wide APTE'!$C96/'Table 5-A| Criteria MPTE'!$E184),""),'Table 6-B| Emission Limits'!F53)</f>
        <v/>
      </c>
      <c r="G96" s="400" t="str">
        <f>IF('Table 6-B| Emission Limits'!G53=0,IFERROR(IFERROR(1-VLOOKUP('Table 6-A| Controls &amp; Limits'!$K103,'Emission Controls'!$A$20:$L$33,6,),1)*('Table 5-A| Criteria MPTE'!I184*'Table 7-A| Facility-Wide APTE'!$C96/'Table 5-A| Criteria MPTE'!$E184),""),'Table 6-B| Emission Limits'!G53)</f>
        <v/>
      </c>
      <c r="H96" s="400" t="str">
        <f>IF('Table 6-B| Emission Limits'!H53=0,IFERROR(IFERROR(1-VLOOKUP('Table 6-A| Controls &amp; Limits'!$K103,'Emission Controls'!$A$20:$L$33,7,),1)*('Table 5-A| Criteria MPTE'!J184*'Table 7-A| Facility-Wide APTE'!$C96/'Table 5-A| Criteria MPTE'!$E184),""),'Table 6-B| Emission Limits'!H53)</f>
        <v/>
      </c>
      <c r="I96" s="400" t="str">
        <f>IF('Table 6-B| Emission Limits'!I53=0,IFERROR(IFERROR(1-VLOOKUP('Table 6-A| Controls &amp; Limits'!$K103,'Emission Controls'!$A$20:$L$33,8,),1)*('Table 5-A| Criteria MPTE'!K184*'Table 7-A| Facility-Wide APTE'!$C96/'Table 5-A| Criteria MPTE'!$E184),""),'Table 6-B| Emission Limits'!I53)</f>
        <v/>
      </c>
      <c r="J96" s="400" t="str">
        <f>IF('Table 6-B| Emission Limits'!J53=0,IFERROR(IFERROR(1-VLOOKUP('Table 6-A| Controls &amp; Limits'!$K103,'Emission Controls'!$A$20:$L$33,9,),1)*('Table 5-A| Criteria MPTE'!L184*'Table 7-A| Facility-Wide APTE'!$C96/'Table 5-A| Criteria MPTE'!$E184),""),'Table 6-B| Emission Limits'!J53)</f>
        <v/>
      </c>
      <c r="K96" s="400" t="str">
        <f>IF('Table 6-B| Emission Limits'!K53=0,IFERROR(IFERROR(1-VLOOKUP('Table 6-A| Controls &amp; Limits'!$K103,'Emission Controls'!$A$20:$L$33,10,),1)*('Table 5-A| Criteria MPTE'!M184*'Table 7-A| Facility-Wide APTE'!$C96/'Table 5-A| Criteria MPTE'!$E184),""),'Table 6-B| Emission Limits'!K53)</f>
        <v/>
      </c>
      <c r="L96" s="400" t="str">
        <f>IF('Table 6-B| Emission Limits'!L53=0,IFERROR(IFERROR(1-VLOOKUP('Table 6-A| Controls &amp; Limits'!$K103,'Emission Controls'!$A$20:$L$33,11,),1)*('Table 5-A| Criteria MPTE'!N184*'Table 7-A| Facility-Wide APTE'!$C96/'Table 5-A| Criteria MPTE'!$E184),""),'Table 6-B| Emission Limits'!L53)</f>
        <v/>
      </c>
      <c r="M96" s="401" t="str">
        <f>IF('Table 6-B| Emission Limits'!N53=0,IFERROR(IFERROR(1-VLOOKUP('Table 6-A| Controls &amp; Limits'!$K103,'Emission Controls'!$A$20:$L$33,12,),1)*('Table 5-A| Criteria MPTE'!O184*'Table 7-A| Facility-Wide APTE'!$C96/'Table 5-A| Criteria MPTE'!$E184),""),'Table 6-B| Emission Limits'!N53)</f>
        <v/>
      </c>
    </row>
    <row r="97" spans="1:13" ht="18" customHeight="1" x14ac:dyDescent="0.25">
      <c r="A97" s="308">
        <f>IF(ISBLANK('Table 3-A| Emission Units'!A127),0,'Table 5-A| Criteria MPTE'!A185)</f>
        <v>0</v>
      </c>
      <c r="B97" s="309">
        <f>IF(A97=0,0,'Table 3-A| Emission Units'!C127)</f>
        <v>0</v>
      </c>
      <c r="C97" s="311">
        <f>IF(ISBLANK('Table 6-A| Controls &amp; Limits'!C104),0,IF('Table 6-A| Controls &amp; Limits'!C104="No",'Table 6-A| Controls &amp; Limits'!D104,'Table 6-A| Controls &amp; Limits'!E104))</f>
        <v>0</v>
      </c>
      <c r="D97" s="398" t="str">
        <f>IF(C97=0,"",'Table 6-A| Controls &amp; Limits'!F104)</f>
        <v/>
      </c>
      <c r="E97" s="399" t="str">
        <f>IF('Table 6-B| Emission Limits'!E54=0,IFERROR(IFERROR(1-VLOOKUP('Table 6-A| Controls &amp; Limits'!$K104,'Emission Controls'!$A$20:$L$33,4,),1)*('Table 5-A| Criteria MPTE'!G185*'Table 7-A| Facility-Wide APTE'!$C97/'Table 5-A| Criteria MPTE'!$E185),""),'Table 6-B| Emission Limits'!E54)</f>
        <v/>
      </c>
      <c r="F97" s="400" t="str">
        <f>IF('Table 6-B| Emission Limits'!F54=0,IFERROR(IFERROR(1-VLOOKUP('Table 6-A| Controls &amp; Limits'!$K104,'Emission Controls'!$A$20:$L$33,5,),1)*('Table 5-A| Criteria MPTE'!H185*'Table 7-A| Facility-Wide APTE'!$C97/'Table 5-A| Criteria MPTE'!$E185),""),'Table 6-B| Emission Limits'!F54)</f>
        <v/>
      </c>
      <c r="G97" s="400" t="str">
        <f>IF('Table 6-B| Emission Limits'!G54=0,IFERROR(IFERROR(1-VLOOKUP('Table 6-A| Controls &amp; Limits'!$K104,'Emission Controls'!$A$20:$L$33,6,),1)*('Table 5-A| Criteria MPTE'!I185*'Table 7-A| Facility-Wide APTE'!$C97/'Table 5-A| Criteria MPTE'!$E185),""),'Table 6-B| Emission Limits'!G54)</f>
        <v/>
      </c>
      <c r="H97" s="400" t="str">
        <f>IF('Table 6-B| Emission Limits'!H54=0,IFERROR(IFERROR(1-VLOOKUP('Table 6-A| Controls &amp; Limits'!$K104,'Emission Controls'!$A$20:$L$33,7,),1)*('Table 5-A| Criteria MPTE'!J185*'Table 7-A| Facility-Wide APTE'!$C97/'Table 5-A| Criteria MPTE'!$E185),""),'Table 6-B| Emission Limits'!H54)</f>
        <v/>
      </c>
      <c r="I97" s="400" t="str">
        <f>IF('Table 6-B| Emission Limits'!I54=0,IFERROR(IFERROR(1-VLOOKUP('Table 6-A| Controls &amp; Limits'!$K104,'Emission Controls'!$A$20:$L$33,8,),1)*('Table 5-A| Criteria MPTE'!K185*'Table 7-A| Facility-Wide APTE'!$C97/'Table 5-A| Criteria MPTE'!$E185),""),'Table 6-B| Emission Limits'!I54)</f>
        <v/>
      </c>
      <c r="J97" s="400" t="str">
        <f>IF('Table 6-B| Emission Limits'!J54=0,IFERROR(IFERROR(1-VLOOKUP('Table 6-A| Controls &amp; Limits'!$K104,'Emission Controls'!$A$20:$L$33,9,),1)*('Table 5-A| Criteria MPTE'!L185*'Table 7-A| Facility-Wide APTE'!$C97/'Table 5-A| Criteria MPTE'!$E185),""),'Table 6-B| Emission Limits'!J54)</f>
        <v/>
      </c>
      <c r="K97" s="400" t="str">
        <f>IF('Table 6-B| Emission Limits'!K54=0,IFERROR(IFERROR(1-VLOOKUP('Table 6-A| Controls &amp; Limits'!$K104,'Emission Controls'!$A$20:$L$33,10,),1)*('Table 5-A| Criteria MPTE'!M185*'Table 7-A| Facility-Wide APTE'!$C97/'Table 5-A| Criteria MPTE'!$E185),""),'Table 6-B| Emission Limits'!K54)</f>
        <v/>
      </c>
      <c r="L97" s="400" t="str">
        <f>IF('Table 6-B| Emission Limits'!L54=0,IFERROR(IFERROR(1-VLOOKUP('Table 6-A| Controls &amp; Limits'!$K104,'Emission Controls'!$A$20:$L$33,11,),1)*('Table 5-A| Criteria MPTE'!N185*'Table 7-A| Facility-Wide APTE'!$C97/'Table 5-A| Criteria MPTE'!$E185),""),'Table 6-B| Emission Limits'!L54)</f>
        <v/>
      </c>
      <c r="M97" s="401" t="str">
        <f>IF('Table 6-B| Emission Limits'!N54=0,IFERROR(IFERROR(1-VLOOKUP('Table 6-A| Controls &amp; Limits'!$K104,'Emission Controls'!$A$20:$L$33,12,),1)*('Table 5-A| Criteria MPTE'!O185*'Table 7-A| Facility-Wide APTE'!$C97/'Table 5-A| Criteria MPTE'!$E185),""),'Table 6-B| Emission Limits'!N54)</f>
        <v/>
      </c>
    </row>
    <row r="98" spans="1:13" ht="18" customHeight="1" x14ac:dyDescent="0.25">
      <c r="A98" s="308">
        <f>IF(ISBLANK('Table 3-A| Emission Units'!A128),0,'Table 5-A| Criteria MPTE'!A186)</f>
        <v>0</v>
      </c>
      <c r="B98" s="309">
        <f>IF(A98=0,0,'Table 3-A| Emission Units'!C128)</f>
        <v>0</v>
      </c>
      <c r="C98" s="311">
        <f>IF(ISBLANK('Table 6-A| Controls &amp; Limits'!C105),0,IF('Table 6-A| Controls &amp; Limits'!C105="No",'Table 6-A| Controls &amp; Limits'!D105,'Table 6-A| Controls &amp; Limits'!E105))</f>
        <v>0</v>
      </c>
      <c r="D98" s="398" t="str">
        <f>IF(C98=0,"",'Table 6-A| Controls &amp; Limits'!F105)</f>
        <v/>
      </c>
      <c r="E98" s="399" t="str">
        <f>IF('Table 6-B| Emission Limits'!E55=0,IFERROR(IFERROR(1-VLOOKUP('Table 6-A| Controls &amp; Limits'!$K105,'Emission Controls'!$A$20:$L$33,4,),1)*('Table 5-A| Criteria MPTE'!G186*'Table 7-A| Facility-Wide APTE'!$C98/'Table 5-A| Criteria MPTE'!$E186),""),'Table 6-B| Emission Limits'!E55)</f>
        <v/>
      </c>
      <c r="F98" s="400" t="str">
        <f>IF('Table 6-B| Emission Limits'!F55=0,IFERROR(IFERROR(1-VLOOKUP('Table 6-A| Controls &amp; Limits'!$K105,'Emission Controls'!$A$20:$L$33,5,),1)*('Table 5-A| Criteria MPTE'!H186*'Table 7-A| Facility-Wide APTE'!$C98/'Table 5-A| Criteria MPTE'!$E186),""),'Table 6-B| Emission Limits'!F55)</f>
        <v/>
      </c>
      <c r="G98" s="400" t="str">
        <f>IF('Table 6-B| Emission Limits'!G55=0,IFERROR(IFERROR(1-VLOOKUP('Table 6-A| Controls &amp; Limits'!$K105,'Emission Controls'!$A$20:$L$33,6,),1)*('Table 5-A| Criteria MPTE'!I186*'Table 7-A| Facility-Wide APTE'!$C98/'Table 5-A| Criteria MPTE'!$E186),""),'Table 6-B| Emission Limits'!G55)</f>
        <v/>
      </c>
      <c r="H98" s="400" t="str">
        <f>IF('Table 6-B| Emission Limits'!H55=0,IFERROR(IFERROR(1-VLOOKUP('Table 6-A| Controls &amp; Limits'!$K105,'Emission Controls'!$A$20:$L$33,7,),1)*('Table 5-A| Criteria MPTE'!J186*'Table 7-A| Facility-Wide APTE'!$C98/'Table 5-A| Criteria MPTE'!$E186),""),'Table 6-B| Emission Limits'!H55)</f>
        <v/>
      </c>
      <c r="I98" s="400" t="str">
        <f>IF('Table 6-B| Emission Limits'!I55=0,IFERROR(IFERROR(1-VLOOKUP('Table 6-A| Controls &amp; Limits'!$K105,'Emission Controls'!$A$20:$L$33,8,),1)*('Table 5-A| Criteria MPTE'!K186*'Table 7-A| Facility-Wide APTE'!$C98/'Table 5-A| Criteria MPTE'!$E186),""),'Table 6-B| Emission Limits'!I55)</f>
        <v/>
      </c>
      <c r="J98" s="400" t="str">
        <f>IF('Table 6-B| Emission Limits'!J55=0,IFERROR(IFERROR(1-VLOOKUP('Table 6-A| Controls &amp; Limits'!$K105,'Emission Controls'!$A$20:$L$33,9,),1)*('Table 5-A| Criteria MPTE'!L186*'Table 7-A| Facility-Wide APTE'!$C98/'Table 5-A| Criteria MPTE'!$E186),""),'Table 6-B| Emission Limits'!J55)</f>
        <v/>
      </c>
      <c r="K98" s="400" t="str">
        <f>IF('Table 6-B| Emission Limits'!K55=0,IFERROR(IFERROR(1-VLOOKUP('Table 6-A| Controls &amp; Limits'!$K105,'Emission Controls'!$A$20:$L$33,10,),1)*('Table 5-A| Criteria MPTE'!M186*'Table 7-A| Facility-Wide APTE'!$C98/'Table 5-A| Criteria MPTE'!$E186),""),'Table 6-B| Emission Limits'!K55)</f>
        <v/>
      </c>
      <c r="L98" s="400" t="str">
        <f>IF('Table 6-B| Emission Limits'!L55=0,IFERROR(IFERROR(1-VLOOKUP('Table 6-A| Controls &amp; Limits'!$K105,'Emission Controls'!$A$20:$L$33,11,),1)*('Table 5-A| Criteria MPTE'!N186*'Table 7-A| Facility-Wide APTE'!$C98/'Table 5-A| Criteria MPTE'!$E186),""),'Table 6-B| Emission Limits'!L55)</f>
        <v/>
      </c>
      <c r="M98" s="401" t="str">
        <f>IF('Table 6-B| Emission Limits'!N55=0,IFERROR(IFERROR(1-VLOOKUP('Table 6-A| Controls &amp; Limits'!$K105,'Emission Controls'!$A$20:$L$33,12,),1)*('Table 5-A| Criteria MPTE'!O186*'Table 7-A| Facility-Wide APTE'!$C98/'Table 5-A| Criteria MPTE'!$E186),""),'Table 6-B| Emission Limits'!N55)</f>
        <v/>
      </c>
    </row>
    <row r="99" spans="1:13" ht="18" customHeight="1" x14ac:dyDescent="0.25">
      <c r="A99" s="308">
        <f>IF(ISBLANK('Table 3-A| Emission Units'!A129),0,'Table 5-A| Criteria MPTE'!A187)</f>
        <v>0</v>
      </c>
      <c r="B99" s="309">
        <f>IF(A99=0,0,'Table 3-A| Emission Units'!C129)</f>
        <v>0</v>
      </c>
      <c r="C99" s="311">
        <f>IF(ISBLANK('Table 6-A| Controls &amp; Limits'!C106),0,IF('Table 6-A| Controls &amp; Limits'!C106="No",'Table 6-A| Controls &amp; Limits'!D106,'Table 6-A| Controls &amp; Limits'!E106))</f>
        <v>0</v>
      </c>
      <c r="D99" s="398" t="str">
        <f>IF(C99=0,"",'Table 6-A| Controls &amp; Limits'!F106)</f>
        <v/>
      </c>
      <c r="E99" s="399" t="str">
        <f>IF('Table 6-B| Emission Limits'!E56=0,IFERROR(IFERROR(1-VLOOKUP('Table 6-A| Controls &amp; Limits'!$K106,'Emission Controls'!$A$20:$L$33,4,),1)*('Table 5-A| Criteria MPTE'!G187*'Table 7-A| Facility-Wide APTE'!$C99/'Table 5-A| Criteria MPTE'!$E187),""),'Table 6-B| Emission Limits'!E56)</f>
        <v/>
      </c>
      <c r="F99" s="400" t="str">
        <f>IF('Table 6-B| Emission Limits'!F56=0,IFERROR(IFERROR(1-VLOOKUP('Table 6-A| Controls &amp; Limits'!$K106,'Emission Controls'!$A$20:$L$33,5,),1)*('Table 5-A| Criteria MPTE'!H187*'Table 7-A| Facility-Wide APTE'!$C99/'Table 5-A| Criteria MPTE'!$E187),""),'Table 6-B| Emission Limits'!F56)</f>
        <v/>
      </c>
      <c r="G99" s="400" t="str">
        <f>IF('Table 6-B| Emission Limits'!G56=0,IFERROR(IFERROR(1-VLOOKUP('Table 6-A| Controls &amp; Limits'!$K106,'Emission Controls'!$A$20:$L$33,6,),1)*('Table 5-A| Criteria MPTE'!I187*'Table 7-A| Facility-Wide APTE'!$C99/'Table 5-A| Criteria MPTE'!$E187),""),'Table 6-B| Emission Limits'!G56)</f>
        <v/>
      </c>
      <c r="H99" s="400" t="str">
        <f>IF('Table 6-B| Emission Limits'!H56=0,IFERROR(IFERROR(1-VLOOKUP('Table 6-A| Controls &amp; Limits'!$K106,'Emission Controls'!$A$20:$L$33,7,),1)*('Table 5-A| Criteria MPTE'!J187*'Table 7-A| Facility-Wide APTE'!$C99/'Table 5-A| Criteria MPTE'!$E187),""),'Table 6-B| Emission Limits'!H56)</f>
        <v/>
      </c>
      <c r="I99" s="400" t="str">
        <f>IF('Table 6-B| Emission Limits'!I56=0,IFERROR(IFERROR(1-VLOOKUP('Table 6-A| Controls &amp; Limits'!$K106,'Emission Controls'!$A$20:$L$33,8,),1)*('Table 5-A| Criteria MPTE'!K187*'Table 7-A| Facility-Wide APTE'!$C99/'Table 5-A| Criteria MPTE'!$E187),""),'Table 6-B| Emission Limits'!I56)</f>
        <v/>
      </c>
      <c r="J99" s="400" t="str">
        <f>IF('Table 6-B| Emission Limits'!J56=0,IFERROR(IFERROR(1-VLOOKUP('Table 6-A| Controls &amp; Limits'!$K106,'Emission Controls'!$A$20:$L$33,9,),1)*('Table 5-A| Criteria MPTE'!L187*'Table 7-A| Facility-Wide APTE'!$C99/'Table 5-A| Criteria MPTE'!$E187),""),'Table 6-B| Emission Limits'!J56)</f>
        <v/>
      </c>
      <c r="K99" s="400" t="str">
        <f>IF('Table 6-B| Emission Limits'!K56=0,IFERROR(IFERROR(1-VLOOKUP('Table 6-A| Controls &amp; Limits'!$K106,'Emission Controls'!$A$20:$L$33,10,),1)*('Table 5-A| Criteria MPTE'!M187*'Table 7-A| Facility-Wide APTE'!$C99/'Table 5-A| Criteria MPTE'!$E187),""),'Table 6-B| Emission Limits'!K56)</f>
        <v/>
      </c>
      <c r="L99" s="400" t="str">
        <f>IF('Table 6-B| Emission Limits'!L56=0,IFERROR(IFERROR(1-VLOOKUP('Table 6-A| Controls &amp; Limits'!$K106,'Emission Controls'!$A$20:$L$33,11,),1)*('Table 5-A| Criteria MPTE'!N187*'Table 7-A| Facility-Wide APTE'!$C99/'Table 5-A| Criteria MPTE'!$E187),""),'Table 6-B| Emission Limits'!L56)</f>
        <v/>
      </c>
      <c r="M99" s="401" t="str">
        <f>IF('Table 6-B| Emission Limits'!N56=0,IFERROR(IFERROR(1-VLOOKUP('Table 6-A| Controls &amp; Limits'!$K106,'Emission Controls'!$A$20:$L$33,12,),1)*('Table 5-A| Criteria MPTE'!O187*'Table 7-A| Facility-Wide APTE'!$C99/'Table 5-A| Criteria MPTE'!$E187),""),'Table 6-B| Emission Limits'!N56)</f>
        <v/>
      </c>
    </row>
    <row r="100" spans="1:13" ht="18" customHeight="1" thickBot="1" x14ac:dyDescent="0.3">
      <c r="A100" s="315">
        <f>IF(ISBLANK('Table 3-A| Emission Units'!A130),0,'Table 5-A| Criteria MPTE'!A188)</f>
        <v>0</v>
      </c>
      <c r="B100" s="316">
        <f>IF(A100=0,0,'Table 3-A| Emission Units'!C130)</f>
        <v>0</v>
      </c>
      <c r="C100" s="318">
        <f>IF(ISBLANK('Table 6-A| Controls &amp; Limits'!C107),0,IF('Table 6-A| Controls &amp; Limits'!C107="No",'Table 6-A| Controls &amp; Limits'!D107,'Table 6-A| Controls &amp; Limits'!E107))</f>
        <v>0</v>
      </c>
      <c r="D100" s="402" t="str">
        <f>IF(C100=0,"",'Table 6-A| Controls &amp; Limits'!F107)</f>
        <v/>
      </c>
      <c r="E100" s="403" t="str">
        <f>IF('Table 6-B| Emission Limits'!E57=0,IFERROR(IFERROR(1-VLOOKUP('Table 6-A| Controls &amp; Limits'!$K107,'Emission Controls'!$A$20:$L$33,4,),1)*('Table 5-A| Criteria MPTE'!G188*'Table 7-A| Facility-Wide APTE'!$C100/'Table 5-A| Criteria MPTE'!$E188),""),'Table 6-B| Emission Limits'!E57)</f>
        <v/>
      </c>
      <c r="F100" s="404" t="str">
        <f>IF('Table 6-B| Emission Limits'!F57=0,IFERROR(IFERROR(1-VLOOKUP('Table 6-A| Controls &amp; Limits'!$K107,'Emission Controls'!$A$20:$L$33,5,),1)*('Table 5-A| Criteria MPTE'!H188*'Table 7-A| Facility-Wide APTE'!$C100/'Table 5-A| Criteria MPTE'!$E188),""),'Table 6-B| Emission Limits'!F57)</f>
        <v/>
      </c>
      <c r="G100" s="404" t="str">
        <f>IF('Table 6-B| Emission Limits'!G57=0,IFERROR(IFERROR(1-VLOOKUP('Table 6-A| Controls &amp; Limits'!$K107,'Emission Controls'!$A$20:$L$33,6,),1)*('Table 5-A| Criteria MPTE'!I188*'Table 7-A| Facility-Wide APTE'!$C100/'Table 5-A| Criteria MPTE'!$E188),""),'Table 6-B| Emission Limits'!G57)</f>
        <v/>
      </c>
      <c r="H100" s="404" t="str">
        <f>IF('Table 6-B| Emission Limits'!H57=0,IFERROR(IFERROR(1-VLOOKUP('Table 6-A| Controls &amp; Limits'!$K107,'Emission Controls'!$A$20:$L$33,7,),1)*('Table 5-A| Criteria MPTE'!J188*'Table 7-A| Facility-Wide APTE'!$C100/'Table 5-A| Criteria MPTE'!$E188),""),'Table 6-B| Emission Limits'!H57)</f>
        <v/>
      </c>
      <c r="I100" s="404" t="str">
        <f>IF('Table 6-B| Emission Limits'!I57=0,IFERROR(IFERROR(1-VLOOKUP('Table 6-A| Controls &amp; Limits'!$K107,'Emission Controls'!$A$20:$L$33,8,),1)*('Table 5-A| Criteria MPTE'!K188*'Table 7-A| Facility-Wide APTE'!$C100/'Table 5-A| Criteria MPTE'!$E188),""),'Table 6-B| Emission Limits'!I57)</f>
        <v/>
      </c>
      <c r="J100" s="404" t="str">
        <f>IF('Table 6-B| Emission Limits'!J57=0,IFERROR(IFERROR(1-VLOOKUP('Table 6-A| Controls &amp; Limits'!$K107,'Emission Controls'!$A$20:$L$33,9,),1)*('Table 5-A| Criteria MPTE'!L188*'Table 7-A| Facility-Wide APTE'!$C100/'Table 5-A| Criteria MPTE'!$E188),""),'Table 6-B| Emission Limits'!J57)</f>
        <v/>
      </c>
      <c r="K100" s="404" t="str">
        <f>IF('Table 6-B| Emission Limits'!K57=0,IFERROR(IFERROR(1-VLOOKUP('Table 6-A| Controls &amp; Limits'!$K107,'Emission Controls'!$A$20:$L$33,10,),1)*('Table 5-A| Criteria MPTE'!M188*'Table 7-A| Facility-Wide APTE'!$C100/'Table 5-A| Criteria MPTE'!$E188),""),'Table 6-B| Emission Limits'!K57)</f>
        <v/>
      </c>
      <c r="L100" s="404" t="str">
        <f>IF('Table 6-B| Emission Limits'!L57=0,IFERROR(IFERROR(1-VLOOKUP('Table 6-A| Controls &amp; Limits'!$K107,'Emission Controls'!$A$20:$L$33,11,),1)*('Table 5-A| Criteria MPTE'!N188*'Table 7-A| Facility-Wide APTE'!$C100/'Table 5-A| Criteria MPTE'!$E188),""),'Table 6-B| Emission Limits'!L57)</f>
        <v/>
      </c>
      <c r="M100" s="405" t="str">
        <f>IF('Table 6-B| Emission Limits'!N57=0,IFERROR(IFERROR(1-VLOOKUP('Table 6-A| Controls &amp; Limits'!$K107,'Emission Controls'!$A$20:$L$33,12,),1)*('Table 5-A| Criteria MPTE'!O188*'Table 7-A| Facility-Wide APTE'!$C100/'Table 5-A| Criteria MPTE'!$E188),""),'Table 6-B| Emission Limits'!N57)</f>
        <v/>
      </c>
    </row>
  </sheetData>
  <sheetProtection algorithmName="SHA-512" hashValue="g9gRH29e3r/W5ConBe9KdViCIoNx9yZPCsM/nYwVMw5oQ3sdZjA52IEPD5ndnlhkOkToNNVsQN4Fe1E9Lr02qA==" saltValue="snG8+mNPR+OBBLuLscTPPQ==" spinCount="100000" sheet="1" objects="1" scenarios="1"/>
  <mergeCells count="23">
    <mergeCell ref="A67:M67"/>
    <mergeCell ref="A72:M72"/>
    <mergeCell ref="A77:M77"/>
    <mergeCell ref="A38:M38"/>
    <mergeCell ref="A43:M43"/>
    <mergeCell ref="A52:M52"/>
    <mergeCell ref="A57:M57"/>
    <mergeCell ref="A62:M62"/>
    <mergeCell ref="A12:M12"/>
    <mergeCell ref="A19:M19"/>
    <mergeCell ref="A26:M26"/>
    <mergeCell ref="A33:M33"/>
    <mergeCell ref="A36:M36"/>
    <mergeCell ref="A8:M8"/>
    <mergeCell ref="A9:M9"/>
    <mergeCell ref="A10:M10"/>
    <mergeCell ref="A5:M5"/>
    <mergeCell ref="A6:M6"/>
    <mergeCell ref="A1:M1"/>
    <mergeCell ref="A2:M2"/>
    <mergeCell ref="A3:M3"/>
    <mergeCell ref="A4:M4"/>
    <mergeCell ref="A7:M7"/>
  </mergeCells>
  <conditionalFormatting sqref="A13:M100">
    <cfRule type="expression" dxfId="57" priority="1">
      <formula>$A13=0</formula>
    </cfRule>
  </conditionalFormatting>
  <conditionalFormatting sqref="B13:B18 B20:B25 B27:B32 B34:B35 B37 B39:B42 B44:B51 B53:B56 B58:B61 B63:B66 B68:B71 B73:B76 B78:B100">
    <cfRule type="expression" dxfId="56" priority="59">
      <formula>B13&gt;99999999</formula>
    </cfRule>
  </conditionalFormatting>
  <conditionalFormatting sqref="C13:C18 C20:C25 C27:C32 C34:C35 C37 C39:C42 C44:C51 C53:C56 C58:C61 C63:C66 C68:C71 C73:C76 C78:C100">
    <cfRule type="cellIs" dxfId="55" priority="12" operator="greaterThanOrEqual">
      <formula>1000000</formula>
    </cfRule>
    <cfRule type="cellIs" dxfId="54" priority="13" operator="greaterThanOrEqual">
      <formula>1000</formula>
    </cfRule>
  </conditionalFormatting>
  <conditionalFormatting sqref="E13:M18 E20:M25 E27:M32 E34:M35 E37:M37 E39:M42 E44:M51 E53:M56 E58:M61 E63:M66 E68:M71 E73:M76 E78:M100">
    <cfRule type="cellIs" dxfId="53" priority="41" stopIfTrue="1" operator="greaterThanOrEqual">
      <formula>1000000</formula>
    </cfRule>
    <cfRule type="cellIs" dxfId="52" priority="42" stopIfTrue="1" operator="greaterThanOrEqual">
      <formula>1000</formula>
    </cfRule>
    <cfRule type="cellIs" dxfId="51" priority="43" stopIfTrue="1" operator="equal">
      <formula>0</formula>
    </cfRule>
  </conditionalFormatting>
  <printOptions horizontalCentered="1"/>
  <pageMargins left="0.5" right="0.5" top="0.5" bottom="0.5" header="0.3" footer="0.3"/>
  <pageSetup scale="74" fitToHeight="4" orientation="landscape" r:id="rId1"/>
  <headerFooter>
    <oddFooter>&amp;LRev. 2/2014&amp;C&amp;A&amp;RPage &amp;P</oddFooter>
  </headerFooter>
  <rowBreaks count="2" manualBreakCount="2">
    <brk id="42" max="12" man="1"/>
    <brk id="71"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002060"/>
    <pageSetUpPr fitToPage="1"/>
  </sheetPr>
  <dimension ref="A1:Z56"/>
  <sheetViews>
    <sheetView showGridLines="0" zoomScaleNormal="100" workbookViewId="0">
      <selection sqref="A1:L1"/>
    </sheetView>
  </sheetViews>
  <sheetFormatPr defaultRowHeight="14.25" x14ac:dyDescent="0.2"/>
  <cols>
    <col min="1" max="3" width="16.7109375" style="99" customWidth="1"/>
    <col min="4" max="4" width="12.7109375" style="99" customWidth="1"/>
    <col min="5" max="7" width="13.28515625" style="99" customWidth="1"/>
    <col min="8" max="8" width="12.7109375" style="99" customWidth="1"/>
    <col min="9" max="9" width="12.7109375" style="113" customWidth="1"/>
    <col min="10" max="10" width="12.7109375" style="99" customWidth="1"/>
    <col min="11" max="11" width="21.7109375" style="113" customWidth="1"/>
    <col min="12" max="12" width="12.7109375" style="99" customWidth="1"/>
    <col min="13" max="15" width="9.140625" style="99" customWidth="1"/>
    <col min="16" max="25" width="9.140625" style="99"/>
    <col min="26" max="26" width="23.42578125" style="99" bestFit="1" customWidth="1"/>
    <col min="27" max="16384" width="9.140625" style="99"/>
  </cols>
  <sheetData>
    <row r="1" spans="1:26" s="69" customFormat="1" ht="26.25" customHeight="1" thickBot="1" x14ac:dyDescent="0.3">
      <c r="A1" s="1122" t="s">
        <v>1708</v>
      </c>
      <c r="B1" s="1122"/>
      <c r="C1" s="1122"/>
      <c r="D1" s="1122"/>
      <c r="E1" s="1122"/>
      <c r="F1" s="1122"/>
      <c r="G1" s="1122"/>
      <c r="H1" s="1122"/>
      <c r="I1" s="1122"/>
      <c r="J1" s="1122"/>
      <c r="K1" s="1122"/>
      <c r="L1" s="1122"/>
      <c r="M1" s="79"/>
      <c r="N1" s="79"/>
      <c r="O1" s="79"/>
    </row>
    <row r="2" spans="1:26" s="164" customFormat="1" ht="35.1" customHeight="1" x14ac:dyDescent="0.25">
      <c r="A2" s="1172" t="s">
        <v>1625</v>
      </c>
      <c r="B2" s="1172"/>
      <c r="C2" s="1172"/>
      <c r="D2" s="1172"/>
      <c r="E2" s="1172"/>
      <c r="F2" s="1172"/>
      <c r="G2" s="1172"/>
      <c r="H2" s="1172"/>
      <c r="I2" s="1172"/>
      <c r="J2" s="1172"/>
      <c r="K2" s="1172"/>
      <c r="L2" s="1172"/>
      <c r="M2" s="167"/>
      <c r="N2" s="167"/>
      <c r="O2" s="167"/>
    </row>
    <row r="3" spans="1:26" s="164" customFormat="1" ht="35.1" customHeight="1" x14ac:dyDescent="0.25">
      <c r="A3" s="165">
        <v>1</v>
      </c>
      <c r="B3" s="1173" t="s">
        <v>1626</v>
      </c>
      <c r="C3" s="1173"/>
      <c r="D3" s="1173"/>
      <c r="E3" s="1173"/>
      <c r="F3" s="1173"/>
      <c r="G3" s="1173"/>
      <c r="H3" s="1173"/>
      <c r="I3" s="1173"/>
      <c r="J3" s="1173"/>
      <c r="K3" s="1173"/>
      <c r="L3" s="1173"/>
      <c r="M3" s="168"/>
      <c r="N3" s="168"/>
      <c r="O3" s="168"/>
    </row>
    <row r="4" spans="1:26" s="164" customFormat="1" ht="35.1" customHeight="1" x14ac:dyDescent="0.25">
      <c r="A4" s="165">
        <v>2</v>
      </c>
      <c r="B4" s="1173" t="s">
        <v>1627</v>
      </c>
      <c r="C4" s="1173"/>
      <c r="D4" s="1173"/>
      <c r="E4" s="1173"/>
      <c r="F4" s="1173"/>
      <c r="G4" s="1173"/>
      <c r="H4" s="1173"/>
      <c r="I4" s="1173"/>
      <c r="J4" s="1173"/>
      <c r="K4" s="1173"/>
      <c r="L4" s="1173"/>
    </row>
    <row r="5" spans="1:26" s="164" customFormat="1" ht="35.1" customHeight="1" x14ac:dyDescent="0.25">
      <c r="A5" s="165">
        <v>3</v>
      </c>
      <c r="B5" s="1173" t="s">
        <v>1628</v>
      </c>
      <c r="C5" s="1173"/>
      <c r="D5" s="1173"/>
      <c r="E5" s="1173"/>
      <c r="F5" s="1173"/>
      <c r="G5" s="1173"/>
      <c r="H5" s="1173"/>
      <c r="I5" s="1173"/>
      <c r="J5" s="1173"/>
      <c r="K5" s="1173"/>
      <c r="L5" s="1173"/>
      <c r="M5" s="168"/>
      <c r="N5" s="168"/>
      <c r="O5" s="168"/>
    </row>
    <row r="6" spans="1:26" s="164" customFormat="1" ht="35.1" customHeight="1" x14ac:dyDescent="0.25">
      <c r="A6" s="165">
        <v>4</v>
      </c>
      <c r="B6" s="1173" t="s">
        <v>1629</v>
      </c>
      <c r="C6" s="1173"/>
      <c r="D6" s="1173"/>
      <c r="E6" s="1173"/>
      <c r="F6" s="1173"/>
      <c r="G6" s="1173"/>
      <c r="H6" s="1173"/>
      <c r="I6" s="1173"/>
      <c r="J6" s="1173"/>
      <c r="K6" s="1173"/>
      <c r="L6" s="1173"/>
      <c r="M6" s="168"/>
      <c r="N6" s="168"/>
      <c r="O6" s="168"/>
    </row>
    <row r="7" spans="1:26" s="164" customFormat="1" ht="35.1" customHeight="1" x14ac:dyDescent="0.25">
      <c r="A7" s="165">
        <v>5</v>
      </c>
      <c r="B7" s="1173" t="s">
        <v>1630</v>
      </c>
      <c r="C7" s="1173"/>
      <c r="D7" s="1173"/>
      <c r="E7" s="1173"/>
      <c r="F7" s="1173"/>
      <c r="G7" s="1173"/>
      <c r="H7" s="1173"/>
      <c r="I7" s="1173"/>
      <c r="J7" s="1173"/>
      <c r="K7" s="1173"/>
      <c r="L7" s="1173"/>
      <c r="M7" s="168"/>
      <c r="N7" s="168"/>
      <c r="O7" s="168"/>
    </row>
    <row r="8" spans="1:26" s="164" customFormat="1" ht="20.100000000000001" customHeight="1" x14ac:dyDescent="0.25">
      <c r="A8" s="165">
        <v>6</v>
      </c>
      <c r="B8" s="1173" t="s">
        <v>1631</v>
      </c>
      <c r="C8" s="1173"/>
      <c r="D8" s="1173"/>
      <c r="E8" s="1173"/>
      <c r="F8" s="1173"/>
      <c r="G8" s="1173"/>
      <c r="H8" s="1173"/>
      <c r="I8" s="1173"/>
      <c r="J8" s="1173"/>
      <c r="K8" s="1173"/>
      <c r="L8" s="1173"/>
      <c r="M8" s="168"/>
      <c r="N8" s="168"/>
      <c r="O8" s="168"/>
    </row>
    <row r="9" spans="1:26" s="68" customFormat="1" ht="9" customHeight="1" thickBot="1" x14ac:dyDescent="0.3">
      <c r="A9" s="120"/>
      <c r="B9" s="128"/>
      <c r="C9" s="128"/>
      <c r="D9" s="128"/>
      <c r="E9" s="128"/>
      <c r="F9" s="128"/>
      <c r="G9" s="128"/>
      <c r="H9" s="128"/>
      <c r="I9" s="128"/>
      <c r="J9" s="128"/>
      <c r="K9" s="128"/>
      <c r="L9" s="128"/>
      <c r="M9" s="128"/>
      <c r="N9" s="128"/>
      <c r="O9" s="128"/>
    </row>
    <row r="10" spans="1:26" ht="45" customHeight="1" x14ac:dyDescent="0.2">
      <c r="A10" s="1342" t="s">
        <v>1620</v>
      </c>
      <c r="B10" s="1343"/>
      <c r="C10" s="1344"/>
      <c r="D10" s="1228" t="s">
        <v>1893</v>
      </c>
      <c r="E10" s="503" t="s">
        <v>1580</v>
      </c>
      <c r="F10" s="503" t="s">
        <v>1578</v>
      </c>
      <c r="G10" s="503" t="s">
        <v>1579</v>
      </c>
      <c r="H10" s="501" t="s">
        <v>11</v>
      </c>
      <c r="I10" s="506" t="s">
        <v>12</v>
      </c>
      <c r="J10" s="503" t="s">
        <v>1622</v>
      </c>
      <c r="K10" s="1348" t="s">
        <v>1621</v>
      </c>
      <c r="L10" s="98" t="s">
        <v>13</v>
      </c>
    </row>
    <row r="11" spans="1:26" ht="15.75" customHeight="1" thickBot="1" x14ac:dyDescent="0.25">
      <c r="A11" s="1345"/>
      <c r="B11" s="1346"/>
      <c r="C11" s="1347"/>
      <c r="D11" s="1229"/>
      <c r="E11" s="100" t="s">
        <v>14</v>
      </c>
      <c r="F11" s="100" t="s">
        <v>1618</v>
      </c>
      <c r="G11" s="100" t="s">
        <v>14</v>
      </c>
      <c r="H11" s="101" t="s">
        <v>15</v>
      </c>
      <c r="I11" s="103" t="s">
        <v>17</v>
      </c>
      <c r="J11" s="100" t="s">
        <v>1618</v>
      </c>
      <c r="K11" s="1349"/>
      <c r="L11" s="104" t="s">
        <v>15</v>
      </c>
      <c r="W11" s="99" t="s">
        <v>1619</v>
      </c>
      <c r="Z11" s="141" t="s">
        <v>1623</v>
      </c>
    </row>
    <row r="12" spans="1:26" s="105" customFormat="1" ht="18" customHeight="1" x14ac:dyDescent="0.2">
      <c r="A12" s="1339" t="s">
        <v>1624</v>
      </c>
      <c r="B12" s="1340"/>
      <c r="C12" s="1341"/>
      <c r="D12" s="510" t="s">
        <v>2186</v>
      </c>
      <c r="E12" s="333">
        <v>1000</v>
      </c>
      <c r="F12" s="333" t="s">
        <v>73</v>
      </c>
      <c r="G12" s="406"/>
      <c r="H12" s="336">
        <v>1625</v>
      </c>
      <c r="I12" s="337">
        <v>1</v>
      </c>
      <c r="J12" s="333" t="s">
        <v>73</v>
      </c>
      <c r="K12" s="407"/>
      <c r="L12" s="338">
        <v>1625</v>
      </c>
      <c r="M12" s="138"/>
      <c r="N12" s="99"/>
      <c r="O12" s="99"/>
      <c r="W12" s="105" t="s">
        <v>75</v>
      </c>
      <c r="Z12" s="131" t="s">
        <v>1592</v>
      </c>
    </row>
    <row r="13" spans="1:26" s="105" customFormat="1" ht="18" customHeight="1" x14ac:dyDescent="0.2">
      <c r="A13" s="1337" t="s">
        <v>1636</v>
      </c>
      <c r="B13" s="1152"/>
      <c r="C13" s="1338"/>
      <c r="D13" s="511" t="s">
        <v>2187</v>
      </c>
      <c r="E13" s="341">
        <v>5000</v>
      </c>
      <c r="F13" s="341" t="s">
        <v>75</v>
      </c>
      <c r="G13" s="341">
        <v>200</v>
      </c>
      <c r="H13" s="344">
        <v>600</v>
      </c>
      <c r="I13" s="345">
        <v>1</v>
      </c>
      <c r="J13" s="341" t="s">
        <v>75</v>
      </c>
      <c r="K13" s="345" t="s">
        <v>1592</v>
      </c>
      <c r="L13" s="346">
        <f>H13*I13*(1-0.95)</f>
        <v>30.000000000000028</v>
      </c>
      <c r="M13" s="138"/>
      <c r="N13" s="99"/>
      <c r="O13" s="99"/>
      <c r="W13" s="105" t="s">
        <v>73</v>
      </c>
      <c r="Z13" s="131" t="s">
        <v>1600</v>
      </c>
    </row>
    <row r="14" spans="1:26" s="68" customFormat="1" ht="9" customHeight="1" x14ac:dyDescent="0.25">
      <c r="A14" s="120"/>
      <c r="B14" s="128"/>
      <c r="C14" s="128"/>
      <c r="D14" s="128"/>
      <c r="E14" s="128"/>
      <c r="F14" s="128"/>
      <c r="G14" s="128"/>
      <c r="H14" s="128"/>
      <c r="I14" s="128"/>
      <c r="J14" s="128"/>
      <c r="K14" s="128"/>
      <c r="L14" s="128"/>
      <c r="M14" s="128"/>
      <c r="N14" s="128"/>
      <c r="O14" s="128"/>
    </row>
    <row r="15" spans="1:26" s="68" customFormat="1" ht="15.75" customHeight="1" thickBot="1" x14ac:dyDescent="0.3">
      <c r="A15" s="1099"/>
      <c r="B15" s="1099"/>
      <c r="C15" s="1099"/>
      <c r="D15" s="1099"/>
      <c r="E15" s="1099"/>
      <c r="F15" s="1099"/>
      <c r="G15" s="1099"/>
      <c r="H15" s="1099"/>
      <c r="I15" s="1099"/>
      <c r="J15" s="1099"/>
      <c r="K15" s="1099"/>
      <c r="L15" s="1099"/>
      <c r="M15" s="85"/>
      <c r="N15" s="85"/>
      <c r="O15" s="85"/>
    </row>
    <row r="16" spans="1:26" s="70" customFormat="1" ht="19.5" thickBot="1" x14ac:dyDescent="0.3">
      <c r="A16" s="1087" t="s">
        <v>1449</v>
      </c>
      <c r="B16" s="1087"/>
      <c r="C16" s="1087"/>
      <c r="D16" s="1087"/>
      <c r="E16" s="1087"/>
      <c r="F16" s="1087"/>
      <c r="G16" s="1087"/>
      <c r="H16" s="1087"/>
      <c r="I16" s="1087"/>
      <c r="J16" s="1087"/>
      <c r="K16" s="1087"/>
      <c r="L16" s="1087"/>
      <c r="M16" s="90"/>
      <c r="N16" s="90"/>
      <c r="O16" s="90"/>
    </row>
    <row r="17" spans="1:26" ht="60" customHeight="1" x14ac:dyDescent="0.2">
      <c r="A17" s="1243"/>
      <c r="B17" s="1243"/>
      <c r="C17" s="1243"/>
      <c r="D17" s="1243"/>
      <c r="E17" s="1243"/>
      <c r="F17" s="1243"/>
      <c r="G17" s="1243"/>
      <c r="H17" s="1243"/>
      <c r="I17" s="1243"/>
      <c r="J17" s="1243"/>
      <c r="K17" s="1243"/>
      <c r="L17" s="1243"/>
    </row>
    <row r="18" spans="1:26" ht="24.95" customHeight="1" x14ac:dyDescent="0.2">
      <c r="A18" s="1169" t="s">
        <v>1434</v>
      </c>
      <c r="B18" s="1169"/>
      <c r="C18" s="1169"/>
      <c r="D18" s="1169"/>
      <c r="E18" s="1169"/>
      <c r="F18" s="1169"/>
      <c r="G18" s="1169"/>
      <c r="H18" s="1169"/>
      <c r="I18" s="1169"/>
      <c r="J18" s="1169"/>
      <c r="K18" s="1169"/>
      <c r="L18" s="1169"/>
      <c r="M18" s="111"/>
      <c r="N18" s="111"/>
      <c r="O18" s="111"/>
    </row>
    <row r="19" spans="1:26" ht="24.95" customHeight="1" x14ac:dyDescent="0.2">
      <c r="A19" s="884" t="s">
        <v>1781</v>
      </c>
      <c r="B19" s="884"/>
      <c r="C19" s="884"/>
      <c r="D19" s="884"/>
      <c r="E19" s="884"/>
      <c r="F19" s="884"/>
      <c r="G19" s="884"/>
      <c r="H19" s="884"/>
      <c r="I19" s="884"/>
      <c r="J19" s="884"/>
      <c r="K19" s="884"/>
      <c r="L19" s="884"/>
    </row>
    <row r="20" spans="1:26" ht="20.100000000000001" customHeight="1" thickBot="1" x14ac:dyDescent="0.25">
      <c r="A20" s="1242" t="s">
        <v>1705</v>
      </c>
      <c r="B20" s="1242"/>
      <c r="C20" s="1242"/>
      <c r="D20" s="1242"/>
      <c r="E20" s="1242"/>
      <c r="F20" s="1242"/>
      <c r="G20" s="1242"/>
      <c r="H20" s="1242"/>
      <c r="I20" s="1242"/>
      <c r="J20" s="1242"/>
      <c r="K20" s="1242"/>
      <c r="L20" s="1242"/>
    </row>
    <row r="21" spans="1:26" ht="45" customHeight="1" x14ac:dyDescent="0.2">
      <c r="A21" s="1350" t="s">
        <v>1620</v>
      </c>
      <c r="B21" s="1351"/>
      <c r="C21" s="1352"/>
      <c r="D21" s="1238" t="s">
        <v>1893</v>
      </c>
      <c r="E21" s="727" t="s">
        <v>1580</v>
      </c>
      <c r="F21" s="727" t="s">
        <v>1578</v>
      </c>
      <c r="G21" s="727" t="s">
        <v>1579</v>
      </c>
      <c r="H21" s="729" t="s">
        <v>11</v>
      </c>
      <c r="I21" s="730" t="s">
        <v>12</v>
      </c>
      <c r="J21" s="727" t="s">
        <v>1622</v>
      </c>
      <c r="K21" s="1356" t="s">
        <v>1621</v>
      </c>
      <c r="L21" s="710" t="s">
        <v>13</v>
      </c>
    </row>
    <row r="22" spans="1:26" ht="15.75" customHeight="1" thickBot="1" x14ac:dyDescent="0.25">
      <c r="A22" s="1353"/>
      <c r="B22" s="1354"/>
      <c r="C22" s="1355"/>
      <c r="D22" s="1239"/>
      <c r="E22" s="731" t="s">
        <v>14</v>
      </c>
      <c r="F22" s="731" t="s">
        <v>1618</v>
      </c>
      <c r="G22" s="731" t="s">
        <v>14</v>
      </c>
      <c r="H22" s="732" t="s">
        <v>15</v>
      </c>
      <c r="I22" s="734" t="s">
        <v>17</v>
      </c>
      <c r="J22" s="731" t="s">
        <v>1618</v>
      </c>
      <c r="K22" s="1357"/>
      <c r="L22" s="735" t="s">
        <v>15</v>
      </c>
      <c r="W22" s="99" t="s">
        <v>1619</v>
      </c>
      <c r="Z22" s="141" t="s">
        <v>1623</v>
      </c>
    </row>
    <row r="23" spans="1:26" s="105" customFormat="1" ht="18" customHeight="1" x14ac:dyDescent="0.2">
      <c r="A23" s="1358" t="str">
        <f>IF(ISBLANK('Table 5-B| MPTE VOC'!A30),"",'Table 5-B| MPTE VOC'!A30&amp;" -- "&amp;'Table 5-B| MPTE VOC'!B30&amp;": "&amp;'Table 5-B| MPTE VOC'!D30)</f>
        <v/>
      </c>
      <c r="B23" s="1359"/>
      <c r="C23" s="1360"/>
      <c r="D23" s="548" t="str">
        <f>IF(ISBLANK('Table 5-B| MPTE VOC'!C30),"",'Table 5-B| MPTE VOC'!C30)</f>
        <v/>
      </c>
      <c r="E23" s="408" t="str">
        <f>IF(ISBLANK('Table 5-B| MPTE VOC'!E30),"",'Table 5-B| MPTE VOC'!E30)</f>
        <v/>
      </c>
      <c r="F23" s="349"/>
      <c r="G23" s="349"/>
      <c r="H23" s="353" t="str">
        <f>IF(F23="No",'Table 5-B| MPTE VOC'!I30,IF(AND(F23="Yes",NOT(ISBLANK(G23))),('Table 5-B| MPTE VOC'!I30*(G23/E23)),""))</f>
        <v/>
      </c>
      <c r="I23" s="409" t="str">
        <f>IF(ISBLANK('Table 5-B| MPTE VOC'!J30),"",'Table 5-B| MPTE VOC'!J30)</f>
        <v/>
      </c>
      <c r="J23" s="349"/>
      <c r="K23" s="410"/>
      <c r="L23" s="355" t="str">
        <f>IFERROR(IF('Table 5-B| MPTE VOC'!K30="","",IF(J23="Yes",(H23*I23*(1-VLOOKUP(K23,'Emission Controls'!$A$3:$L$16,7,))),IF(J23="No",H23*I23,""))),"")</f>
        <v/>
      </c>
      <c r="M23" s="138">
        <f>IFERROR(VLOOKUP(K23,'Emission Controls'!$A$3:$B$16,2,),0)</f>
        <v>0</v>
      </c>
      <c r="N23" s="99"/>
      <c r="O23" s="99"/>
      <c r="W23" s="105" t="s">
        <v>75</v>
      </c>
      <c r="Z23" s="131" t="s">
        <v>1592</v>
      </c>
    </row>
    <row r="24" spans="1:26" s="105" customFormat="1" ht="18" customHeight="1" x14ac:dyDescent="0.2">
      <c r="A24" s="1331" t="str">
        <f>IF(ISBLANK('Table 5-B| MPTE VOC'!A31),"",'Table 5-B| MPTE VOC'!A31&amp;" -- "&amp;'Table 5-B| MPTE VOC'!B31&amp;": "&amp;'Table 5-B| MPTE VOC'!D31)</f>
        <v/>
      </c>
      <c r="B24" s="1332"/>
      <c r="C24" s="1333"/>
      <c r="D24" s="549" t="str">
        <f>IF(ISBLANK('Table 5-B| MPTE VOC'!C31),"",'Table 5-B| MPTE VOC'!C31)</f>
        <v/>
      </c>
      <c r="E24" s="411" t="str">
        <f>IF(ISBLANK('Table 5-B| MPTE VOC'!E31),"",'Table 5-B| MPTE VOC'!E31)</f>
        <v/>
      </c>
      <c r="F24" s="358"/>
      <c r="G24" s="358"/>
      <c r="H24" s="362" t="str">
        <f>IF(F24="No",'Table 5-B| MPTE VOC'!I31,IF(AND(F24="Yes",NOT(ISBLANK(G24))),('Table 5-B| MPTE VOC'!I31*(G24/E24)),""))</f>
        <v/>
      </c>
      <c r="I24" s="412" t="str">
        <f>IF(ISBLANK('Table 5-B| MPTE VOC'!J31),"",'Table 5-B| MPTE VOC'!J31)</f>
        <v/>
      </c>
      <c r="J24" s="358"/>
      <c r="K24" s="363"/>
      <c r="L24" s="364" t="str">
        <f>IFERROR(IF('Table 5-B| MPTE VOC'!K31="","",IF(J24="Yes",(H24*I24*(1-VLOOKUP(K24,'Emission Controls'!$A$3:$L$16,7,))),IF(J24="No",H24*I24,""))),"")</f>
        <v/>
      </c>
      <c r="M24" s="138">
        <f>IFERROR(VLOOKUP(K24,'Emission Controls'!$A$3:$B$16,2,),0)</f>
        <v>0</v>
      </c>
      <c r="N24" s="99"/>
      <c r="O24" s="99"/>
      <c r="W24" s="105" t="s">
        <v>73</v>
      </c>
      <c r="Z24" s="131" t="s">
        <v>1600</v>
      </c>
    </row>
    <row r="25" spans="1:26" s="105" customFormat="1" ht="18" customHeight="1" thickBot="1" x14ac:dyDescent="0.25">
      <c r="A25" s="1331" t="str">
        <f>IF(ISBLANK('Table 5-B| MPTE VOC'!A32),"",'Table 5-B| MPTE VOC'!A32&amp;" -- "&amp;'Table 5-B| MPTE VOC'!B32&amp;": "&amp;'Table 5-B| MPTE VOC'!D32)</f>
        <v/>
      </c>
      <c r="B25" s="1332"/>
      <c r="C25" s="1333"/>
      <c r="D25" s="549" t="str">
        <f>IF(ISBLANK('Table 5-B| MPTE VOC'!C32),"",'Table 5-B| MPTE VOC'!C32)</f>
        <v/>
      </c>
      <c r="E25" s="411" t="str">
        <f>IF(ISBLANK('Table 5-B| MPTE VOC'!E32),"",'Table 5-B| MPTE VOC'!E32)</f>
        <v/>
      </c>
      <c r="F25" s="358"/>
      <c r="G25" s="358"/>
      <c r="H25" s="362" t="str">
        <f>IF(F25="No",'Table 5-B| MPTE VOC'!I32,IF(AND(F25="Yes",NOT(ISBLANK(G25))),('Table 5-B| MPTE VOC'!I32*(G25/E25)),""))</f>
        <v/>
      </c>
      <c r="I25" s="412" t="str">
        <f>IF(ISBLANK('Table 5-B| MPTE VOC'!J32),"",'Table 5-B| MPTE VOC'!J32)</f>
        <v/>
      </c>
      <c r="J25" s="358"/>
      <c r="K25" s="363"/>
      <c r="L25" s="364" t="str">
        <f>IFERROR(IF('Table 5-B| MPTE VOC'!K32="","",IF(J25="Yes",(H25*I25*(1-VLOOKUP(K25,'Emission Controls'!$A$3:$L$16,7,))),IF(J25="No",H25*I25,""))),"")</f>
        <v/>
      </c>
      <c r="M25" s="138">
        <f>IFERROR(VLOOKUP(K25,'Emission Controls'!$A$3:$B$16,2,),0)</f>
        <v>0</v>
      </c>
      <c r="N25" s="99"/>
      <c r="O25" s="99"/>
      <c r="Z25" s="132" t="s">
        <v>1595</v>
      </c>
    </row>
    <row r="26" spans="1:26" s="105" customFormat="1" ht="18" customHeight="1" x14ac:dyDescent="0.2">
      <c r="A26" s="1331" t="str">
        <f>IF(ISBLANK('Table 5-B| MPTE VOC'!A33),"",'Table 5-B| MPTE VOC'!A33&amp;" -- "&amp;'Table 5-B| MPTE VOC'!B33&amp;": "&amp;'Table 5-B| MPTE VOC'!D33)</f>
        <v/>
      </c>
      <c r="B26" s="1332"/>
      <c r="C26" s="1333"/>
      <c r="D26" s="549" t="str">
        <f>IF(ISBLANK('Table 5-B| MPTE VOC'!C33),"",'Table 5-B| MPTE VOC'!C33)</f>
        <v/>
      </c>
      <c r="E26" s="411" t="str">
        <f>IF(ISBLANK('Table 5-B| MPTE VOC'!E33),"",'Table 5-B| MPTE VOC'!E33)</f>
        <v/>
      </c>
      <c r="F26" s="358"/>
      <c r="G26" s="358"/>
      <c r="H26" s="362" t="str">
        <f>IF(F26="No",'Table 5-B| MPTE VOC'!I33,IF(AND(F26="Yes",NOT(ISBLANK(G26))),('Table 5-B| MPTE VOC'!I33*(G26/E26)),""))</f>
        <v/>
      </c>
      <c r="I26" s="412" t="str">
        <f>IF(ISBLANK('Table 5-B| MPTE VOC'!J33),"",'Table 5-B| MPTE VOC'!J33)</f>
        <v/>
      </c>
      <c r="J26" s="358"/>
      <c r="K26" s="363"/>
      <c r="L26" s="364" t="str">
        <f>IFERROR(IF('Table 5-B| MPTE VOC'!K33="","",IF(J26="Yes",(H26*I26*(1-VLOOKUP(K26,'Emission Controls'!$A$3:$L$16,7,))),IF(J26="No",H26*I26,""))),"")</f>
        <v/>
      </c>
      <c r="M26" s="138">
        <f>IFERROR(VLOOKUP(K26,'Emission Controls'!$A$3:$B$16,2,),0)</f>
        <v>0</v>
      </c>
      <c r="N26" s="99"/>
      <c r="O26" s="99"/>
    </row>
    <row r="27" spans="1:26" s="105" customFormat="1" ht="18" customHeight="1" x14ac:dyDescent="0.2">
      <c r="A27" s="1331" t="str">
        <f>IF(ISBLANK('Table 5-B| MPTE VOC'!A34),"",'Table 5-B| MPTE VOC'!A34&amp;" -- "&amp;'Table 5-B| MPTE VOC'!B34&amp;": "&amp;'Table 5-B| MPTE VOC'!D34)</f>
        <v/>
      </c>
      <c r="B27" s="1332"/>
      <c r="C27" s="1333"/>
      <c r="D27" s="549" t="str">
        <f>IF(ISBLANK('Table 5-B| MPTE VOC'!C34),"",'Table 5-B| MPTE VOC'!C34)</f>
        <v/>
      </c>
      <c r="E27" s="411" t="str">
        <f>IF(ISBLANK('Table 5-B| MPTE VOC'!E34),"",'Table 5-B| MPTE VOC'!E34)</f>
        <v/>
      </c>
      <c r="F27" s="358"/>
      <c r="G27" s="358"/>
      <c r="H27" s="362" t="str">
        <f>IF(F27="No",'Table 5-B| MPTE VOC'!I34,IF(AND(F27="Yes",NOT(ISBLANK(G27))),('Table 5-B| MPTE VOC'!I34*(G27/E27)),""))</f>
        <v/>
      </c>
      <c r="I27" s="412" t="str">
        <f>IF(ISBLANK('Table 5-B| MPTE VOC'!J34),"",'Table 5-B| MPTE VOC'!J34)</f>
        <v/>
      </c>
      <c r="J27" s="358"/>
      <c r="K27" s="363"/>
      <c r="L27" s="364" t="str">
        <f>IFERROR(IF('Table 5-B| MPTE VOC'!K34="","",IF(J27="Yes",(H27*I27*(1-VLOOKUP(K27,'Emission Controls'!$A$3:$L$16,7,))),IF(J27="No",H27*I27,""))),"")</f>
        <v/>
      </c>
      <c r="M27" s="138">
        <f>IFERROR(VLOOKUP(K27,'Emission Controls'!$A$3:$B$16,2,),0)</f>
        <v>0</v>
      </c>
    </row>
    <row r="28" spans="1:26" s="105" customFormat="1" ht="18" customHeight="1" x14ac:dyDescent="0.2">
      <c r="A28" s="1331" t="str">
        <f>IF(ISBLANK('Table 5-B| MPTE VOC'!A35),"",'Table 5-B| MPTE VOC'!A35&amp;" -- "&amp;'Table 5-B| MPTE VOC'!B35&amp;": "&amp;'Table 5-B| MPTE VOC'!D35)</f>
        <v/>
      </c>
      <c r="B28" s="1332"/>
      <c r="C28" s="1333"/>
      <c r="D28" s="549" t="str">
        <f>IF(ISBLANK('Table 5-B| MPTE VOC'!C35),"",'Table 5-B| MPTE VOC'!C35)</f>
        <v/>
      </c>
      <c r="E28" s="411" t="str">
        <f>IF(ISBLANK('Table 5-B| MPTE VOC'!E35),"",'Table 5-B| MPTE VOC'!E35)</f>
        <v/>
      </c>
      <c r="F28" s="358"/>
      <c r="G28" s="358"/>
      <c r="H28" s="362" t="str">
        <f>IF(F28="No",'Table 5-B| MPTE VOC'!I35,IF(AND(F28="Yes",NOT(ISBLANK(G28))),('Table 5-B| MPTE VOC'!I35*(G28/E28)),""))</f>
        <v/>
      </c>
      <c r="I28" s="412" t="str">
        <f>IF(ISBLANK('Table 5-B| MPTE VOC'!J35),"",'Table 5-B| MPTE VOC'!J35)</f>
        <v/>
      </c>
      <c r="J28" s="358"/>
      <c r="K28" s="363"/>
      <c r="L28" s="364" t="str">
        <f>IFERROR(IF('Table 5-B| MPTE VOC'!K35="","",IF(J28="Yes",(H28*I28*(1-VLOOKUP(K28,'Emission Controls'!$A$3:$L$16,7,))),IF(J28="No",H28*I28,""))),"")</f>
        <v/>
      </c>
      <c r="M28" s="138">
        <f>IFERROR(VLOOKUP(K28,'Emission Controls'!$A$3:$B$16,2,),0)</f>
        <v>0</v>
      </c>
    </row>
    <row r="29" spans="1:26" s="105" customFormat="1" ht="18" customHeight="1" x14ac:dyDescent="0.2">
      <c r="A29" s="1331" t="str">
        <f>IF(ISBLANK('Table 5-B| MPTE VOC'!A36),"",'Table 5-B| MPTE VOC'!A36&amp;" -- "&amp;'Table 5-B| MPTE VOC'!B36&amp;": "&amp;'Table 5-B| MPTE VOC'!D36)</f>
        <v/>
      </c>
      <c r="B29" s="1332"/>
      <c r="C29" s="1333"/>
      <c r="D29" s="549" t="str">
        <f>IF(ISBLANK('Table 5-B| MPTE VOC'!C36),"",'Table 5-B| MPTE VOC'!C36)</f>
        <v/>
      </c>
      <c r="E29" s="411" t="str">
        <f>IF(ISBLANK('Table 5-B| MPTE VOC'!E36),"",'Table 5-B| MPTE VOC'!E36)</f>
        <v/>
      </c>
      <c r="F29" s="358"/>
      <c r="G29" s="358"/>
      <c r="H29" s="362" t="str">
        <f>IF(F29="No",'Table 5-B| MPTE VOC'!I36,IF(AND(F29="Yes",NOT(ISBLANK(G29))),('Table 5-B| MPTE VOC'!I36*(G29/E29)),""))</f>
        <v/>
      </c>
      <c r="I29" s="412" t="str">
        <f>IF(ISBLANK('Table 5-B| MPTE VOC'!J36),"",'Table 5-B| MPTE VOC'!J36)</f>
        <v/>
      </c>
      <c r="J29" s="358"/>
      <c r="K29" s="363"/>
      <c r="L29" s="364" t="str">
        <f>IFERROR(IF('Table 5-B| MPTE VOC'!K36="","",IF(J29="Yes",(H29*I29*(1-VLOOKUP(K29,'Emission Controls'!$A$3:$L$16,7,))),IF(J29="No",H29*I29,""))),"")</f>
        <v/>
      </c>
      <c r="M29" s="138">
        <f>IFERROR(VLOOKUP(K29,'Emission Controls'!$A$3:$B$16,2,),0)</f>
        <v>0</v>
      </c>
    </row>
    <row r="30" spans="1:26" s="105" customFormat="1" ht="18" customHeight="1" x14ac:dyDescent="0.2">
      <c r="A30" s="1331" t="str">
        <f>IF(ISBLANK('Table 5-B| MPTE VOC'!A37),"",'Table 5-B| MPTE VOC'!A37&amp;" -- "&amp;'Table 5-B| MPTE VOC'!B37&amp;": "&amp;'Table 5-B| MPTE VOC'!D37)</f>
        <v/>
      </c>
      <c r="B30" s="1332"/>
      <c r="C30" s="1333"/>
      <c r="D30" s="549" t="str">
        <f>IF(ISBLANK('Table 5-B| MPTE VOC'!C37),"",'Table 5-B| MPTE VOC'!C37)</f>
        <v/>
      </c>
      <c r="E30" s="411" t="str">
        <f>IF(ISBLANK('Table 5-B| MPTE VOC'!E37),"",'Table 5-B| MPTE VOC'!E37)</f>
        <v/>
      </c>
      <c r="F30" s="358"/>
      <c r="G30" s="358"/>
      <c r="H30" s="362" t="str">
        <f>IF(F30="No",'Table 5-B| MPTE VOC'!I37,IF(AND(F30="Yes",NOT(ISBLANK(G30))),('Table 5-B| MPTE VOC'!I37*(G30/E30)),""))</f>
        <v/>
      </c>
      <c r="I30" s="412" t="str">
        <f>IF(ISBLANK('Table 5-B| MPTE VOC'!J37),"",'Table 5-B| MPTE VOC'!J37)</f>
        <v/>
      </c>
      <c r="J30" s="358"/>
      <c r="K30" s="363"/>
      <c r="L30" s="364" t="str">
        <f>IFERROR(IF('Table 5-B| MPTE VOC'!K37="","",IF(J30="Yes",(H30*I30*(1-VLOOKUP(K30,'Emission Controls'!$A$3:$L$16,7,))),IF(J30="No",H30*I30,""))),"")</f>
        <v/>
      </c>
      <c r="M30" s="138">
        <f>IFERROR(VLOOKUP(K30,'Emission Controls'!$A$3:$B$16,2,),0)</f>
        <v>0</v>
      </c>
    </row>
    <row r="31" spans="1:26" s="105" customFormat="1" ht="18" customHeight="1" x14ac:dyDescent="0.2">
      <c r="A31" s="1331" t="str">
        <f>IF(ISBLANK('Table 5-B| MPTE VOC'!A38),"",'Table 5-B| MPTE VOC'!A38&amp;" -- "&amp;'Table 5-B| MPTE VOC'!B38&amp;": "&amp;'Table 5-B| MPTE VOC'!D38)</f>
        <v/>
      </c>
      <c r="B31" s="1332"/>
      <c r="C31" s="1333"/>
      <c r="D31" s="549" t="str">
        <f>IF(ISBLANK('Table 5-B| MPTE VOC'!C38),"",'Table 5-B| MPTE VOC'!C38)</f>
        <v/>
      </c>
      <c r="E31" s="411" t="str">
        <f>IF(ISBLANK('Table 5-B| MPTE VOC'!E38),"",'Table 5-B| MPTE VOC'!E38)</f>
        <v/>
      </c>
      <c r="F31" s="358"/>
      <c r="G31" s="358"/>
      <c r="H31" s="362" t="str">
        <f>IF(F31="No",'Table 5-B| MPTE VOC'!I38,IF(AND(F31="Yes",NOT(ISBLANK(G31))),('Table 5-B| MPTE VOC'!I38*(G31/E31)),""))</f>
        <v/>
      </c>
      <c r="I31" s="412" t="str">
        <f>IF(ISBLANK('Table 5-B| MPTE VOC'!J38),"",'Table 5-B| MPTE VOC'!J38)</f>
        <v/>
      </c>
      <c r="J31" s="358"/>
      <c r="K31" s="363"/>
      <c r="L31" s="364" t="str">
        <f>IFERROR(IF('Table 5-B| MPTE VOC'!K38="","",IF(J31="Yes",(H31*I31*(1-VLOOKUP(K31,'Emission Controls'!$A$3:$L$16,7,))),IF(J31="No",H31*I31,""))),"")</f>
        <v/>
      </c>
      <c r="M31" s="138">
        <f>IFERROR(VLOOKUP(K31,'Emission Controls'!$A$3:$B$16,2,),0)</f>
        <v>0</v>
      </c>
    </row>
    <row r="32" spans="1:26" s="105" customFormat="1" ht="18" customHeight="1" x14ac:dyDescent="0.2">
      <c r="A32" s="1331" t="str">
        <f>IF(ISBLANK('Table 5-B| MPTE VOC'!A39),"",'Table 5-B| MPTE VOC'!A39&amp;" -- "&amp;'Table 5-B| MPTE VOC'!B39&amp;": "&amp;'Table 5-B| MPTE VOC'!D39)</f>
        <v/>
      </c>
      <c r="B32" s="1332"/>
      <c r="C32" s="1333"/>
      <c r="D32" s="549" t="str">
        <f>IF(ISBLANK('Table 5-B| MPTE VOC'!C39),"",'Table 5-B| MPTE VOC'!C39)</f>
        <v/>
      </c>
      <c r="E32" s="411" t="str">
        <f>IF(ISBLANK('Table 5-B| MPTE VOC'!E39),"",'Table 5-B| MPTE VOC'!E39)</f>
        <v/>
      </c>
      <c r="F32" s="358"/>
      <c r="G32" s="358"/>
      <c r="H32" s="362" t="str">
        <f>IF(F32="No",'Table 5-B| MPTE VOC'!I39,IF(AND(F32="Yes",NOT(ISBLANK(G32))),('Table 5-B| MPTE VOC'!I39*(G32/E32)),""))</f>
        <v/>
      </c>
      <c r="I32" s="412" t="str">
        <f>IF(ISBLANK('Table 5-B| MPTE VOC'!J39),"",'Table 5-B| MPTE VOC'!J39)</f>
        <v/>
      </c>
      <c r="J32" s="358"/>
      <c r="K32" s="363"/>
      <c r="L32" s="364" t="str">
        <f>IFERROR(IF('Table 5-B| MPTE VOC'!K39="","",IF(J32="Yes",(H32*I32*(1-VLOOKUP(K32,'Emission Controls'!$A$3:$L$16,7,))),IF(J32="No",H32*I32,""))),"")</f>
        <v/>
      </c>
      <c r="M32" s="138">
        <f>IFERROR(VLOOKUP(K32,'Emission Controls'!$A$3:$B$16,2,),0)</f>
        <v>0</v>
      </c>
    </row>
    <row r="33" spans="1:13" s="105" customFormat="1" ht="18" customHeight="1" x14ac:dyDescent="0.2">
      <c r="A33" s="1331" t="str">
        <f>IF(ISBLANK('Table 5-B| MPTE VOC'!A40),"",'Table 5-B| MPTE VOC'!A40&amp;" -- "&amp;'Table 5-B| MPTE VOC'!B40&amp;": "&amp;'Table 5-B| MPTE VOC'!D40)</f>
        <v/>
      </c>
      <c r="B33" s="1332"/>
      <c r="C33" s="1333"/>
      <c r="D33" s="549" t="str">
        <f>IF(ISBLANK('Table 5-B| MPTE VOC'!C40),"",'Table 5-B| MPTE VOC'!C40)</f>
        <v/>
      </c>
      <c r="E33" s="411" t="str">
        <f>IF(ISBLANK('Table 5-B| MPTE VOC'!E40),"",'Table 5-B| MPTE VOC'!E40)</f>
        <v/>
      </c>
      <c r="F33" s="358"/>
      <c r="G33" s="358"/>
      <c r="H33" s="362" t="str">
        <f>IF(F33="No",'Table 5-B| MPTE VOC'!I40,IF(AND(F33="Yes",NOT(ISBLANK(G33))),('Table 5-B| MPTE VOC'!I40*(G33/E33)),""))</f>
        <v/>
      </c>
      <c r="I33" s="412" t="str">
        <f>IF(ISBLANK('Table 5-B| MPTE VOC'!J40),"",'Table 5-B| MPTE VOC'!J40)</f>
        <v/>
      </c>
      <c r="J33" s="358"/>
      <c r="K33" s="363"/>
      <c r="L33" s="364" t="str">
        <f>IFERROR(IF('Table 5-B| MPTE VOC'!K40="","",IF(J33="Yes",(H33*I33*(1-VLOOKUP(K33,'Emission Controls'!$A$3:$L$16,7,))),IF(J33="No",H33*I33,""))),"")</f>
        <v/>
      </c>
      <c r="M33" s="138">
        <f>IFERROR(VLOOKUP(K33,'Emission Controls'!$A$3:$B$16,2,),0)</f>
        <v>0</v>
      </c>
    </row>
    <row r="34" spans="1:13" s="105" customFormat="1" ht="18" customHeight="1" x14ac:dyDescent="0.2">
      <c r="A34" s="1331" t="str">
        <f>IF(ISBLANK('Table 5-B| MPTE VOC'!A41),"",'Table 5-B| MPTE VOC'!A41&amp;" -- "&amp;'Table 5-B| MPTE VOC'!B41&amp;": "&amp;'Table 5-B| MPTE VOC'!D41)</f>
        <v/>
      </c>
      <c r="B34" s="1332"/>
      <c r="C34" s="1333"/>
      <c r="D34" s="549" t="str">
        <f>IF(ISBLANK('Table 5-B| MPTE VOC'!C41),"",'Table 5-B| MPTE VOC'!C41)</f>
        <v/>
      </c>
      <c r="E34" s="411" t="str">
        <f>IF(ISBLANK('Table 5-B| MPTE VOC'!E41),"",'Table 5-B| MPTE VOC'!E41)</f>
        <v/>
      </c>
      <c r="F34" s="358"/>
      <c r="G34" s="358"/>
      <c r="H34" s="362" t="str">
        <f>IF(F34="No",'Table 5-B| MPTE VOC'!I41,IF(AND(F34="Yes",NOT(ISBLANK(G34))),('Table 5-B| MPTE VOC'!I41*(G34/E34)),""))</f>
        <v/>
      </c>
      <c r="I34" s="412" t="str">
        <f>IF(ISBLANK('Table 5-B| MPTE VOC'!J41),"",'Table 5-B| MPTE VOC'!J41)</f>
        <v/>
      </c>
      <c r="J34" s="358"/>
      <c r="K34" s="363"/>
      <c r="L34" s="364" t="str">
        <f>IFERROR(IF('Table 5-B| MPTE VOC'!K41="","",IF(J34="Yes",(H34*I34*(1-VLOOKUP(K34,'Emission Controls'!$A$3:$L$16,7,))),IF(J34="No",H34*I34,""))),"")</f>
        <v/>
      </c>
      <c r="M34" s="138">
        <f>IFERROR(VLOOKUP(K34,'Emission Controls'!$A$3:$B$16,2,),0)</f>
        <v>0</v>
      </c>
    </row>
    <row r="35" spans="1:13" s="105" customFormat="1" ht="18" customHeight="1" x14ac:dyDescent="0.2">
      <c r="A35" s="1331" t="str">
        <f>IF(ISBLANK('Table 5-B| MPTE VOC'!A42),"",'Table 5-B| MPTE VOC'!A42&amp;" -- "&amp;'Table 5-B| MPTE VOC'!B42&amp;": "&amp;'Table 5-B| MPTE VOC'!D42)</f>
        <v/>
      </c>
      <c r="B35" s="1332"/>
      <c r="C35" s="1333"/>
      <c r="D35" s="549" t="str">
        <f>IF(ISBLANK('Table 5-B| MPTE VOC'!C42),"",'Table 5-B| MPTE VOC'!C42)</f>
        <v/>
      </c>
      <c r="E35" s="411" t="str">
        <f>IF(ISBLANK('Table 5-B| MPTE VOC'!E42),"",'Table 5-B| MPTE VOC'!E42)</f>
        <v/>
      </c>
      <c r="F35" s="358"/>
      <c r="G35" s="358"/>
      <c r="H35" s="362" t="str">
        <f>IF(F35="No",'Table 5-B| MPTE VOC'!I42,IF(AND(F35="Yes",NOT(ISBLANK(G35))),('Table 5-B| MPTE VOC'!I42*(G35/E35)),""))</f>
        <v/>
      </c>
      <c r="I35" s="412" t="str">
        <f>IF(ISBLANK('Table 5-B| MPTE VOC'!J42),"",'Table 5-B| MPTE VOC'!J42)</f>
        <v/>
      </c>
      <c r="J35" s="358"/>
      <c r="K35" s="363"/>
      <c r="L35" s="364" t="str">
        <f>IFERROR(IF('Table 5-B| MPTE VOC'!K42="","",IF(J35="Yes",(H35*I35*(1-VLOOKUP(K35,'Emission Controls'!$A$3:$L$16,7,))),IF(J35="No",H35*I35,""))),"")</f>
        <v/>
      </c>
      <c r="M35" s="138">
        <f>IFERROR(VLOOKUP(K35,'Emission Controls'!$A$3:$B$16,2,),0)</f>
        <v>0</v>
      </c>
    </row>
    <row r="36" spans="1:13" s="105" customFormat="1" ht="18" customHeight="1" x14ac:dyDescent="0.2">
      <c r="A36" s="1331" t="str">
        <f>IF(ISBLANK('Table 5-B| MPTE VOC'!A43),"",'Table 5-B| MPTE VOC'!A43&amp;" -- "&amp;'Table 5-B| MPTE VOC'!B43&amp;": "&amp;'Table 5-B| MPTE VOC'!D43)</f>
        <v/>
      </c>
      <c r="B36" s="1332"/>
      <c r="C36" s="1333"/>
      <c r="D36" s="549" t="str">
        <f>IF(ISBLANK('Table 5-B| MPTE VOC'!C43),"",'Table 5-B| MPTE VOC'!C43)</f>
        <v/>
      </c>
      <c r="E36" s="411" t="str">
        <f>IF(ISBLANK('Table 5-B| MPTE VOC'!E43),"",'Table 5-B| MPTE VOC'!E43)</f>
        <v/>
      </c>
      <c r="F36" s="358"/>
      <c r="G36" s="358"/>
      <c r="H36" s="362" t="str">
        <f>IF(F36="No",'Table 5-B| MPTE VOC'!I43,IF(AND(F36="Yes",NOT(ISBLANK(G36))),('Table 5-B| MPTE VOC'!I43*(G36/E36)),""))</f>
        <v/>
      </c>
      <c r="I36" s="412" t="str">
        <f>IF(ISBLANK('Table 5-B| MPTE VOC'!J43),"",'Table 5-B| MPTE VOC'!J43)</f>
        <v/>
      </c>
      <c r="J36" s="358"/>
      <c r="K36" s="363"/>
      <c r="L36" s="364" t="str">
        <f>IFERROR(IF('Table 5-B| MPTE VOC'!K43="","",IF(J36="Yes",(H36*I36*(1-VLOOKUP(K36,'Emission Controls'!$A$3:$L$16,7,))),IF(J36="No",H36*I36,""))),"")</f>
        <v/>
      </c>
      <c r="M36" s="138">
        <f>IFERROR(VLOOKUP(K36,'Emission Controls'!$A$3:$B$16,2,),0)</f>
        <v>0</v>
      </c>
    </row>
    <row r="37" spans="1:13" s="105" customFormat="1" ht="18" customHeight="1" x14ac:dyDescent="0.2">
      <c r="A37" s="1331" t="str">
        <f>IF(ISBLANK('Table 5-B| MPTE VOC'!A44),"",'Table 5-B| MPTE VOC'!A44&amp;" -- "&amp;'Table 5-B| MPTE VOC'!B44&amp;": "&amp;'Table 5-B| MPTE VOC'!D44)</f>
        <v/>
      </c>
      <c r="B37" s="1332"/>
      <c r="C37" s="1333"/>
      <c r="D37" s="549" t="str">
        <f>IF(ISBLANK('Table 5-B| MPTE VOC'!C44),"",'Table 5-B| MPTE VOC'!C44)</f>
        <v/>
      </c>
      <c r="E37" s="411" t="str">
        <f>IF(ISBLANK('Table 5-B| MPTE VOC'!E44),"",'Table 5-B| MPTE VOC'!E44)</f>
        <v/>
      </c>
      <c r="F37" s="358"/>
      <c r="G37" s="358"/>
      <c r="H37" s="362" t="str">
        <f>IF(F37="No",'Table 5-B| MPTE VOC'!I44,IF(AND(F37="Yes",NOT(ISBLANK(G37))),('Table 5-B| MPTE VOC'!I44*(G37/E37)),""))</f>
        <v/>
      </c>
      <c r="I37" s="412" t="str">
        <f>IF(ISBLANK('Table 5-B| MPTE VOC'!J44),"",'Table 5-B| MPTE VOC'!J44)</f>
        <v/>
      </c>
      <c r="J37" s="358"/>
      <c r="K37" s="363"/>
      <c r="L37" s="364" t="str">
        <f>IFERROR(IF('Table 5-B| MPTE VOC'!K44="","",IF(J37="Yes",(H37*I37*(1-VLOOKUP(K37,'Emission Controls'!$A$3:$L$16,7,))),IF(J37="No",H37*I37,""))),"")</f>
        <v/>
      </c>
      <c r="M37" s="138">
        <f>IFERROR(VLOOKUP(K37,'Emission Controls'!$A$3:$B$16,2,),0)</f>
        <v>0</v>
      </c>
    </row>
    <row r="38" spans="1:13" s="105" customFormat="1" ht="18" customHeight="1" x14ac:dyDescent="0.2">
      <c r="A38" s="1331" t="str">
        <f>IF(ISBLANK('Table 5-B| MPTE VOC'!A45),"",'Table 5-B| MPTE VOC'!A45&amp;" -- "&amp;'Table 5-B| MPTE VOC'!B45&amp;": "&amp;'Table 5-B| MPTE VOC'!D45)</f>
        <v/>
      </c>
      <c r="B38" s="1332"/>
      <c r="C38" s="1333"/>
      <c r="D38" s="549" t="str">
        <f>IF(ISBLANK('Table 5-B| MPTE VOC'!C45),"",'Table 5-B| MPTE VOC'!C45)</f>
        <v/>
      </c>
      <c r="E38" s="411" t="str">
        <f>IF(ISBLANK('Table 5-B| MPTE VOC'!E45),"",'Table 5-B| MPTE VOC'!E45)</f>
        <v/>
      </c>
      <c r="F38" s="358"/>
      <c r="G38" s="358"/>
      <c r="H38" s="362" t="str">
        <f>IF(F38="No",'Table 5-B| MPTE VOC'!I45,IF(AND(F38="Yes",NOT(ISBLANK(G38))),('Table 5-B| MPTE VOC'!I45*(G38/E38)),""))</f>
        <v/>
      </c>
      <c r="I38" s="412" t="str">
        <f>IF(ISBLANK('Table 5-B| MPTE VOC'!J45),"",'Table 5-B| MPTE VOC'!J45)</f>
        <v/>
      </c>
      <c r="J38" s="358"/>
      <c r="K38" s="363"/>
      <c r="L38" s="364" t="str">
        <f>IFERROR(IF('Table 5-B| MPTE VOC'!K45="","",IF(J38="Yes",(H38*I38*(1-VLOOKUP(K38,'Emission Controls'!$A$3:$L$16,7,))),IF(J38="No",H38*I38,""))),"")</f>
        <v/>
      </c>
      <c r="M38" s="138">
        <f>IFERROR(VLOOKUP(K38,'Emission Controls'!$A$3:$B$16,2,),0)</f>
        <v>0</v>
      </c>
    </row>
    <row r="39" spans="1:13" s="105" customFormat="1" ht="18" customHeight="1" x14ac:dyDescent="0.2">
      <c r="A39" s="1331" t="str">
        <f>IF(ISBLANK('Table 5-B| MPTE VOC'!A46),"",'Table 5-B| MPTE VOC'!A46&amp;" -- "&amp;'Table 5-B| MPTE VOC'!B46&amp;": "&amp;'Table 5-B| MPTE VOC'!D46)</f>
        <v/>
      </c>
      <c r="B39" s="1332"/>
      <c r="C39" s="1333"/>
      <c r="D39" s="549" t="str">
        <f>IF(ISBLANK('Table 5-B| MPTE VOC'!C46),"",'Table 5-B| MPTE VOC'!C46)</f>
        <v/>
      </c>
      <c r="E39" s="411" t="str">
        <f>IF(ISBLANK('Table 5-B| MPTE VOC'!E46),"",'Table 5-B| MPTE VOC'!E46)</f>
        <v/>
      </c>
      <c r="F39" s="358"/>
      <c r="G39" s="358"/>
      <c r="H39" s="362" t="str">
        <f>IF(F39="No",'Table 5-B| MPTE VOC'!I46,IF(AND(F39="Yes",NOT(ISBLANK(G39))),('Table 5-B| MPTE VOC'!I46*(G39/E39)),""))</f>
        <v/>
      </c>
      <c r="I39" s="412" t="str">
        <f>IF(ISBLANK('Table 5-B| MPTE VOC'!J46),"",'Table 5-B| MPTE VOC'!J46)</f>
        <v/>
      </c>
      <c r="J39" s="358"/>
      <c r="K39" s="363"/>
      <c r="L39" s="364" t="str">
        <f>IFERROR(IF('Table 5-B| MPTE VOC'!K46="","",IF(J39="Yes",(H39*I39*(1-VLOOKUP(K39,'Emission Controls'!$A$3:$L$16,7,))),IF(J39="No",H39*I39,""))),"")</f>
        <v/>
      </c>
      <c r="M39" s="138">
        <f>IFERROR(VLOOKUP(K39,'Emission Controls'!$A$3:$B$16,2,),0)</f>
        <v>0</v>
      </c>
    </row>
    <row r="40" spans="1:13" s="105" customFormat="1" ht="18" customHeight="1" x14ac:dyDescent="0.2">
      <c r="A40" s="1331" t="str">
        <f>IF(ISBLANK('Table 5-B| MPTE VOC'!A47),"",'Table 5-B| MPTE VOC'!A47&amp;" -- "&amp;'Table 5-B| MPTE VOC'!B47&amp;": "&amp;'Table 5-B| MPTE VOC'!D47)</f>
        <v/>
      </c>
      <c r="B40" s="1332"/>
      <c r="C40" s="1333"/>
      <c r="D40" s="549" t="str">
        <f>IF(ISBLANK('Table 5-B| MPTE VOC'!C47),"",'Table 5-B| MPTE VOC'!C47)</f>
        <v/>
      </c>
      <c r="E40" s="411" t="str">
        <f>IF(ISBLANK('Table 5-B| MPTE VOC'!E47),"",'Table 5-B| MPTE VOC'!E47)</f>
        <v/>
      </c>
      <c r="F40" s="358"/>
      <c r="G40" s="358"/>
      <c r="H40" s="362" t="str">
        <f>IF(F40="No",'Table 5-B| MPTE VOC'!I47,IF(AND(F40="Yes",NOT(ISBLANK(G40))),('Table 5-B| MPTE VOC'!I47*(G40/E40)),""))</f>
        <v/>
      </c>
      <c r="I40" s="412" t="str">
        <f>IF(ISBLANK('Table 5-B| MPTE VOC'!J47),"",'Table 5-B| MPTE VOC'!J47)</f>
        <v/>
      </c>
      <c r="J40" s="358"/>
      <c r="K40" s="363"/>
      <c r="L40" s="364" t="str">
        <f>IFERROR(IF('Table 5-B| MPTE VOC'!K47="","",IF(J40="Yes",(H40*I40*(1-VLOOKUP(K40,'Emission Controls'!$A$3:$L$16,7,))),IF(J40="No",H40*I40,""))),"")</f>
        <v/>
      </c>
      <c r="M40" s="138">
        <f>IFERROR(VLOOKUP(K40,'Emission Controls'!$A$3:$B$16,2,),0)</f>
        <v>0</v>
      </c>
    </row>
    <row r="41" spans="1:13" s="105" customFormat="1" ht="18" customHeight="1" x14ac:dyDescent="0.2">
      <c r="A41" s="1331" t="str">
        <f>IF(ISBLANK('Table 5-B| MPTE VOC'!A48),"",'Table 5-B| MPTE VOC'!A48&amp;" -- "&amp;'Table 5-B| MPTE VOC'!B48&amp;": "&amp;'Table 5-B| MPTE VOC'!D48)</f>
        <v/>
      </c>
      <c r="B41" s="1332"/>
      <c r="C41" s="1333"/>
      <c r="D41" s="549" t="str">
        <f>IF(ISBLANK('Table 5-B| MPTE VOC'!C48),"",'Table 5-B| MPTE VOC'!C48)</f>
        <v/>
      </c>
      <c r="E41" s="411" t="str">
        <f>IF(ISBLANK('Table 5-B| MPTE VOC'!E48),"",'Table 5-B| MPTE VOC'!E48)</f>
        <v/>
      </c>
      <c r="F41" s="358"/>
      <c r="G41" s="358"/>
      <c r="H41" s="362" t="str">
        <f>IF(F41="No",'Table 5-B| MPTE VOC'!I48,IF(AND(F41="Yes",NOT(ISBLANK(G41))),('Table 5-B| MPTE VOC'!I48*(G41/E41)),""))</f>
        <v/>
      </c>
      <c r="I41" s="412" t="str">
        <f>IF(ISBLANK('Table 5-B| MPTE VOC'!J48),"",'Table 5-B| MPTE VOC'!J48)</f>
        <v/>
      </c>
      <c r="J41" s="358"/>
      <c r="K41" s="363"/>
      <c r="L41" s="364" t="str">
        <f>IFERROR(IF('Table 5-B| MPTE VOC'!K48="","",IF(J41="Yes",(H41*I41*(1-VLOOKUP(K41,'Emission Controls'!$A$3:$L$16,7,))),IF(J41="No",H41*I41,""))),"")</f>
        <v/>
      </c>
      <c r="M41" s="138">
        <f>IFERROR(VLOOKUP(K41,'Emission Controls'!$A$3:$B$16,2,),0)</f>
        <v>0</v>
      </c>
    </row>
    <row r="42" spans="1:13" s="105" customFormat="1" ht="18" customHeight="1" x14ac:dyDescent="0.2">
      <c r="A42" s="1331" t="str">
        <f>IF(ISBLANK('Table 5-B| MPTE VOC'!A49),"",'Table 5-B| MPTE VOC'!A49&amp;" -- "&amp;'Table 5-B| MPTE VOC'!B49&amp;": "&amp;'Table 5-B| MPTE VOC'!D49)</f>
        <v/>
      </c>
      <c r="B42" s="1332"/>
      <c r="C42" s="1333"/>
      <c r="D42" s="549" t="str">
        <f>IF(ISBLANK('Table 5-B| MPTE VOC'!C49),"",'Table 5-B| MPTE VOC'!C49)</f>
        <v/>
      </c>
      <c r="E42" s="411" t="str">
        <f>IF(ISBLANK('Table 5-B| MPTE VOC'!E49),"",'Table 5-B| MPTE VOC'!E49)</f>
        <v/>
      </c>
      <c r="F42" s="358"/>
      <c r="G42" s="358"/>
      <c r="H42" s="362" t="str">
        <f>IF(F42="No",'Table 5-B| MPTE VOC'!I49,IF(AND(F42="Yes",NOT(ISBLANK(G42))),('Table 5-B| MPTE VOC'!I49*(G42/E42)),""))</f>
        <v/>
      </c>
      <c r="I42" s="412" t="str">
        <f>IF(ISBLANK('Table 5-B| MPTE VOC'!J49),"",'Table 5-B| MPTE VOC'!J49)</f>
        <v/>
      </c>
      <c r="J42" s="358"/>
      <c r="K42" s="363"/>
      <c r="L42" s="364" t="str">
        <f>IFERROR(IF('Table 5-B| MPTE VOC'!K49="","",IF(J42="Yes",(H42*I42*(1-VLOOKUP(K42,'Emission Controls'!$A$3:$L$16,7,))),IF(J42="No",H42*I42,""))),"")</f>
        <v/>
      </c>
      <c r="M42" s="138">
        <f>IFERROR(VLOOKUP(K42,'Emission Controls'!$A$3:$B$16,2,),0)</f>
        <v>0</v>
      </c>
    </row>
    <row r="43" spans="1:13" s="105" customFormat="1" ht="18" customHeight="1" x14ac:dyDescent="0.2">
      <c r="A43" s="1331" t="str">
        <f>IF(ISBLANK('Table 5-B| MPTE VOC'!A50),"",'Table 5-B| MPTE VOC'!A50&amp;" -- "&amp;'Table 5-B| MPTE VOC'!B50&amp;": "&amp;'Table 5-B| MPTE VOC'!D50)</f>
        <v/>
      </c>
      <c r="B43" s="1332"/>
      <c r="C43" s="1333"/>
      <c r="D43" s="549" t="str">
        <f>IF(ISBLANK('Table 5-B| MPTE VOC'!C50),"",'Table 5-B| MPTE VOC'!C50)</f>
        <v/>
      </c>
      <c r="E43" s="411" t="str">
        <f>IF(ISBLANK('Table 5-B| MPTE VOC'!E50),"",'Table 5-B| MPTE VOC'!E50)</f>
        <v/>
      </c>
      <c r="F43" s="358"/>
      <c r="G43" s="358"/>
      <c r="H43" s="362" t="str">
        <f>IF(F43="No",'Table 5-B| MPTE VOC'!I50,IF(AND(F43="Yes",NOT(ISBLANK(G43))),('Table 5-B| MPTE VOC'!I50*(G43/E43)),""))</f>
        <v/>
      </c>
      <c r="I43" s="412" t="str">
        <f>IF(ISBLANK('Table 5-B| MPTE VOC'!J50),"",'Table 5-B| MPTE VOC'!J50)</f>
        <v/>
      </c>
      <c r="J43" s="358"/>
      <c r="K43" s="363"/>
      <c r="L43" s="364" t="str">
        <f>IFERROR(IF('Table 5-B| MPTE VOC'!K50="","",IF(J43="Yes",(H43*I43*(1-VLOOKUP(K43,'Emission Controls'!$A$3:$L$16,7,))),IF(J43="No",H43*I43,""))),"")</f>
        <v/>
      </c>
      <c r="M43" s="138">
        <f>IFERROR(VLOOKUP(K43,'Emission Controls'!$A$3:$B$16,2,),0)</f>
        <v>0</v>
      </c>
    </row>
    <row r="44" spans="1:13" s="105" customFormat="1" ht="18" customHeight="1" x14ac:dyDescent="0.2">
      <c r="A44" s="1331" t="str">
        <f>IF(ISBLANK('Table 5-B| MPTE VOC'!A51),"",'Table 5-B| MPTE VOC'!A51&amp;" -- "&amp;'Table 5-B| MPTE VOC'!B51&amp;": "&amp;'Table 5-B| MPTE VOC'!D51)</f>
        <v/>
      </c>
      <c r="B44" s="1332"/>
      <c r="C44" s="1333"/>
      <c r="D44" s="549" t="str">
        <f>IF(ISBLANK('Table 5-B| MPTE VOC'!C51),"",'Table 5-B| MPTE VOC'!C51)</f>
        <v/>
      </c>
      <c r="E44" s="411" t="str">
        <f>IF(ISBLANK('Table 5-B| MPTE VOC'!E51),"",'Table 5-B| MPTE VOC'!E51)</f>
        <v/>
      </c>
      <c r="F44" s="358"/>
      <c r="G44" s="358"/>
      <c r="H44" s="362" t="str">
        <f>IF(F44="No",'Table 5-B| MPTE VOC'!I51,IF(AND(F44="Yes",NOT(ISBLANK(G44))),('Table 5-B| MPTE VOC'!I51*(G44/E44)),""))</f>
        <v/>
      </c>
      <c r="I44" s="412" t="str">
        <f>IF(ISBLANK('Table 5-B| MPTE VOC'!J51),"",'Table 5-B| MPTE VOC'!J51)</f>
        <v/>
      </c>
      <c r="J44" s="358"/>
      <c r="K44" s="363"/>
      <c r="L44" s="364" t="str">
        <f>IFERROR(IF('Table 5-B| MPTE VOC'!K51="","",IF(J44="Yes",(H44*I44*(1-VLOOKUP(K44,'Emission Controls'!$A$3:$L$16,7,))),IF(J44="No",H44*I44,""))),"")</f>
        <v/>
      </c>
      <c r="M44" s="138">
        <f>IFERROR(VLOOKUP(K44,'Emission Controls'!$A$3:$B$16,2,),0)</f>
        <v>0</v>
      </c>
    </row>
    <row r="45" spans="1:13" s="105" customFormat="1" ht="18" customHeight="1" x14ac:dyDescent="0.2">
      <c r="A45" s="1331" t="str">
        <f>IF(ISBLANK('Table 5-B| MPTE VOC'!A52),"",'Table 5-B| MPTE VOC'!A52&amp;" -- "&amp;'Table 5-B| MPTE VOC'!B52&amp;": "&amp;'Table 5-B| MPTE VOC'!D52)</f>
        <v/>
      </c>
      <c r="B45" s="1332"/>
      <c r="C45" s="1333"/>
      <c r="D45" s="549" t="str">
        <f>IF(ISBLANK('Table 5-B| MPTE VOC'!C52),"",'Table 5-B| MPTE VOC'!C52)</f>
        <v/>
      </c>
      <c r="E45" s="411" t="str">
        <f>IF(ISBLANK('Table 5-B| MPTE VOC'!E52),"",'Table 5-B| MPTE VOC'!E52)</f>
        <v/>
      </c>
      <c r="F45" s="358"/>
      <c r="G45" s="358"/>
      <c r="H45" s="362" t="str">
        <f>IF(F45="No",'Table 5-B| MPTE VOC'!I52,IF(AND(F45="Yes",NOT(ISBLANK(G45))),('Table 5-B| MPTE VOC'!I52*(G45/E45)),""))</f>
        <v/>
      </c>
      <c r="I45" s="412" t="str">
        <f>IF(ISBLANK('Table 5-B| MPTE VOC'!J52),"",'Table 5-B| MPTE VOC'!J52)</f>
        <v/>
      </c>
      <c r="J45" s="358"/>
      <c r="K45" s="363"/>
      <c r="L45" s="364" t="str">
        <f>IFERROR(IF('Table 5-B| MPTE VOC'!K52="","",IF(J45="Yes",(H45*I45*(1-VLOOKUP(K45,'Emission Controls'!$A$3:$L$16,7,))),IF(J45="No",H45*I45,""))),"")</f>
        <v/>
      </c>
      <c r="M45" s="138">
        <f>IFERROR(VLOOKUP(K45,'Emission Controls'!$A$3:$B$16,2,),0)</f>
        <v>0</v>
      </c>
    </row>
    <row r="46" spans="1:13" s="105" customFormat="1" ht="18" customHeight="1" x14ac:dyDescent="0.2">
      <c r="A46" s="1331" t="str">
        <f>IF(ISBLANK('Table 5-B| MPTE VOC'!A53),"",'Table 5-B| MPTE VOC'!A53&amp;" -- "&amp;'Table 5-B| MPTE VOC'!B53&amp;": "&amp;'Table 5-B| MPTE VOC'!D53)</f>
        <v/>
      </c>
      <c r="B46" s="1332"/>
      <c r="C46" s="1333"/>
      <c r="D46" s="549" t="str">
        <f>IF(ISBLANK('Table 5-B| MPTE VOC'!C53),"",'Table 5-B| MPTE VOC'!C53)</f>
        <v/>
      </c>
      <c r="E46" s="411" t="str">
        <f>IF(ISBLANK('Table 5-B| MPTE VOC'!E53),"",'Table 5-B| MPTE VOC'!E53)</f>
        <v/>
      </c>
      <c r="F46" s="358"/>
      <c r="G46" s="358"/>
      <c r="H46" s="362" t="str">
        <f>IF(F46="No",'Table 5-B| MPTE VOC'!I53,IF(AND(F46="Yes",NOT(ISBLANK(G46))),('Table 5-B| MPTE VOC'!I53*(G46/E46)),""))</f>
        <v/>
      </c>
      <c r="I46" s="412" t="str">
        <f>IF(ISBLANK('Table 5-B| MPTE VOC'!J53),"",'Table 5-B| MPTE VOC'!J53)</f>
        <v/>
      </c>
      <c r="J46" s="358"/>
      <c r="K46" s="363"/>
      <c r="L46" s="364" t="str">
        <f>IFERROR(IF('Table 5-B| MPTE VOC'!K53="","",IF(J46="Yes",(H46*I46*(1-VLOOKUP(K46,'Emission Controls'!$A$3:$L$16,7,))),IF(J46="No",H46*I46,""))),"")</f>
        <v/>
      </c>
      <c r="M46" s="138">
        <f>IFERROR(VLOOKUP(K46,'Emission Controls'!$A$3:$B$16,2,),0)</f>
        <v>0</v>
      </c>
    </row>
    <row r="47" spans="1:13" s="105" customFormat="1" ht="18" customHeight="1" x14ac:dyDescent="0.2">
      <c r="A47" s="1331" t="str">
        <f>IF(ISBLANK('Table 5-B| MPTE VOC'!A54),"",'Table 5-B| MPTE VOC'!A54&amp;" -- "&amp;'Table 5-B| MPTE VOC'!B54&amp;": "&amp;'Table 5-B| MPTE VOC'!D54)</f>
        <v/>
      </c>
      <c r="B47" s="1332"/>
      <c r="C47" s="1333"/>
      <c r="D47" s="549" t="str">
        <f>IF(ISBLANK('Table 5-B| MPTE VOC'!C54),"",'Table 5-B| MPTE VOC'!C54)</f>
        <v/>
      </c>
      <c r="E47" s="411" t="str">
        <f>IF(ISBLANK('Table 5-B| MPTE VOC'!E54),"",'Table 5-B| MPTE VOC'!E54)</f>
        <v/>
      </c>
      <c r="F47" s="358"/>
      <c r="G47" s="358"/>
      <c r="H47" s="362" t="str">
        <f>IF(F47="No",'Table 5-B| MPTE VOC'!I54,IF(AND(F47="Yes",NOT(ISBLANK(G47))),('Table 5-B| MPTE VOC'!I54*(G47/E47)),""))</f>
        <v/>
      </c>
      <c r="I47" s="412" t="str">
        <f>IF(ISBLANK('Table 5-B| MPTE VOC'!J54),"",'Table 5-B| MPTE VOC'!J54)</f>
        <v/>
      </c>
      <c r="J47" s="358"/>
      <c r="K47" s="363"/>
      <c r="L47" s="364" t="str">
        <f>IFERROR(IF('Table 5-B| MPTE VOC'!K54="","",IF(J47="Yes",(H47*I47*(1-VLOOKUP(K47,'Emission Controls'!$A$3:$L$16,7,))),IF(J47="No",H47*I47,""))),"")</f>
        <v/>
      </c>
      <c r="M47" s="138">
        <f>IFERROR(VLOOKUP(K47,'Emission Controls'!$A$3:$B$16,2,),0)</f>
        <v>0</v>
      </c>
    </row>
    <row r="48" spans="1:13" s="105" customFormat="1" ht="18" customHeight="1" x14ac:dyDescent="0.2">
      <c r="A48" s="1331" t="str">
        <f>IF(ISBLANK('Table 5-B| MPTE VOC'!A55),"",'Table 5-B| MPTE VOC'!A55&amp;" -- "&amp;'Table 5-B| MPTE VOC'!B55&amp;": "&amp;'Table 5-B| MPTE VOC'!D55)</f>
        <v/>
      </c>
      <c r="B48" s="1332"/>
      <c r="C48" s="1333"/>
      <c r="D48" s="549" t="str">
        <f>IF(ISBLANK('Table 5-B| MPTE VOC'!C55),"",'Table 5-B| MPTE VOC'!C55)</f>
        <v/>
      </c>
      <c r="E48" s="411" t="str">
        <f>IF(ISBLANK('Table 5-B| MPTE VOC'!E55),"",'Table 5-B| MPTE VOC'!E55)</f>
        <v/>
      </c>
      <c r="F48" s="358"/>
      <c r="G48" s="358"/>
      <c r="H48" s="362" t="str">
        <f>IF(F48="No",'Table 5-B| MPTE VOC'!I55,IF(AND(F48="Yes",NOT(ISBLANK(G48))),('Table 5-B| MPTE VOC'!I55*(G48/E48)),""))</f>
        <v/>
      </c>
      <c r="I48" s="412" t="str">
        <f>IF(ISBLANK('Table 5-B| MPTE VOC'!J55),"",'Table 5-B| MPTE VOC'!J55)</f>
        <v/>
      </c>
      <c r="J48" s="358"/>
      <c r="K48" s="363"/>
      <c r="L48" s="364" t="str">
        <f>IFERROR(IF('Table 5-B| MPTE VOC'!K55="","",IF(J48="Yes",(H48*I48*(1-VLOOKUP(K48,'Emission Controls'!$A$3:$L$16,7,))),IF(J48="No",H48*I48,""))),"")</f>
        <v/>
      </c>
      <c r="M48" s="138">
        <f>IFERROR(VLOOKUP(K48,'Emission Controls'!$A$3:$B$16,2,),0)</f>
        <v>0</v>
      </c>
    </row>
    <row r="49" spans="1:13" s="105" customFormat="1" ht="18" customHeight="1" x14ac:dyDescent="0.2">
      <c r="A49" s="1331" t="str">
        <f>IF(ISBLANK('Table 5-B| MPTE VOC'!A56),"",'Table 5-B| MPTE VOC'!A56&amp;" -- "&amp;'Table 5-B| MPTE VOC'!B56&amp;": "&amp;'Table 5-B| MPTE VOC'!D56)</f>
        <v/>
      </c>
      <c r="B49" s="1332"/>
      <c r="C49" s="1333"/>
      <c r="D49" s="549" t="str">
        <f>IF(ISBLANK('Table 5-B| MPTE VOC'!C56),"",'Table 5-B| MPTE VOC'!C56)</f>
        <v/>
      </c>
      <c r="E49" s="411" t="str">
        <f>IF(ISBLANK('Table 5-B| MPTE VOC'!E56),"",'Table 5-B| MPTE VOC'!E56)</f>
        <v/>
      </c>
      <c r="F49" s="358"/>
      <c r="G49" s="358"/>
      <c r="H49" s="362" t="str">
        <f>IF(F49="No",'Table 5-B| MPTE VOC'!I56,IF(AND(F49="Yes",NOT(ISBLANK(G49))),('Table 5-B| MPTE VOC'!I56*(G49/E49)),""))</f>
        <v/>
      </c>
      <c r="I49" s="412" t="str">
        <f>IF(ISBLANK('Table 5-B| MPTE VOC'!J56),"",'Table 5-B| MPTE VOC'!J56)</f>
        <v/>
      </c>
      <c r="J49" s="358"/>
      <c r="K49" s="363"/>
      <c r="L49" s="364" t="str">
        <f>IFERROR(IF('Table 5-B| MPTE VOC'!K56="","",IF(J49="Yes",(H49*I49*(1-VLOOKUP(K49,'Emission Controls'!$A$3:$L$16,7,))),IF(J49="No",H49*I49,""))),"")</f>
        <v/>
      </c>
      <c r="M49" s="138">
        <f>IFERROR(VLOOKUP(K49,'Emission Controls'!$A$3:$B$16,2,),0)</f>
        <v>0</v>
      </c>
    </row>
    <row r="50" spans="1:13" s="105" customFormat="1" ht="18" customHeight="1" x14ac:dyDescent="0.2">
      <c r="A50" s="1331" t="str">
        <f>IF(ISBLANK('Table 5-B| MPTE VOC'!A57),"",'Table 5-B| MPTE VOC'!A57&amp;" -- "&amp;'Table 5-B| MPTE VOC'!B57&amp;": "&amp;'Table 5-B| MPTE VOC'!D57)</f>
        <v/>
      </c>
      <c r="B50" s="1332"/>
      <c r="C50" s="1333"/>
      <c r="D50" s="549" t="str">
        <f>IF(ISBLANK('Table 5-B| MPTE VOC'!C57),"",'Table 5-B| MPTE VOC'!C57)</f>
        <v/>
      </c>
      <c r="E50" s="411" t="str">
        <f>IF(ISBLANK('Table 5-B| MPTE VOC'!E57),"",'Table 5-B| MPTE VOC'!E57)</f>
        <v/>
      </c>
      <c r="F50" s="358"/>
      <c r="G50" s="358"/>
      <c r="H50" s="362" t="str">
        <f>IF(F50="No",'Table 5-B| MPTE VOC'!I57,IF(AND(F50="Yes",NOT(ISBLANK(G50))),('Table 5-B| MPTE VOC'!I57*(G50/E50)),""))</f>
        <v/>
      </c>
      <c r="I50" s="412" t="str">
        <f>IF(ISBLANK('Table 5-B| MPTE VOC'!J57),"",'Table 5-B| MPTE VOC'!J57)</f>
        <v/>
      </c>
      <c r="J50" s="358"/>
      <c r="K50" s="363"/>
      <c r="L50" s="364" t="str">
        <f>IFERROR(IF('Table 5-B| MPTE VOC'!K57="","",IF(J50="Yes",(H50*I50*(1-VLOOKUP(K50,'Emission Controls'!$A$3:$L$16,7,))),IF(J50="No",H50*I50,""))),"")</f>
        <v/>
      </c>
      <c r="M50" s="138">
        <f>IFERROR(VLOOKUP(K50,'Emission Controls'!$A$3:$B$16,2,),0)</f>
        <v>0</v>
      </c>
    </row>
    <row r="51" spans="1:13" s="105" customFormat="1" ht="18" customHeight="1" x14ac:dyDescent="0.2">
      <c r="A51" s="1331" t="str">
        <f>IF(ISBLANK('Table 5-B| MPTE VOC'!A58),"",'Table 5-B| MPTE VOC'!A58&amp;" -- "&amp;'Table 5-B| MPTE VOC'!B58&amp;": "&amp;'Table 5-B| MPTE VOC'!D58)</f>
        <v/>
      </c>
      <c r="B51" s="1332"/>
      <c r="C51" s="1333"/>
      <c r="D51" s="549" t="str">
        <f>IF(ISBLANK('Table 5-B| MPTE VOC'!C58),"",'Table 5-B| MPTE VOC'!C58)</f>
        <v/>
      </c>
      <c r="E51" s="411" t="str">
        <f>IF(ISBLANK('Table 5-B| MPTE VOC'!E58),"",'Table 5-B| MPTE VOC'!E58)</f>
        <v/>
      </c>
      <c r="F51" s="358"/>
      <c r="G51" s="358"/>
      <c r="H51" s="362" t="str">
        <f>IF(F51="No",'Table 5-B| MPTE VOC'!I58,IF(AND(F51="Yes",NOT(ISBLANK(G51))),('Table 5-B| MPTE VOC'!I58*(G51/E51)),""))</f>
        <v/>
      </c>
      <c r="I51" s="412" t="str">
        <f>IF(ISBLANK('Table 5-B| MPTE VOC'!J58),"",'Table 5-B| MPTE VOC'!J58)</f>
        <v/>
      </c>
      <c r="J51" s="358"/>
      <c r="K51" s="363"/>
      <c r="L51" s="364" t="str">
        <f>IFERROR(IF('Table 5-B| MPTE VOC'!K58="","",IF(J51="Yes",(H51*I51*(1-VLOOKUP(K51,'Emission Controls'!$A$3:$L$16,7,))),IF(J51="No",H51*I51,""))),"")</f>
        <v/>
      </c>
      <c r="M51" s="138">
        <f>IFERROR(VLOOKUP(K51,'Emission Controls'!$A$3:$B$16,2,),0)</f>
        <v>0</v>
      </c>
    </row>
    <row r="52" spans="1:13" s="105" customFormat="1" ht="18" customHeight="1" x14ac:dyDescent="0.2">
      <c r="A52" s="1331" t="str">
        <f>IF(ISBLANK('Table 5-B| MPTE VOC'!A59),"",'Table 5-B| MPTE VOC'!A59&amp;" -- "&amp;'Table 5-B| MPTE VOC'!B59&amp;": "&amp;'Table 5-B| MPTE VOC'!D59)</f>
        <v/>
      </c>
      <c r="B52" s="1332"/>
      <c r="C52" s="1333"/>
      <c r="D52" s="549" t="str">
        <f>IF(ISBLANK('Table 5-B| MPTE VOC'!C59),"",'Table 5-B| MPTE VOC'!C59)</f>
        <v/>
      </c>
      <c r="E52" s="411" t="str">
        <f>IF(ISBLANK('Table 5-B| MPTE VOC'!E59),"",'Table 5-B| MPTE VOC'!E59)</f>
        <v/>
      </c>
      <c r="F52" s="358"/>
      <c r="G52" s="358"/>
      <c r="H52" s="362" t="str">
        <f>IF(F52="No",'Table 5-B| MPTE VOC'!I59,IF(AND(F52="Yes",NOT(ISBLANK(G52))),('Table 5-B| MPTE VOC'!I59*(G52/E52)),""))</f>
        <v/>
      </c>
      <c r="I52" s="412" t="str">
        <f>IF(ISBLANK('Table 5-B| MPTE VOC'!J59),"",'Table 5-B| MPTE VOC'!J59)</f>
        <v/>
      </c>
      <c r="J52" s="358"/>
      <c r="K52" s="363"/>
      <c r="L52" s="364" t="str">
        <f>IFERROR(IF('Table 5-B| MPTE VOC'!K59="","",IF(J52="Yes",(H52*I52*(1-VLOOKUP(K52,'Emission Controls'!$A$3:$L$16,7,))),IF(J52="No",H52*I52,""))),"")</f>
        <v/>
      </c>
      <c r="M52" s="138">
        <f>IFERROR(VLOOKUP(K52,'Emission Controls'!$A$3:$B$16,2,),0)</f>
        <v>0</v>
      </c>
    </row>
    <row r="53" spans="1:13" s="105" customFormat="1" ht="18" customHeight="1" x14ac:dyDescent="0.2">
      <c r="A53" s="1331" t="str">
        <f>IF(ISBLANK('Table 5-B| MPTE VOC'!A60),"",'Table 5-B| MPTE VOC'!A60&amp;" -- "&amp;'Table 5-B| MPTE VOC'!B60&amp;": "&amp;'Table 5-B| MPTE VOC'!D60)</f>
        <v/>
      </c>
      <c r="B53" s="1332"/>
      <c r="C53" s="1333"/>
      <c r="D53" s="549" t="str">
        <f>IF(ISBLANK('Table 5-B| MPTE VOC'!C60),"",'Table 5-B| MPTE VOC'!C60)</f>
        <v/>
      </c>
      <c r="E53" s="411" t="str">
        <f>IF(ISBLANK('Table 5-B| MPTE VOC'!E60),"",'Table 5-B| MPTE VOC'!E60)</f>
        <v/>
      </c>
      <c r="F53" s="358"/>
      <c r="G53" s="358"/>
      <c r="H53" s="362" t="str">
        <f>IF(F53="No",'Table 5-B| MPTE VOC'!I60,IF(AND(F53="Yes",NOT(ISBLANK(G53))),('Table 5-B| MPTE VOC'!I60*(G53/E53)),""))</f>
        <v/>
      </c>
      <c r="I53" s="412" t="str">
        <f>IF(ISBLANK('Table 5-B| MPTE VOC'!J60),"",'Table 5-B| MPTE VOC'!J60)</f>
        <v/>
      </c>
      <c r="J53" s="358"/>
      <c r="K53" s="363"/>
      <c r="L53" s="364" t="str">
        <f>IFERROR(IF('Table 5-B| MPTE VOC'!K60="","",IF(J53="Yes",(H53*I53*(1-VLOOKUP(K53,'Emission Controls'!$A$3:$L$16,7,))),IF(J53="No",H53*I53,""))),"")</f>
        <v/>
      </c>
      <c r="M53" s="138">
        <f>IFERROR(VLOOKUP(K53,'Emission Controls'!$A$3:$B$16,2,),0)</f>
        <v>0</v>
      </c>
    </row>
    <row r="54" spans="1:13" s="105" customFormat="1" ht="18" customHeight="1" x14ac:dyDescent="0.2">
      <c r="A54" s="1331" t="str">
        <f>IF(ISBLANK('Table 5-B| MPTE VOC'!A61),"",'Table 5-B| MPTE VOC'!A61&amp;" -- "&amp;'Table 5-B| MPTE VOC'!B61&amp;": "&amp;'Table 5-B| MPTE VOC'!D61)</f>
        <v/>
      </c>
      <c r="B54" s="1332"/>
      <c r="C54" s="1333"/>
      <c r="D54" s="549" t="str">
        <f>IF(ISBLANK('Table 5-B| MPTE VOC'!C61),"",'Table 5-B| MPTE VOC'!C61)</f>
        <v/>
      </c>
      <c r="E54" s="411" t="str">
        <f>IF(ISBLANK('Table 5-B| MPTE VOC'!E61),"",'Table 5-B| MPTE VOC'!E61)</f>
        <v/>
      </c>
      <c r="F54" s="358"/>
      <c r="G54" s="358"/>
      <c r="H54" s="362" t="str">
        <f>IF(F54="No",'Table 5-B| MPTE VOC'!I61,IF(AND(F54="Yes",NOT(ISBLANK(G54))),('Table 5-B| MPTE VOC'!I61*(G54/E54)),""))</f>
        <v/>
      </c>
      <c r="I54" s="412" t="str">
        <f>IF(ISBLANK('Table 5-B| MPTE VOC'!J61),"",'Table 5-B| MPTE VOC'!J61)</f>
        <v/>
      </c>
      <c r="J54" s="358"/>
      <c r="K54" s="363"/>
      <c r="L54" s="364" t="str">
        <f>IFERROR(IF('Table 5-B| MPTE VOC'!K61="","",IF(J54="Yes",(H54*I54*(1-VLOOKUP(K54,'Emission Controls'!$A$3:$L$16,7,))),IF(J54="No",H54*I54,""))),"")</f>
        <v/>
      </c>
      <c r="M54" s="138">
        <f>IFERROR(VLOOKUP(K54,'Emission Controls'!$A$3:$B$16,2,),0)</f>
        <v>0</v>
      </c>
    </row>
    <row r="55" spans="1:13" s="105" customFormat="1" ht="18" customHeight="1" thickBot="1" x14ac:dyDescent="0.25">
      <c r="A55" s="1334" t="str">
        <f>IF(ISBLANK('Table 5-B| MPTE VOC'!A62),"",'Table 5-B| MPTE VOC'!A62&amp;" -- "&amp;'Table 5-B| MPTE VOC'!B62&amp;": "&amp;'Table 5-B| MPTE VOC'!D62)</f>
        <v/>
      </c>
      <c r="B55" s="1335"/>
      <c r="C55" s="1336"/>
      <c r="D55" s="550" t="str">
        <f>IF(ISBLANK('Table 5-B| MPTE VOC'!C62),"",'Table 5-B| MPTE VOC'!C62)</f>
        <v/>
      </c>
      <c r="E55" s="413" t="str">
        <f>IF(ISBLANK('Table 5-B| MPTE VOC'!E62),"",'Table 5-B| MPTE VOC'!E62)</f>
        <v/>
      </c>
      <c r="F55" s="367"/>
      <c r="G55" s="367"/>
      <c r="H55" s="371" t="str">
        <f>IF(F55="No",'Table 5-B| MPTE VOC'!I62,IF(AND(F55="Yes",NOT(ISBLANK(G55))),('Table 5-B| MPTE VOC'!I62*(G55/E55)),""))</f>
        <v/>
      </c>
      <c r="I55" s="414" t="str">
        <f>IF(ISBLANK('Table 5-B| MPTE VOC'!J62),"",'Table 5-B| MPTE VOC'!J62)</f>
        <v/>
      </c>
      <c r="J55" s="367"/>
      <c r="K55" s="372"/>
      <c r="L55" s="373" t="str">
        <f>IFERROR(IF('Table 5-B| MPTE VOC'!K62="","",IF(J55="Yes",(H55*I55*(1-VLOOKUP(K55,'Emission Controls'!$A$3:$L$16,7,))),IF(J55="No",H55*I55,""))),"")</f>
        <v/>
      </c>
      <c r="M55" s="138">
        <f>IFERROR(VLOOKUP(K55,'Emission Controls'!$A$3:$B$16,2,),0)</f>
        <v>0</v>
      </c>
    </row>
    <row r="56" spans="1:13" x14ac:dyDescent="0.2">
      <c r="A56" s="112"/>
    </row>
  </sheetData>
  <sheetProtection algorithmName="SHA-512" hashValue="Fb8xTdxkcioxIqq5rM06Wty+rdBdd4TnWx/ukFPnjbEeXQJKktaj59lsyPzybXLsX5DQCE++viGeI5lTg/swbw==" saltValue="kcunKrWlb+t59Un9Zvg6xQ==" spinCount="100000" sheet="1" objects="1" scenarios="1"/>
  <mergeCells count="55">
    <mergeCell ref="A15:L15"/>
    <mergeCell ref="A21:C22"/>
    <mergeCell ref="K21:K22"/>
    <mergeCell ref="A23:C23"/>
    <mergeCell ref="A24:C24"/>
    <mergeCell ref="A20:L20"/>
    <mergeCell ref="A19:L19"/>
    <mergeCell ref="A18:L18"/>
    <mergeCell ref="A17:L17"/>
    <mergeCell ref="D21:D22"/>
    <mergeCell ref="A16:L16"/>
    <mergeCell ref="A25:C25"/>
    <mergeCell ref="A26:C26"/>
    <mergeCell ref="A27:C27"/>
    <mergeCell ref="A29:C29"/>
    <mergeCell ref="A30:C30"/>
    <mergeCell ref="A31:C31"/>
    <mergeCell ref="A32:C32"/>
    <mergeCell ref="B3:L3"/>
    <mergeCell ref="A2:L2"/>
    <mergeCell ref="A1:L1"/>
    <mergeCell ref="A13:C13"/>
    <mergeCell ref="A12:C12"/>
    <mergeCell ref="D10:D11"/>
    <mergeCell ref="A10:C11"/>
    <mergeCell ref="K10:K11"/>
    <mergeCell ref="B8:L8"/>
    <mergeCell ref="B7:L7"/>
    <mergeCell ref="B6:L6"/>
    <mergeCell ref="B5:L5"/>
    <mergeCell ref="B4:L4"/>
    <mergeCell ref="A28:C28"/>
    <mergeCell ref="A38:C38"/>
    <mergeCell ref="A39:C39"/>
    <mergeCell ref="A40:C40"/>
    <mergeCell ref="A41:C41"/>
    <mergeCell ref="A42:C42"/>
    <mergeCell ref="A33:C33"/>
    <mergeCell ref="A34:C34"/>
    <mergeCell ref="A35:C35"/>
    <mergeCell ref="A36:C36"/>
    <mergeCell ref="A37:C37"/>
    <mergeCell ref="A53:C53"/>
    <mergeCell ref="A54:C54"/>
    <mergeCell ref="A55:C55"/>
    <mergeCell ref="A43:C43"/>
    <mergeCell ref="A44:C44"/>
    <mergeCell ref="A45:C45"/>
    <mergeCell ref="A46:C46"/>
    <mergeCell ref="A47:C47"/>
    <mergeCell ref="A48:C48"/>
    <mergeCell ref="A49:C49"/>
    <mergeCell ref="A50:C50"/>
    <mergeCell ref="A51:C51"/>
    <mergeCell ref="A52:C52"/>
  </mergeCells>
  <conditionalFormatting sqref="F23:F55">
    <cfRule type="expression" dxfId="50" priority="12">
      <formula>AND(NOT(A23=""),NOT(E23=""),ISBLANK(F23))</formula>
    </cfRule>
  </conditionalFormatting>
  <conditionalFormatting sqref="G23:G55">
    <cfRule type="expression" dxfId="49" priority="10">
      <formula>AND(NOT(A23=""),NOT(E23=""),F23="No")</formula>
    </cfRule>
    <cfRule type="expression" dxfId="48" priority="11">
      <formula>AND(NOT(A23=""),NOT(E23=""),F23="Yes",ISBLANK(G23))</formula>
    </cfRule>
  </conditionalFormatting>
  <conditionalFormatting sqref="J23:J55">
    <cfRule type="expression" dxfId="47" priority="9">
      <formula>AND(NOT(A23=""),NOT(E23=""),NOT(H23=""),ISBLANK(J23))</formula>
    </cfRule>
  </conditionalFormatting>
  <conditionalFormatting sqref="K23:K55">
    <cfRule type="expression" dxfId="46" priority="7" stopIfTrue="1">
      <formula>AND(NOT(A23=""),NOT(E23=""),NOT(H23=""),J23="No")</formula>
    </cfRule>
    <cfRule type="expression" dxfId="45" priority="8">
      <formula>AND(NOT(A23=""),NOT(E23=""),NOT(H23=""),NOT(ISBLANK(J23)),ISBLANK(K23))</formula>
    </cfRule>
  </conditionalFormatting>
  <dataValidations disablePrompts="1" count="2">
    <dataValidation type="list" showInputMessage="1" showErrorMessage="1" errorTitle="Error." error="Must select either &quot;Yes&quot; or &quot;No&quot;!" promptTitle="Throughput Limit" prompt="Indicate whether you agreed to limit throughput of this material in Table 6-A." sqref="F23:F55 J12:J13 J23:J55" xr:uid="{00000000-0002-0000-1100-000000000000}">
      <formula1>$W$23:$W$24</formula1>
    </dataValidation>
    <dataValidation type="list" showInputMessage="1" showErrorMessage="1" errorTitle="Error." error="Must select a control device!" promptTitle="Control Device" prompt="If you agreed to control emissions, indicate the type of control device used." sqref="K23:K55" xr:uid="{00000000-0002-0000-1100-000001000000}">
      <formula1>$Z$23:$Z$25</formula1>
    </dataValidation>
  </dataValidations>
  <printOptions horizontalCentered="1"/>
  <pageMargins left="0.5" right="0.5" top="0.5" bottom="0.5" header="0.3" footer="0.3"/>
  <pageSetup scale="57" orientation="landscape" r:id="rId1"/>
  <headerFooter>
    <oddFooter>&amp;LRev. 2/2014&amp;C&amp;A&amp;RPage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2060"/>
    <pageSetUpPr fitToPage="1"/>
  </sheetPr>
  <dimension ref="A1:AD278"/>
  <sheetViews>
    <sheetView showGridLines="0" zoomScaleNormal="100" workbookViewId="0">
      <selection sqref="A1:L1"/>
    </sheetView>
  </sheetViews>
  <sheetFormatPr defaultRowHeight="14.25" x14ac:dyDescent="0.25"/>
  <cols>
    <col min="1" max="1" width="24.28515625" style="48" customWidth="1"/>
    <col min="2" max="2" width="19.7109375" style="48" customWidth="1"/>
    <col min="3" max="3" width="11.28515625" style="48" customWidth="1"/>
    <col min="4" max="4" width="12.7109375" style="48" customWidth="1"/>
    <col min="5" max="7" width="13.28515625" style="48" customWidth="1"/>
    <col min="8" max="9" width="12.7109375" style="48" customWidth="1"/>
    <col min="10" max="10" width="16.7109375" style="148" customWidth="1"/>
    <col min="11" max="11" width="12.7109375" style="148" customWidth="1"/>
    <col min="12" max="12" width="12.7109375" style="48" customWidth="1"/>
    <col min="13" max="15" width="9.140625" style="48" customWidth="1"/>
    <col min="16" max="16" width="15" style="48" customWidth="1"/>
    <col min="17" max="17" width="13" style="48" customWidth="1"/>
    <col min="18" max="18" width="14.42578125" style="48" customWidth="1"/>
    <col min="19" max="19" width="16.5703125" style="48" customWidth="1"/>
    <col min="20" max="20" width="16" style="48" customWidth="1"/>
    <col min="21" max="25" width="9.140625" style="48"/>
    <col min="26" max="26" width="23.42578125" style="48" bestFit="1" customWidth="1"/>
    <col min="27" max="16384" width="9.140625" style="48"/>
  </cols>
  <sheetData>
    <row r="1" spans="1:26" s="69" customFormat="1" ht="26.25" customHeight="1" thickBot="1" x14ac:dyDescent="0.3">
      <c r="A1" s="1122" t="s">
        <v>1707</v>
      </c>
      <c r="B1" s="1122"/>
      <c r="C1" s="1122"/>
      <c r="D1" s="1122"/>
      <c r="E1" s="1122"/>
      <c r="F1" s="1122"/>
      <c r="G1" s="1122"/>
      <c r="H1" s="1122"/>
      <c r="I1" s="1122"/>
      <c r="J1" s="1122"/>
      <c r="K1" s="1122"/>
      <c r="L1" s="1122"/>
      <c r="M1" s="79"/>
      <c r="N1" s="79"/>
      <c r="O1" s="79"/>
    </row>
    <row r="2" spans="1:26" s="164" customFormat="1" ht="35.1" customHeight="1" x14ac:dyDescent="0.25">
      <c r="A2" s="1172" t="s">
        <v>1632</v>
      </c>
      <c r="B2" s="1172"/>
      <c r="C2" s="1172"/>
      <c r="D2" s="1172"/>
      <c r="E2" s="1172"/>
      <c r="F2" s="1172"/>
      <c r="G2" s="1172"/>
      <c r="H2" s="1172"/>
      <c r="I2" s="1172"/>
      <c r="J2" s="1172"/>
      <c r="K2" s="1172"/>
      <c r="L2" s="1172"/>
      <c r="M2" s="167"/>
      <c r="N2" s="167"/>
      <c r="O2" s="167"/>
    </row>
    <row r="3" spans="1:26" s="164" customFormat="1" ht="35.1" customHeight="1" x14ac:dyDescent="0.25">
      <c r="A3" s="165">
        <v>1</v>
      </c>
      <c r="B3" s="1173" t="s">
        <v>1626</v>
      </c>
      <c r="C3" s="1173"/>
      <c r="D3" s="1173"/>
      <c r="E3" s="1173"/>
      <c r="F3" s="1173"/>
      <c r="G3" s="1173"/>
      <c r="H3" s="1173"/>
      <c r="I3" s="1173"/>
      <c r="J3" s="1173"/>
      <c r="K3" s="1173"/>
      <c r="L3" s="1173"/>
      <c r="M3" s="168"/>
      <c r="N3" s="168"/>
      <c r="O3" s="168"/>
    </row>
    <row r="4" spans="1:26" s="164" customFormat="1" ht="35.1" customHeight="1" x14ac:dyDescent="0.25">
      <c r="A4" s="165">
        <v>2</v>
      </c>
      <c r="B4" s="1173" t="s">
        <v>1912</v>
      </c>
      <c r="C4" s="1173"/>
      <c r="D4" s="1173"/>
      <c r="E4" s="1173"/>
      <c r="F4" s="1173"/>
      <c r="G4" s="1173"/>
      <c r="H4" s="1173"/>
      <c r="I4" s="1173"/>
      <c r="J4" s="1173"/>
      <c r="K4" s="1173"/>
      <c r="L4" s="1173"/>
      <c r="M4" s="168"/>
      <c r="N4" s="168"/>
      <c r="O4" s="168"/>
    </row>
    <row r="5" spans="1:26" s="164" customFormat="1" ht="35.1" customHeight="1" x14ac:dyDescent="0.25">
      <c r="A5" s="165">
        <v>3</v>
      </c>
      <c r="B5" s="1173" t="s">
        <v>1913</v>
      </c>
      <c r="C5" s="1173"/>
      <c r="D5" s="1173"/>
      <c r="E5" s="1173"/>
      <c r="F5" s="1173"/>
      <c r="G5" s="1173"/>
      <c r="H5" s="1173"/>
      <c r="I5" s="1173"/>
      <c r="J5" s="1173"/>
      <c r="K5" s="1173"/>
      <c r="L5" s="1173"/>
    </row>
    <row r="6" spans="1:26" s="164" customFormat="1" ht="50.1" customHeight="1" x14ac:dyDescent="0.25">
      <c r="A6" s="165">
        <v>4</v>
      </c>
      <c r="B6" s="1173" t="s">
        <v>1914</v>
      </c>
      <c r="C6" s="1173"/>
      <c r="D6" s="1173"/>
      <c r="E6" s="1173"/>
      <c r="F6" s="1173"/>
      <c r="G6" s="1173"/>
      <c r="H6" s="1173"/>
      <c r="I6" s="1173"/>
      <c r="J6" s="1173"/>
      <c r="K6" s="1173"/>
      <c r="L6" s="1173"/>
      <c r="M6" s="168"/>
      <c r="N6" s="168"/>
      <c r="O6" s="168"/>
    </row>
    <row r="7" spans="1:26" s="164" customFormat="1" ht="35.1" customHeight="1" x14ac:dyDescent="0.25">
      <c r="A7" s="165">
        <v>5</v>
      </c>
      <c r="B7" s="1173" t="s">
        <v>1915</v>
      </c>
      <c r="C7" s="1173"/>
      <c r="D7" s="1173"/>
      <c r="E7" s="1173"/>
      <c r="F7" s="1173"/>
      <c r="G7" s="1173"/>
      <c r="H7" s="1173"/>
      <c r="I7" s="1173"/>
      <c r="J7" s="1173"/>
      <c r="K7" s="1173"/>
      <c r="L7" s="1173"/>
      <c r="M7" s="168"/>
      <c r="N7" s="168"/>
      <c r="O7" s="168"/>
    </row>
    <row r="8" spans="1:26" s="164" customFormat="1" ht="24.95" customHeight="1" x14ac:dyDescent="0.25">
      <c r="A8" s="165">
        <v>6</v>
      </c>
      <c r="B8" s="1173" t="s">
        <v>1633</v>
      </c>
      <c r="C8" s="1173"/>
      <c r="D8" s="1173"/>
      <c r="E8" s="1173"/>
      <c r="F8" s="1173"/>
      <c r="G8" s="1173"/>
      <c r="H8" s="1173"/>
      <c r="I8" s="1173"/>
      <c r="J8" s="1173"/>
      <c r="K8" s="1173"/>
      <c r="L8" s="1173"/>
      <c r="M8" s="168"/>
      <c r="N8" s="168"/>
      <c r="O8" s="168"/>
    </row>
    <row r="9" spans="1:26" s="164" customFormat="1" ht="20.100000000000001" customHeight="1" x14ac:dyDescent="0.25">
      <c r="A9" s="165">
        <v>10</v>
      </c>
      <c r="B9" s="1173" t="s">
        <v>1654</v>
      </c>
      <c r="C9" s="1173"/>
      <c r="D9" s="1173"/>
      <c r="E9" s="1173"/>
      <c r="F9" s="1173"/>
      <c r="G9" s="1173"/>
      <c r="H9" s="1173"/>
      <c r="I9" s="1173"/>
      <c r="J9" s="1173"/>
      <c r="K9" s="1173"/>
      <c r="L9" s="1173"/>
      <c r="M9" s="168"/>
      <c r="N9" s="168"/>
      <c r="Q9" s="169"/>
    </row>
    <row r="10" spans="1:26" s="68" customFormat="1" ht="9.9499999999999993" customHeight="1" thickBot="1" x14ac:dyDescent="0.3">
      <c r="A10" s="120"/>
      <c r="M10" s="128"/>
      <c r="N10" s="128"/>
      <c r="O10" s="128"/>
    </row>
    <row r="11" spans="1:26" ht="45" customHeight="1" x14ac:dyDescent="0.25">
      <c r="A11" s="1230" t="s">
        <v>1635</v>
      </c>
      <c r="B11" s="1232" t="s">
        <v>20</v>
      </c>
      <c r="C11" s="1232" t="s">
        <v>69</v>
      </c>
      <c r="D11" s="1228" t="s">
        <v>1893</v>
      </c>
      <c r="E11" s="503" t="s">
        <v>1578</v>
      </c>
      <c r="F11" s="503" t="s">
        <v>1622</v>
      </c>
      <c r="G11" s="1228" t="s">
        <v>1638</v>
      </c>
      <c r="H11" s="1228" t="s">
        <v>1637</v>
      </c>
      <c r="I11" s="1228" t="s">
        <v>1579</v>
      </c>
      <c r="J11" s="1348" t="s">
        <v>1621</v>
      </c>
      <c r="K11" s="506" t="s">
        <v>12</v>
      </c>
      <c r="L11" s="98" t="s">
        <v>1634</v>
      </c>
      <c r="Q11" s="124"/>
      <c r="R11" s="124"/>
      <c r="S11" s="67"/>
      <c r="T11" s="67"/>
    </row>
    <row r="12" spans="1:26" ht="15.75" customHeight="1" thickBot="1" x14ac:dyDescent="0.3">
      <c r="A12" s="1231"/>
      <c r="B12" s="1233"/>
      <c r="C12" s="1233"/>
      <c r="D12" s="1229"/>
      <c r="E12" s="100" t="s">
        <v>1618</v>
      </c>
      <c r="F12" s="100" t="s">
        <v>1618</v>
      </c>
      <c r="G12" s="1229"/>
      <c r="H12" s="1229"/>
      <c r="I12" s="1229"/>
      <c r="J12" s="1349"/>
      <c r="K12" s="103" t="s">
        <v>17</v>
      </c>
      <c r="L12" s="104" t="s">
        <v>15</v>
      </c>
      <c r="Q12" s="124"/>
      <c r="R12" s="124"/>
    </row>
    <row r="13" spans="1:26" s="147" customFormat="1" ht="18" customHeight="1" x14ac:dyDescent="0.25">
      <c r="A13" s="415" t="s">
        <v>1543</v>
      </c>
      <c r="B13" s="416" t="s">
        <v>1550</v>
      </c>
      <c r="C13" s="417">
        <v>1330207</v>
      </c>
      <c r="D13" s="510" t="s">
        <v>2186</v>
      </c>
      <c r="E13" s="418" t="s">
        <v>75</v>
      </c>
      <c r="F13" s="418" t="s">
        <v>75</v>
      </c>
      <c r="G13" s="333">
        <v>1000</v>
      </c>
      <c r="H13" s="336" t="s">
        <v>1643</v>
      </c>
      <c r="I13" s="418">
        <v>500</v>
      </c>
      <c r="J13" s="419" t="s">
        <v>1592</v>
      </c>
      <c r="K13" s="337">
        <v>1</v>
      </c>
      <c r="L13" s="338">
        <v>37.500000000000036</v>
      </c>
      <c r="M13" s="138">
        <f>IFERROR(VLOOKUP(J13,'Emission Controls'!$A$3:$B$16,2,),0)</f>
        <v>11</v>
      </c>
      <c r="N13" s="48"/>
      <c r="O13" s="48"/>
      <c r="Q13" s="124"/>
      <c r="R13" s="124"/>
      <c r="S13" s="149"/>
      <c r="T13" s="149"/>
      <c r="U13" s="150"/>
      <c r="Z13" s="48"/>
    </row>
    <row r="14" spans="1:26" s="147" customFormat="1" ht="18" customHeight="1" x14ac:dyDescent="0.25">
      <c r="A14" s="420" t="s">
        <v>1653</v>
      </c>
      <c r="B14" s="421" t="s">
        <v>1</v>
      </c>
      <c r="C14" s="422">
        <v>108883</v>
      </c>
      <c r="D14" s="551"/>
      <c r="E14" s="423"/>
      <c r="F14" s="423"/>
      <c r="G14" s="424" t="s">
        <v>1653</v>
      </c>
      <c r="H14" s="425" t="s">
        <v>1653</v>
      </c>
      <c r="I14" s="423"/>
      <c r="J14" s="426"/>
      <c r="K14" s="427" t="s">
        <v>1653</v>
      </c>
      <c r="L14" s="346">
        <v>12.500000000000011</v>
      </c>
      <c r="M14" s="138">
        <f>IFERROR(VLOOKUP(J14,'Emission Controls'!$A$3:$B$16,2,),0)</f>
        <v>0</v>
      </c>
      <c r="N14" s="48"/>
      <c r="O14" s="48"/>
      <c r="Q14" s="124"/>
      <c r="R14" s="124"/>
      <c r="S14" s="149"/>
      <c r="T14" s="149"/>
      <c r="U14" s="150"/>
      <c r="Z14" s="48"/>
    </row>
    <row r="15" spans="1:26" s="147" customFormat="1" ht="18" customHeight="1" x14ac:dyDescent="0.25">
      <c r="A15" s="420" t="s">
        <v>1653</v>
      </c>
      <c r="B15" s="421" t="s">
        <v>109</v>
      </c>
      <c r="C15" s="422">
        <v>75092</v>
      </c>
      <c r="D15" s="551"/>
      <c r="E15" s="423"/>
      <c r="F15" s="423"/>
      <c r="G15" s="424" t="s">
        <v>1653</v>
      </c>
      <c r="H15" s="425" t="s">
        <v>1653</v>
      </c>
      <c r="I15" s="423"/>
      <c r="J15" s="426"/>
      <c r="K15" s="427" t="s">
        <v>1653</v>
      </c>
      <c r="L15" s="346">
        <v>150</v>
      </c>
      <c r="M15" s="138">
        <f>IFERROR(VLOOKUP(J15,'Emission Controls'!$A$3:$B$16,2,),0)</f>
        <v>0</v>
      </c>
      <c r="N15" s="48"/>
      <c r="O15" s="48"/>
      <c r="Q15" s="124"/>
      <c r="R15" s="124"/>
      <c r="S15" s="149"/>
      <c r="T15" s="149"/>
      <c r="U15" s="150"/>
      <c r="Z15" s="48"/>
    </row>
    <row r="16" spans="1:26" s="147" customFormat="1" ht="18" customHeight="1" x14ac:dyDescent="0.25">
      <c r="A16" s="420" t="s">
        <v>1547</v>
      </c>
      <c r="B16" s="421" t="s">
        <v>188</v>
      </c>
      <c r="C16" s="422">
        <v>110543</v>
      </c>
      <c r="D16" s="511" t="s">
        <v>2187</v>
      </c>
      <c r="E16" s="428" t="s">
        <v>75</v>
      </c>
      <c r="F16" s="428" t="s">
        <v>73</v>
      </c>
      <c r="G16" s="341">
        <v>5000</v>
      </c>
      <c r="H16" s="344" t="s">
        <v>1643</v>
      </c>
      <c r="I16" s="428">
        <v>1000</v>
      </c>
      <c r="J16" s="426"/>
      <c r="K16" s="345">
        <v>1</v>
      </c>
      <c r="L16" s="346">
        <v>1000</v>
      </c>
      <c r="M16" s="138">
        <f>IFERROR(VLOOKUP(J16,'Emission Controls'!$A$3:$B$16,2,),0)</f>
        <v>0</v>
      </c>
      <c r="N16" s="48"/>
      <c r="O16" s="48"/>
      <c r="Q16" s="124"/>
      <c r="R16" s="124"/>
      <c r="S16" s="149"/>
      <c r="T16" s="149"/>
      <c r="U16" s="150"/>
      <c r="Z16" s="48"/>
    </row>
    <row r="17" spans="1:30" s="147" customFormat="1" ht="18" customHeight="1" x14ac:dyDescent="0.25">
      <c r="A17" s="420" t="s">
        <v>1653</v>
      </c>
      <c r="B17" s="421" t="s">
        <v>95</v>
      </c>
      <c r="C17" s="422">
        <v>67561</v>
      </c>
      <c r="D17" s="551"/>
      <c r="E17" s="423"/>
      <c r="F17" s="423"/>
      <c r="G17" s="424" t="s">
        <v>1653</v>
      </c>
      <c r="H17" s="425" t="s">
        <v>1653</v>
      </c>
      <c r="I17" s="423"/>
      <c r="J17" s="426"/>
      <c r="K17" s="427" t="s">
        <v>1653</v>
      </c>
      <c r="L17" s="346">
        <v>500</v>
      </c>
      <c r="M17" s="138">
        <f>IFERROR(VLOOKUP(J17,'Emission Controls'!$A$3:$B$16,2,),0)</f>
        <v>0</v>
      </c>
      <c r="Q17" s="124"/>
      <c r="R17" s="124"/>
      <c r="S17" s="149"/>
      <c r="T17" s="149"/>
      <c r="U17" s="150"/>
      <c r="Z17" s="48"/>
    </row>
    <row r="18" spans="1:30" s="147" customFormat="1" ht="18" customHeight="1" x14ac:dyDescent="0.25">
      <c r="A18" s="420" t="s">
        <v>1653</v>
      </c>
      <c r="B18" s="421" t="s">
        <v>156</v>
      </c>
      <c r="C18" s="422">
        <v>98828</v>
      </c>
      <c r="D18" s="551"/>
      <c r="E18" s="423"/>
      <c r="F18" s="423"/>
      <c r="G18" s="424" t="s">
        <v>1653</v>
      </c>
      <c r="H18" s="425" t="s">
        <v>1653</v>
      </c>
      <c r="I18" s="423"/>
      <c r="J18" s="426"/>
      <c r="K18" s="427" t="s">
        <v>1653</v>
      </c>
      <c r="L18" s="346">
        <v>500</v>
      </c>
      <c r="M18" s="138">
        <f>IFERROR(VLOOKUP(J18,'Emission Controls'!$A$3:$B$16,2,),0)</f>
        <v>0</v>
      </c>
      <c r="Q18" s="124"/>
      <c r="R18" s="124"/>
      <c r="S18" s="149"/>
      <c r="T18" s="149"/>
      <c r="U18" s="150"/>
      <c r="Z18" s="48"/>
    </row>
    <row r="19" spans="1:30" s="147" customFormat="1" ht="18" customHeight="1" x14ac:dyDescent="0.25">
      <c r="A19" s="420" t="s">
        <v>1653</v>
      </c>
      <c r="B19" s="421" t="s">
        <v>160</v>
      </c>
      <c r="C19" s="422">
        <v>100414</v>
      </c>
      <c r="D19" s="551"/>
      <c r="E19" s="423"/>
      <c r="F19" s="423"/>
      <c r="G19" s="424" t="s">
        <v>1653</v>
      </c>
      <c r="H19" s="425" t="s">
        <v>1653</v>
      </c>
      <c r="I19" s="423"/>
      <c r="J19" s="426"/>
      <c r="K19" s="427" t="s">
        <v>1653</v>
      </c>
      <c r="L19" s="346">
        <v>250</v>
      </c>
      <c r="M19" s="138">
        <f>IFERROR(VLOOKUP(J19,'Emission Controls'!$A$3:$B$16,2,),0)</f>
        <v>0</v>
      </c>
      <c r="Q19" s="124"/>
      <c r="R19" s="124"/>
      <c r="S19" s="149"/>
      <c r="T19" s="149"/>
      <c r="U19" s="150"/>
      <c r="Z19" s="48"/>
    </row>
    <row r="20" spans="1:30" s="68" customFormat="1" ht="9" customHeight="1" x14ac:dyDescent="0.25">
      <c r="A20" s="120"/>
      <c r="B20" s="128"/>
      <c r="C20" s="128"/>
      <c r="D20" s="128"/>
      <c r="E20" s="128"/>
      <c r="F20" s="128"/>
      <c r="G20" s="128"/>
      <c r="H20" s="128"/>
      <c r="I20" s="128"/>
      <c r="J20" s="128"/>
      <c r="K20" s="128"/>
      <c r="L20" s="128"/>
      <c r="M20" s="128"/>
      <c r="N20" s="128"/>
      <c r="O20" s="128"/>
    </row>
    <row r="21" spans="1:30" s="68" customFormat="1" ht="15.75" customHeight="1" thickBot="1" x14ac:dyDescent="0.3">
      <c r="A21" s="1099"/>
      <c r="B21" s="1099"/>
      <c r="C21" s="1099"/>
      <c r="D21" s="1099"/>
      <c r="E21" s="1099"/>
      <c r="F21" s="1099"/>
      <c r="G21" s="1099"/>
      <c r="H21" s="1099"/>
      <c r="I21" s="1099"/>
      <c r="J21" s="1099"/>
      <c r="K21" s="1099"/>
      <c r="L21" s="1099"/>
      <c r="M21" s="85"/>
      <c r="N21" s="85"/>
      <c r="O21" s="85"/>
    </row>
    <row r="22" spans="1:30" s="70" customFormat="1" ht="19.5" thickBot="1" x14ac:dyDescent="0.3">
      <c r="A22" s="1087" t="s">
        <v>1449</v>
      </c>
      <c r="B22" s="1087"/>
      <c r="C22" s="1087"/>
      <c r="D22" s="1087"/>
      <c r="E22" s="1087"/>
      <c r="F22" s="1087"/>
      <c r="G22" s="1087"/>
      <c r="H22" s="1087"/>
      <c r="I22" s="1087"/>
      <c r="J22" s="1087"/>
      <c r="K22" s="1087"/>
      <c r="L22" s="1087"/>
      <c r="M22" s="90"/>
      <c r="N22" s="90"/>
      <c r="O22" s="90"/>
    </row>
    <row r="23" spans="1:30" ht="60" customHeight="1" x14ac:dyDescent="0.25">
      <c r="A23" s="1361"/>
      <c r="B23" s="1361"/>
      <c r="C23" s="1361"/>
      <c r="D23" s="1361"/>
      <c r="E23" s="1361"/>
      <c r="F23" s="1361"/>
      <c r="G23" s="1361"/>
      <c r="H23" s="1361"/>
      <c r="I23" s="1361"/>
      <c r="J23" s="1361"/>
      <c r="K23" s="1361"/>
      <c r="L23" s="1361"/>
      <c r="S23" s="142"/>
    </row>
    <row r="24" spans="1:30" ht="24.95" customHeight="1" x14ac:dyDescent="0.25">
      <c r="A24" s="1169" t="s">
        <v>1434</v>
      </c>
      <c r="B24" s="1169"/>
      <c r="C24" s="1169"/>
      <c r="D24" s="1169"/>
      <c r="E24" s="1169"/>
      <c r="F24" s="1169"/>
      <c r="G24" s="1169"/>
      <c r="H24" s="1169"/>
      <c r="I24" s="1169"/>
      <c r="J24" s="1169"/>
      <c r="K24" s="1169"/>
      <c r="L24" s="1169"/>
      <c r="M24" s="111"/>
      <c r="N24" s="111"/>
      <c r="O24" s="111"/>
    </row>
    <row r="25" spans="1:30" ht="24.95" customHeight="1" x14ac:dyDescent="0.25">
      <c r="A25" s="884" t="s">
        <v>1782</v>
      </c>
      <c r="B25" s="884"/>
      <c r="C25" s="884"/>
      <c r="D25" s="884"/>
      <c r="E25" s="884"/>
      <c r="F25" s="884"/>
      <c r="G25" s="884"/>
      <c r="H25" s="884"/>
      <c r="I25" s="884"/>
      <c r="J25" s="884"/>
      <c r="K25" s="884"/>
      <c r="L25" s="884"/>
      <c r="S25" s="142"/>
    </row>
    <row r="26" spans="1:30" ht="20.100000000000001" customHeight="1" thickBot="1" x14ac:dyDescent="0.25">
      <c r="A26" s="1242" t="s">
        <v>1706</v>
      </c>
      <c r="B26" s="1242"/>
      <c r="C26" s="1242"/>
      <c r="D26" s="1242"/>
      <c r="E26" s="1242"/>
      <c r="F26" s="1242"/>
      <c r="G26" s="1242"/>
      <c r="H26" s="1242"/>
      <c r="I26" s="1242"/>
      <c r="J26" s="1242"/>
      <c r="K26" s="1242"/>
      <c r="L26" s="1242"/>
    </row>
    <row r="27" spans="1:30" ht="45" customHeight="1" x14ac:dyDescent="0.25">
      <c r="A27" s="1240" t="s">
        <v>1635</v>
      </c>
      <c r="B27" s="1236" t="s">
        <v>20</v>
      </c>
      <c r="C27" s="1236" t="s">
        <v>69</v>
      </c>
      <c r="D27" s="1238" t="s">
        <v>1893</v>
      </c>
      <c r="E27" s="727" t="s">
        <v>1578</v>
      </c>
      <c r="F27" s="727" t="s">
        <v>1622</v>
      </c>
      <c r="G27" s="1238" t="s">
        <v>1638</v>
      </c>
      <c r="H27" s="1238" t="s">
        <v>1637</v>
      </c>
      <c r="I27" s="1238" t="s">
        <v>1579</v>
      </c>
      <c r="J27" s="1356" t="s">
        <v>1621</v>
      </c>
      <c r="K27" s="730" t="s">
        <v>12</v>
      </c>
      <c r="L27" s="710" t="s">
        <v>1634</v>
      </c>
      <c r="Q27" s="124" t="s">
        <v>1581</v>
      </c>
      <c r="R27" s="124" t="s">
        <v>1650</v>
      </c>
      <c r="S27" s="67" t="s">
        <v>1651</v>
      </c>
      <c r="T27" s="67" t="s">
        <v>1652</v>
      </c>
      <c r="U27" s="48" t="s">
        <v>1649</v>
      </c>
    </row>
    <row r="28" spans="1:30" ht="15.75" customHeight="1" thickBot="1" x14ac:dyDescent="0.3">
      <c r="A28" s="1241"/>
      <c r="B28" s="1237"/>
      <c r="C28" s="1237"/>
      <c r="D28" s="1239"/>
      <c r="E28" s="731" t="s">
        <v>1618</v>
      </c>
      <c r="F28" s="731" t="s">
        <v>1618</v>
      </c>
      <c r="G28" s="1239"/>
      <c r="H28" s="1239"/>
      <c r="I28" s="1239"/>
      <c r="J28" s="1357"/>
      <c r="K28" s="734" t="s">
        <v>17</v>
      </c>
      <c r="L28" s="735" t="s">
        <v>15</v>
      </c>
      <c r="Q28" s="124"/>
      <c r="R28" s="124"/>
      <c r="W28" s="48" t="s">
        <v>1619</v>
      </c>
      <c r="Z28" s="80" t="s">
        <v>1623</v>
      </c>
      <c r="AC28" s="491" t="s">
        <v>1869</v>
      </c>
      <c r="AD28" s="491"/>
    </row>
    <row r="29" spans="1:30" s="147" customFormat="1" ht="18" customHeight="1" x14ac:dyDescent="0.2">
      <c r="A29" s="429" t="str">
        <f>IF(ISBLANK('Table 5-C| MPTE HAP'!A38),"",'Table 5-C| MPTE HAP'!A38)</f>
        <v/>
      </c>
      <c r="B29" s="430" t="str">
        <f>IF(ISBLANK('Table 5-C| MPTE HAP'!B38),"",'Table 5-C| MPTE HAP'!B38)</f>
        <v/>
      </c>
      <c r="C29" s="431" t="str">
        <f>IF(ISBLANK('Table 5-C| MPTE HAP'!C38),"",'Table 5-C| MPTE HAP'!C38)</f>
        <v/>
      </c>
      <c r="D29" s="548" t="str">
        <f>IF(ISBLANK('Table 5-C| MPTE HAP'!D38),"",'Table 5-C| MPTE HAP'!D38)</f>
        <v/>
      </c>
      <c r="E29" s="349"/>
      <c r="F29" s="349"/>
      <c r="G29" s="408" t="str">
        <f>IF(A29="","",IF('Table 5-C| MPTE HAP'!P38&gt;0,'Table 5-C| MPTE HAP'!P38,""))</f>
        <v/>
      </c>
      <c r="H29" s="353" t="str">
        <f>IF(A29="","",IF('Table 5-C| MPTE HAP'!Q38="","",'Table 5-C| MPTE HAP'!Q38))</f>
        <v/>
      </c>
      <c r="I29" s="349"/>
      <c r="J29" s="410"/>
      <c r="K29" s="409" t="str">
        <f>IF(A29="","",IF('Table 5-C| MPTE HAP'!S38&gt;0,'Table 5-C| MPTE HAP'!S38,""))</f>
        <v/>
      </c>
      <c r="L29" s="355" t="str">
        <f>IFERROR(IF(OR('Table 5-C| MPTE HAP'!L38="",Q29="",R29="",AND(Q29="YES",T29=0),AND(R29="YES",U29=0)),"",IF(Q29="YES",'Table 5-C| MPTE HAP'!L38*(T29/S29),'Table 5-C| MPTE HAP'!L38))*IF(R29="YES",IF(VLOOKUP(C29,'HAP CAS &amp; Names'!$F$4:$H$186,3,)="YES",(1-U29),1),1),"")</f>
        <v/>
      </c>
      <c r="M29" s="138"/>
      <c r="N29" s="158">
        <f>SUMIF(C29:$C$60,C29,L29:$L$60)</f>
        <v>0</v>
      </c>
      <c r="O29" s="48"/>
      <c r="Q29" s="124" t="str">
        <f>IF(AND(NOT(A29=""),NOT(B29=""),NOT(C29=""),NOT(ISBLANK(E29))),E29,IF(AND(A29="",NOT(B29=""),NOT(C29=""),ISBLANK(E29)),Q28,""))</f>
        <v/>
      </c>
      <c r="R29" s="124" t="str">
        <f>IF(AND(NOT(A29=""),NOT(B29=""),NOT(C29=""),NOT(ISBLANK(F29))),F29,IF(AND(A29="",NOT(B29=""),NOT(C29=""),ISBLANK(F29)),R28,""))</f>
        <v/>
      </c>
      <c r="S29" s="443">
        <f>IF(AND(NOT(A29=""),NOT(B29=""),NOT(C29=""),G29&gt;0),G29,IF(AND(A29="",NOT(B29=""),NOT(C29="")),S28,0))</f>
        <v>0</v>
      </c>
      <c r="T29" s="443">
        <f>IF(AND(NOT(A29=""),NOT(B29=""),NOT(C29=""),I29&gt;0),I29,IF(AND(A29="",NOT(B29=""),NOT(C29="")),T28,0))</f>
        <v>0</v>
      </c>
      <c r="U29" s="150">
        <f>IF(AND(NOT(A29=""),NOT(B29=""),NOT(C29=""),NOT(ISBLANK(J29))),VLOOKUP(J29,'Emission Controls'!$A$3:$L$16,11,),IF(AND(A29="",NOT(B29=""),NOT(C29="")),U28,0))</f>
        <v>0</v>
      </c>
      <c r="W29" s="147" t="s">
        <v>75</v>
      </c>
      <c r="Z29" s="131" t="s">
        <v>1592</v>
      </c>
      <c r="AC29" s="99">
        <v>171</v>
      </c>
      <c r="AD29" s="99">
        <f t="shared" ref="AD29:AD60" si="0">SUMIF($C$29:$C$60,AC29,$L$29:$L$60)</f>
        <v>0</v>
      </c>
    </row>
    <row r="30" spans="1:30" s="147" customFormat="1" ht="18" customHeight="1" x14ac:dyDescent="0.2">
      <c r="A30" s="432" t="str">
        <f>IF(ISBLANK('Table 5-C| MPTE HAP'!A39),"",'Table 5-C| MPTE HAP'!A39)</f>
        <v/>
      </c>
      <c r="B30" s="433" t="str">
        <f>IF(ISBLANK('Table 5-C| MPTE HAP'!B39),"",'Table 5-C| MPTE HAP'!B39)</f>
        <v/>
      </c>
      <c r="C30" s="434" t="str">
        <f>IF(ISBLANK('Table 5-C| MPTE HAP'!C39),"",'Table 5-C| MPTE HAP'!C39)</f>
        <v/>
      </c>
      <c r="D30" s="549" t="str">
        <f>IF(ISBLANK('Table 5-C| MPTE HAP'!D39),"",'Table 5-C| MPTE HAP'!D39)</f>
        <v/>
      </c>
      <c r="E30" s="358"/>
      <c r="F30" s="358"/>
      <c r="G30" s="411" t="str">
        <f>IF(A30="","",IF('Table 5-C| MPTE HAP'!P39&gt;0,'Table 5-C| MPTE HAP'!P39,""))</f>
        <v/>
      </c>
      <c r="H30" s="362" t="str">
        <f>IF(A30="","",IF('Table 5-C| MPTE HAP'!Q39="","",'Table 5-C| MPTE HAP'!Q39))</f>
        <v/>
      </c>
      <c r="I30" s="358"/>
      <c r="J30" s="363"/>
      <c r="K30" s="412" t="str">
        <f>IF(A30="","",IF('Table 5-C| MPTE HAP'!S39&gt;0,'Table 5-C| MPTE HAP'!S39,""))</f>
        <v/>
      </c>
      <c r="L30" s="364" t="str">
        <f>IFERROR(IF(OR('Table 5-C| MPTE HAP'!L39="",Q30="",R30="",AND(Q30="YES",T30=0),AND(R30="YES",U30=0)),"",IF(Q30="YES",'Table 5-C| MPTE HAP'!L39*(T30/S30),'Table 5-C| MPTE HAP'!L39))*IF(R30="YES",IF(VLOOKUP(C30,'HAP CAS &amp; Names'!$F$4:$H$186,3,)="YES",(1-U30),1),1),"")</f>
        <v/>
      </c>
      <c r="M30" s="138"/>
      <c r="N30" s="158">
        <f>SUMIF(C30:$C$60,C30,L30:$L$60)</f>
        <v>0</v>
      </c>
      <c r="O30" s="48"/>
      <c r="Q30" s="124" t="str">
        <f t="shared" ref="Q30:Q60" si="1">IF(AND(NOT(A30=""),NOT(B30=""),NOT(C30=""),NOT(ISBLANK(E30))),E30,IF(AND(A30="",NOT(B30=""),NOT(C30=""),ISBLANK(E30)),Q29,""))</f>
        <v/>
      </c>
      <c r="R30" s="124" t="str">
        <f t="shared" ref="R30:R60" si="2">IF(AND(NOT(A30=""),NOT(B30=""),NOT(C30=""),NOT(ISBLANK(F30))),F30,IF(AND(A30="",NOT(B30=""),NOT(C30=""),ISBLANK(F30)),R29,""))</f>
        <v/>
      </c>
      <c r="S30" s="443">
        <f t="shared" ref="S30:S60" si="3">IF(AND(NOT(A30=""),NOT(B30=""),NOT(C30=""),G30&gt;0),G30,IF(AND(A30="",NOT(B30=""),NOT(C30="")),S29,0))</f>
        <v>0</v>
      </c>
      <c r="T30" s="443">
        <f t="shared" ref="T30:T60" si="4">IF(AND(NOT(A30=""),NOT(B30=""),NOT(C30=""),I30&gt;0),I30,IF(AND(A30="",NOT(B30=""),NOT(C30="")),T29,0))</f>
        <v>0</v>
      </c>
      <c r="U30" s="150">
        <f>IF(AND(NOT(A30=""),NOT(B30=""),NOT(C30=""),NOT(ISBLANK(J30))),VLOOKUP(J30,'Emission Controls'!$A$3:$L$16,11,),IF(AND(A30="",NOT(B30=""),NOT(C30="")),U29,0))</f>
        <v>0</v>
      </c>
      <c r="W30" s="147" t="s">
        <v>73</v>
      </c>
      <c r="Z30" s="131" t="s">
        <v>1600</v>
      </c>
      <c r="AC30" s="99">
        <v>50000</v>
      </c>
      <c r="AD30" s="99">
        <f t="shared" si="0"/>
        <v>0</v>
      </c>
    </row>
    <row r="31" spans="1:30" s="147" customFormat="1" ht="18" customHeight="1" thickBot="1" x14ac:dyDescent="0.25">
      <c r="A31" s="432" t="str">
        <f>IF(ISBLANK('Table 5-C| MPTE HAP'!A40),"",'Table 5-C| MPTE HAP'!A40)</f>
        <v/>
      </c>
      <c r="B31" s="433" t="str">
        <f>IF(ISBLANK('Table 5-C| MPTE HAP'!B40),"",'Table 5-C| MPTE HAP'!B40)</f>
        <v/>
      </c>
      <c r="C31" s="434" t="str">
        <f>IF(ISBLANK('Table 5-C| MPTE HAP'!C40),"",'Table 5-C| MPTE HAP'!C40)</f>
        <v/>
      </c>
      <c r="D31" s="549" t="str">
        <f>IF(ISBLANK('Table 5-C| MPTE HAP'!D40),"",'Table 5-C| MPTE HAP'!D40)</f>
        <v/>
      </c>
      <c r="E31" s="358"/>
      <c r="F31" s="358"/>
      <c r="G31" s="411" t="str">
        <f>IF(A31="","",IF('Table 5-C| MPTE HAP'!P40&gt;0,'Table 5-C| MPTE HAP'!P40,""))</f>
        <v/>
      </c>
      <c r="H31" s="362" t="str">
        <f>IF(A31="","",IF('Table 5-C| MPTE HAP'!Q40="","",'Table 5-C| MPTE HAP'!Q40))</f>
        <v/>
      </c>
      <c r="I31" s="358"/>
      <c r="J31" s="363"/>
      <c r="K31" s="412" t="str">
        <f>IF(A31="","",IF('Table 5-C| MPTE HAP'!S40&gt;0,'Table 5-C| MPTE HAP'!S40,""))</f>
        <v/>
      </c>
      <c r="L31" s="364" t="str">
        <f>IFERROR(IF(OR('Table 5-C| MPTE HAP'!L40="",Q31="",R31="",AND(Q31="YES",T31=0),AND(R31="YES",U31=0)),"",IF(Q31="YES",'Table 5-C| MPTE HAP'!L40*(T31/S31),'Table 5-C| MPTE HAP'!L40))*IF(R31="YES",IF(VLOOKUP(C31,'HAP CAS &amp; Names'!$F$4:$H$186,3,)="YES",(1-U31),1),1),"")</f>
        <v/>
      </c>
      <c r="M31" s="138"/>
      <c r="N31" s="158">
        <f>SUMIF(C31:$C$60,C31,L31:$L$60)</f>
        <v>0</v>
      </c>
      <c r="O31" s="48"/>
      <c r="Q31" s="124" t="str">
        <f t="shared" si="1"/>
        <v/>
      </c>
      <c r="R31" s="124" t="str">
        <f t="shared" si="2"/>
        <v/>
      </c>
      <c r="S31" s="443">
        <f t="shared" si="3"/>
        <v>0</v>
      </c>
      <c r="T31" s="443">
        <f t="shared" si="4"/>
        <v>0</v>
      </c>
      <c r="U31" s="150">
        <f>IF(AND(NOT(A31=""),NOT(B31=""),NOT(C31=""),NOT(ISBLANK(J31))),VLOOKUP(J31,'Emission Controls'!$A$3:$L$16,11,),IF(AND(A31="",NOT(B31=""),NOT(C31="")),U30,0))</f>
        <v>0</v>
      </c>
      <c r="Z31" s="132" t="s">
        <v>1595</v>
      </c>
      <c r="AC31" s="99">
        <v>51285</v>
      </c>
      <c r="AD31" s="99">
        <f t="shared" si="0"/>
        <v>0</v>
      </c>
    </row>
    <row r="32" spans="1:30" s="147" customFormat="1" ht="18" customHeight="1" x14ac:dyDescent="0.2">
      <c r="A32" s="432" t="str">
        <f>IF(ISBLANK('Table 5-C| MPTE HAP'!A41),"",'Table 5-C| MPTE HAP'!A41)</f>
        <v/>
      </c>
      <c r="B32" s="433" t="str">
        <f>IF(ISBLANK('Table 5-C| MPTE HAP'!B41),"",'Table 5-C| MPTE HAP'!B41)</f>
        <v/>
      </c>
      <c r="C32" s="434" t="str">
        <f>IF(ISBLANK('Table 5-C| MPTE HAP'!C41),"",'Table 5-C| MPTE HAP'!C41)</f>
        <v/>
      </c>
      <c r="D32" s="549" t="str">
        <f>IF(ISBLANK('Table 5-C| MPTE HAP'!D41),"",'Table 5-C| MPTE HAP'!D41)</f>
        <v/>
      </c>
      <c r="E32" s="358"/>
      <c r="F32" s="358"/>
      <c r="G32" s="411" t="str">
        <f>IF(A32="","",IF('Table 5-C| MPTE HAP'!P41&gt;0,'Table 5-C| MPTE HAP'!P41,""))</f>
        <v/>
      </c>
      <c r="H32" s="362" t="str">
        <f>IF(A32="","",IF('Table 5-C| MPTE HAP'!Q41="","",'Table 5-C| MPTE HAP'!Q41))</f>
        <v/>
      </c>
      <c r="I32" s="358"/>
      <c r="J32" s="363"/>
      <c r="K32" s="412" t="str">
        <f>IF(A32="","",IF('Table 5-C| MPTE HAP'!S41&gt;0,'Table 5-C| MPTE HAP'!S41,""))</f>
        <v/>
      </c>
      <c r="L32" s="364" t="str">
        <f>IFERROR(IF(OR('Table 5-C| MPTE HAP'!L41="",Q32="",R32="",AND(Q32="YES",T32=0),AND(R32="YES",U32=0)),"",IF(Q32="YES",'Table 5-C| MPTE HAP'!L41*(T32/S32),'Table 5-C| MPTE HAP'!L41))*IF(R32="YES",IF(VLOOKUP(C32,'HAP CAS &amp; Names'!$F$4:$H$186,3,)="YES",(1-U32),1),1),"")</f>
        <v/>
      </c>
      <c r="M32" s="138"/>
      <c r="N32" s="158">
        <f>SUMIF(C32:$C$60,C32,L32:$L$60)</f>
        <v>0</v>
      </c>
      <c r="O32" s="48"/>
      <c r="Q32" s="124" t="str">
        <f t="shared" si="1"/>
        <v/>
      </c>
      <c r="R32" s="124" t="str">
        <f t="shared" si="2"/>
        <v/>
      </c>
      <c r="S32" s="443">
        <f t="shared" si="3"/>
        <v>0</v>
      </c>
      <c r="T32" s="443">
        <f t="shared" si="4"/>
        <v>0</v>
      </c>
      <c r="U32" s="150">
        <f>IF(AND(NOT(A32=""),NOT(B32=""),NOT(C32=""),NOT(ISBLANK(J32))),VLOOKUP(J32,'Emission Controls'!$A$3:$L$16,11,),IF(AND(A32="",NOT(B32=""),NOT(C32="")),U31,0))</f>
        <v>0</v>
      </c>
      <c r="AC32" s="99">
        <v>51796</v>
      </c>
      <c r="AD32" s="99">
        <f t="shared" si="0"/>
        <v>0</v>
      </c>
    </row>
    <row r="33" spans="1:30" s="147" customFormat="1" ht="18" customHeight="1" x14ac:dyDescent="0.2">
      <c r="A33" s="432" t="str">
        <f>IF(ISBLANK('Table 5-C| MPTE HAP'!A42),"",'Table 5-C| MPTE HAP'!A42)</f>
        <v/>
      </c>
      <c r="B33" s="433" t="str">
        <f>IF(ISBLANK('Table 5-C| MPTE HAP'!B42),"",'Table 5-C| MPTE HAP'!B42)</f>
        <v/>
      </c>
      <c r="C33" s="434" t="str">
        <f>IF(ISBLANK('Table 5-C| MPTE HAP'!C42),"",'Table 5-C| MPTE HAP'!C42)</f>
        <v/>
      </c>
      <c r="D33" s="549" t="str">
        <f>IF(ISBLANK('Table 5-C| MPTE HAP'!D42),"",'Table 5-C| MPTE HAP'!D42)</f>
        <v/>
      </c>
      <c r="E33" s="358"/>
      <c r="F33" s="358"/>
      <c r="G33" s="411" t="str">
        <f>IF(A33="","",IF('Table 5-C| MPTE HAP'!P42&gt;0,'Table 5-C| MPTE HAP'!P42,""))</f>
        <v/>
      </c>
      <c r="H33" s="362" t="str">
        <f>IF(A33="","",IF('Table 5-C| MPTE HAP'!Q42="","",'Table 5-C| MPTE HAP'!Q42))</f>
        <v/>
      </c>
      <c r="I33" s="358"/>
      <c r="J33" s="363"/>
      <c r="K33" s="412" t="str">
        <f>IF(A33="","",IF('Table 5-C| MPTE HAP'!S42&gt;0,'Table 5-C| MPTE HAP'!S42,""))</f>
        <v/>
      </c>
      <c r="L33" s="364" t="str">
        <f>IFERROR(IF(OR('Table 5-C| MPTE HAP'!L42="",Q33="",R33="",AND(Q33="YES",T33=0),AND(R33="YES",U33=0)),"",IF(Q33="YES",'Table 5-C| MPTE HAP'!L42*(T33/S33),'Table 5-C| MPTE HAP'!L42))*IF(R33="YES",IF(VLOOKUP(C33,'HAP CAS &amp; Names'!$F$4:$H$186,3,)="YES",(1-U33),1),1),"")</f>
        <v/>
      </c>
      <c r="M33" s="138"/>
      <c r="N33" s="158">
        <f>SUMIF(C33:$C$60,C33,L33:$L$60)</f>
        <v>0</v>
      </c>
      <c r="Q33" s="124" t="str">
        <f t="shared" si="1"/>
        <v/>
      </c>
      <c r="R33" s="124" t="str">
        <f t="shared" si="2"/>
        <v/>
      </c>
      <c r="S33" s="443">
        <f t="shared" si="3"/>
        <v>0</v>
      </c>
      <c r="T33" s="443">
        <f t="shared" si="4"/>
        <v>0</v>
      </c>
      <c r="U33" s="150">
        <f>IF(AND(NOT(A33=""),NOT(B33=""),NOT(C33=""),NOT(ISBLANK(J33))),VLOOKUP(J33,'Emission Controls'!$A$3:$L$16,11,),IF(AND(A33="",NOT(B33=""),NOT(C33="")),U32,0))</f>
        <v>0</v>
      </c>
      <c r="AC33" s="99">
        <v>53963</v>
      </c>
      <c r="AD33" s="99">
        <f t="shared" si="0"/>
        <v>0</v>
      </c>
    </row>
    <row r="34" spans="1:30" s="147" customFormat="1" ht="18" customHeight="1" x14ac:dyDescent="0.2">
      <c r="A34" s="432" t="str">
        <f>IF(ISBLANK('Table 5-C| MPTE HAP'!A43),"",'Table 5-C| MPTE HAP'!A43)</f>
        <v/>
      </c>
      <c r="B34" s="433" t="str">
        <f>IF(ISBLANK('Table 5-C| MPTE HAP'!B43),"",'Table 5-C| MPTE HAP'!B43)</f>
        <v/>
      </c>
      <c r="C34" s="434" t="str">
        <f>IF(ISBLANK('Table 5-C| MPTE HAP'!C43),"",'Table 5-C| MPTE HAP'!C43)</f>
        <v/>
      </c>
      <c r="D34" s="549" t="str">
        <f>IF(ISBLANK('Table 5-C| MPTE HAP'!D43),"",'Table 5-C| MPTE HAP'!D43)</f>
        <v/>
      </c>
      <c r="E34" s="358"/>
      <c r="F34" s="358"/>
      <c r="G34" s="411" t="str">
        <f>IF(A34="","",IF('Table 5-C| MPTE HAP'!P43&gt;0,'Table 5-C| MPTE HAP'!P43,""))</f>
        <v/>
      </c>
      <c r="H34" s="362" t="str">
        <f>IF(A34="","",IF('Table 5-C| MPTE HAP'!Q43="","",'Table 5-C| MPTE HAP'!Q43))</f>
        <v/>
      </c>
      <c r="I34" s="358"/>
      <c r="J34" s="363"/>
      <c r="K34" s="412" t="str">
        <f>IF(A34="","",IF('Table 5-C| MPTE HAP'!S43&gt;0,'Table 5-C| MPTE HAP'!S43,""))</f>
        <v/>
      </c>
      <c r="L34" s="364" t="str">
        <f>IFERROR(IF(OR('Table 5-C| MPTE HAP'!L43="",Q34="",R34="",AND(Q34="YES",T34=0),AND(R34="YES",U34=0)),"",IF(Q34="YES",'Table 5-C| MPTE HAP'!L43*(T34/S34),'Table 5-C| MPTE HAP'!L43))*IF(R34="YES",IF(VLOOKUP(C34,'HAP CAS &amp; Names'!$F$4:$H$186,3,)="YES",(1-U34),1),1),"")</f>
        <v/>
      </c>
      <c r="M34" s="138"/>
      <c r="N34" s="158">
        <f>SUMIF(C34:$C$60,C34,L34:$L$60)</f>
        <v>0</v>
      </c>
      <c r="Q34" s="124" t="str">
        <f t="shared" si="1"/>
        <v/>
      </c>
      <c r="R34" s="124" t="str">
        <f t="shared" si="2"/>
        <v/>
      </c>
      <c r="S34" s="443">
        <f t="shared" si="3"/>
        <v>0</v>
      </c>
      <c r="T34" s="443">
        <f t="shared" si="4"/>
        <v>0</v>
      </c>
      <c r="U34" s="150">
        <f>IF(AND(NOT(A34=""),NOT(B34=""),NOT(C34=""),NOT(ISBLANK(J34))),VLOOKUP(J34,'Emission Controls'!$A$3:$L$16,11,),IF(AND(A34="",NOT(B34=""),NOT(C34="")),U33,0))</f>
        <v>0</v>
      </c>
      <c r="AC34" s="99">
        <v>56235</v>
      </c>
      <c r="AD34" s="99">
        <f t="shared" si="0"/>
        <v>0</v>
      </c>
    </row>
    <row r="35" spans="1:30" s="147" customFormat="1" ht="18" customHeight="1" x14ac:dyDescent="0.2">
      <c r="A35" s="432" t="str">
        <f>IF(ISBLANK('Table 5-C| MPTE HAP'!A44),"",'Table 5-C| MPTE HAP'!A44)</f>
        <v/>
      </c>
      <c r="B35" s="433" t="str">
        <f>IF(ISBLANK('Table 5-C| MPTE HAP'!B44),"",'Table 5-C| MPTE HAP'!B44)</f>
        <v/>
      </c>
      <c r="C35" s="434" t="str">
        <f>IF(ISBLANK('Table 5-C| MPTE HAP'!C44),"",'Table 5-C| MPTE HAP'!C44)</f>
        <v/>
      </c>
      <c r="D35" s="549" t="str">
        <f>IF(ISBLANK('Table 5-C| MPTE HAP'!D44),"",'Table 5-C| MPTE HAP'!D44)</f>
        <v/>
      </c>
      <c r="E35" s="358"/>
      <c r="F35" s="358"/>
      <c r="G35" s="411" t="str">
        <f>IF(A35="","",IF('Table 5-C| MPTE HAP'!P44&gt;0,'Table 5-C| MPTE HAP'!P44,""))</f>
        <v/>
      </c>
      <c r="H35" s="362" t="str">
        <f>IF(A35="","",IF('Table 5-C| MPTE HAP'!Q44="","",'Table 5-C| MPTE HAP'!Q44))</f>
        <v/>
      </c>
      <c r="I35" s="358"/>
      <c r="J35" s="363"/>
      <c r="K35" s="412" t="str">
        <f>IF(A35="","",IF('Table 5-C| MPTE HAP'!S44&gt;0,'Table 5-C| MPTE HAP'!S44,""))</f>
        <v/>
      </c>
      <c r="L35" s="364" t="str">
        <f>IFERROR(IF(OR('Table 5-C| MPTE HAP'!L44="",Q35="",R35="",AND(Q35="YES",T35=0),AND(R35="YES",U35=0)),"",IF(Q35="YES",'Table 5-C| MPTE HAP'!L44*(T35/S35),'Table 5-C| MPTE HAP'!L44))*IF(R35="YES",IF(VLOOKUP(C35,'HAP CAS &amp; Names'!$F$4:$H$186,3,)="YES",(1-U35),1),1),"")</f>
        <v/>
      </c>
      <c r="M35" s="138"/>
      <c r="N35" s="158">
        <f>SUMIF(C35:$C$60,C35,L35:$L$60)</f>
        <v>0</v>
      </c>
      <c r="Q35" s="124" t="str">
        <f t="shared" si="1"/>
        <v/>
      </c>
      <c r="R35" s="124" t="str">
        <f t="shared" si="2"/>
        <v/>
      </c>
      <c r="S35" s="443">
        <f t="shared" si="3"/>
        <v>0</v>
      </c>
      <c r="T35" s="443">
        <f t="shared" si="4"/>
        <v>0</v>
      </c>
      <c r="U35" s="150">
        <f>IF(AND(NOT(A35=""),NOT(B35=""),NOT(C35=""),NOT(ISBLANK(J35))),VLOOKUP(J35,'Emission Controls'!$A$3:$L$16,11,),IF(AND(A35="",NOT(B35=""),NOT(C35="")),U34,0))</f>
        <v>0</v>
      </c>
      <c r="AC35" s="99">
        <v>56382</v>
      </c>
      <c r="AD35" s="99">
        <f t="shared" si="0"/>
        <v>0</v>
      </c>
    </row>
    <row r="36" spans="1:30" s="147" customFormat="1" ht="18" customHeight="1" x14ac:dyDescent="0.2">
      <c r="A36" s="432" t="str">
        <f>IF(ISBLANK('Table 5-C| MPTE HAP'!A45),"",'Table 5-C| MPTE HAP'!A45)</f>
        <v/>
      </c>
      <c r="B36" s="433" t="str">
        <f>IF(ISBLANK('Table 5-C| MPTE HAP'!B45),"",'Table 5-C| MPTE HAP'!B45)</f>
        <v/>
      </c>
      <c r="C36" s="434" t="str">
        <f>IF(ISBLANK('Table 5-C| MPTE HAP'!C45),"",'Table 5-C| MPTE HAP'!C45)</f>
        <v/>
      </c>
      <c r="D36" s="549" t="str">
        <f>IF(ISBLANK('Table 5-C| MPTE HAP'!D45),"",'Table 5-C| MPTE HAP'!D45)</f>
        <v/>
      </c>
      <c r="E36" s="358"/>
      <c r="F36" s="358"/>
      <c r="G36" s="411" t="str">
        <f>IF(A36="","",IF('Table 5-C| MPTE HAP'!P45&gt;0,'Table 5-C| MPTE HAP'!P45,""))</f>
        <v/>
      </c>
      <c r="H36" s="362" t="str">
        <f>IF(A36="","",IF('Table 5-C| MPTE HAP'!Q45="","",'Table 5-C| MPTE HAP'!Q45))</f>
        <v/>
      </c>
      <c r="I36" s="358"/>
      <c r="J36" s="363"/>
      <c r="K36" s="412" t="str">
        <f>IF(A36="","",IF('Table 5-C| MPTE HAP'!S45&gt;0,'Table 5-C| MPTE HAP'!S45,""))</f>
        <v/>
      </c>
      <c r="L36" s="364" t="str">
        <f>IFERROR(IF(OR('Table 5-C| MPTE HAP'!L45="",Q36="",R36="",AND(Q36="YES",T36=0),AND(R36="YES",U36=0)),"",IF(Q36="YES",'Table 5-C| MPTE HAP'!L45*(T36/S36),'Table 5-C| MPTE HAP'!L45))*IF(R36="YES",IF(VLOOKUP(C36,'HAP CAS &amp; Names'!$F$4:$H$186,3,)="YES",(1-U36),1),1),"")</f>
        <v/>
      </c>
      <c r="M36" s="138"/>
      <c r="N36" s="158">
        <f>SUMIF(C36:$C$60,C36,L36:$L$60)</f>
        <v>0</v>
      </c>
      <c r="Q36" s="124" t="str">
        <f t="shared" si="1"/>
        <v/>
      </c>
      <c r="R36" s="124" t="str">
        <f t="shared" si="2"/>
        <v/>
      </c>
      <c r="S36" s="443">
        <f t="shared" si="3"/>
        <v>0</v>
      </c>
      <c r="T36" s="443">
        <f t="shared" si="4"/>
        <v>0</v>
      </c>
      <c r="U36" s="150">
        <f>IF(AND(NOT(A36=""),NOT(B36=""),NOT(C36=""),NOT(ISBLANK(J36))),VLOOKUP(J36,'Emission Controls'!$A$3:$L$16,11,),IF(AND(A36="",NOT(B36=""),NOT(C36="")),U35,0))</f>
        <v>0</v>
      </c>
      <c r="AC36" s="99">
        <v>57125</v>
      </c>
      <c r="AD36" s="99">
        <f t="shared" si="0"/>
        <v>0</v>
      </c>
    </row>
    <row r="37" spans="1:30" s="147" customFormat="1" ht="18" customHeight="1" x14ac:dyDescent="0.2">
      <c r="A37" s="432" t="str">
        <f>IF(ISBLANK('Table 5-C| MPTE HAP'!A46),"",'Table 5-C| MPTE HAP'!A46)</f>
        <v/>
      </c>
      <c r="B37" s="433" t="str">
        <f>IF(ISBLANK('Table 5-C| MPTE HAP'!B46),"",'Table 5-C| MPTE HAP'!B46)</f>
        <v/>
      </c>
      <c r="C37" s="434" t="str">
        <f>IF(ISBLANK('Table 5-C| MPTE HAP'!C46),"",'Table 5-C| MPTE HAP'!C46)</f>
        <v/>
      </c>
      <c r="D37" s="549" t="str">
        <f>IF(ISBLANK('Table 5-C| MPTE HAP'!D46),"",'Table 5-C| MPTE HAP'!D46)</f>
        <v/>
      </c>
      <c r="E37" s="358"/>
      <c r="F37" s="358"/>
      <c r="G37" s="411" t="str">
        <f>IF(A37="","",IF('Table 5-C| MPTE HAP'!P46&gt;0,'Table 5-C| MPTE HAP'!P46,""))</f>
        <v/>
      </c>
      <c r="H37" s="362" t="str">
        <f>IF(A37="","",IF('Table 5-C| MPTE HAP'!Q46="","",'Table 5-C| MPTE HAP'!Q46))</f>
        <v/>
      </c>
      <c r="I37" s="358"/>
      <c r="J37" s="363"/>
      <c r="K37" s="412" t="str">
        <f>IF(A37="","",IF('Table 5-C| MPTE HAP'!S46&gt;0,'Table 5-C| MPTE HAP'!S46,""))</f>
        <v/>
      </c>
      <c r="L37" s="364" t="str">
        <f>IFERROR(IF(OR('Table 5-C| MPTE HAP'!L46="",Q37="",R37="",AND(Q37="YES",T37=0),AND(R37="YES",U37=0)),"",IF(Q37="YES",'Table 5-C| MPTE HAP'!L46*(T37/S37),'Table 5-C| MPTE HAP'!L46))*IF(R37="YES",IF(VLOOKUP(C37,'HAP CAS &amp; Names'!$F$4:$H$186,3,)="YES",(1-U37),1),1),"")</f>
        <v/>
      </c>
      <c r="M37" s="138"/>
      <c r="N37" s="158">
        <f>SUMIF(C37:$C$60,C37,L37:$L$60)</f>
        <v>0</v>
      </c>
      <c r="Q37" s="124" t="str">
        <f t="shared" si="1"/>
        <v/>
      </c>
      <c r="R37" s="124" t="str">
        <f t="shared" si="2"/>
        <v/>
      </c>
      <c r="S37" s="443">
        <f t="shared" si="3"/>
        <v>0</v>
      </c>
      <c r="T37" s="443">
        <f t="shared" si="4"/>
        <v>0</v>
      </c>
      <c r="U37" s="150">
        <f>IF(AND(NOT(A37=""),NOT(B37=""),NOT(C37=""),NOT(ISBLANK(J37))),VLOOKUP(J37,'Emission Controls'!$A$3:$L$16,11,),IF(AND(A37="",NOT(B37=""),NOT(C37="")),U36,0))</f>
        <v>0</v>
      </c>
      <c r="AC37" s="99">
        <v>57147</v>
      </c>
      <c r="AD37" s="99">
        <f t="shared" si="0"/>
        <v>0</v>
      </c>
    </row>
    <row r="38" spans="1:30" s="147" customFormat="1" ht="18" customHeight="1" x14ac:dyDescent="0.2">
      <c r="A38" s="432" t="str">
        <f>IF(ISBLANK('Table 5-C| MPTE HAP'!A47),"",'Table 5-C| MPTE HAP'!A47)</f>
        <v/>
      </c>
      <c r="B38" s="433" t="str">
        <f>IF(ISBLANK('Table 5-C| MPTE HAP'!B47),"",'Table 5-C| MPTE HAP'!B47)</f>
        <v/>
      </c>
      <c r="C38" s="434" t="str">
        <f>IF(ISBLANK('Table 5-C| MPTE HAP'!C47),"",'Table 5-C| MPTE HAP'!C47)</f>
        <v/>
      </c>
      <c r="D38" s="549" t="str">
        <f>IF(ISBLANK('Table 5-C| MPTE HAP'!D47),"",'Table 5-C| MPTE HAP'!D47)</f>
        <v/>
      </c>
      <c r="E38" s="358"/>
      <c r="F38" s="358"/>
      <c r="G38" s="411" t="str">
        <f>IF(A38="","",IF('Table 5-C| MPTE HAP'!P47&gt;0,'Table 5-C| MPTE HAP'!P47,""))</f>
        <v/>
      </c>
      <c r="H38" s="362" t="str">
        <f>IF(A38="","",IF('Table 5-C| MPTE HAP'!Q47="","",'Table 5-C| MPTE HAP'!Q47))</f>
        <v/>
      </c>
      <c r="I38" s="358"/>
      <c r="J38" s="363"/>
      <c r="K38" s="412" t="str">
        <f>IF(A38="","",IF('Table 5-C| MPTE HAP'!S47&gt;0,'Table 5-C| MPTE HAP'!S47,""))</f>
        <v/>
      </c>
      <c r="L38" s="364" t="str">
        <f>IFERROR(IF(OR('Table 5-C| MPTE HAP'!L47="",Q38="",R38="",AND(Q38="YES",T38=0),AND(R38="YES",U38=0)),"",IF(Q38="YES",'Table 5-C| MPTE HAP'!L47*(T38/S38),'Table 5-C| MPTE HAP'!L47))*IF(R38="YES",IF(VLOOKUP(C38,'HAP CAS &amp; Names'!$F$4:$H$186,3,)="YES",(1-U38),1),1),"")</f>
        <v/>
      </c>
      <c r="M38" s="138"/>
      <c r="N38" s="158">
        <f>SUMIF(C38:$C$60,C38,L38:$L$60)</f>
        <v>0</v>
      </c>
      <c r="Q38" s="124" t="str">
        <f t="shared" si="1"/>
        <v/>
      </c>
      <c r="R38" s="124" t="str">
        <f t="shared" si="2"/>
        <v/>
      </c>
      <c r="S38" s="443">
        <f t="shared" si="3"/>
        <v>0</v>
      </c>
      <c r="T38" s="443">
        <f t="shared" si="4"/>
        <v>0</v>
      </c>
      <c r="U38" s="150">
        <f>IF(AND(NOT(A38=""),NOT(B38=""),NOT(C38=""),NOT(ISBLANK(J38))),VLOOKUP(J38,'Emission Controls'!$A$3:$L$16,11,),IF(AND(A38="",NOT(B38=""),NOT(C38="")),U37,0))</f>
        <v>0</v>
      </c>
      <c r="AC38" s="99">
        <v>57578</v>
      </c>
      <c r="AD38" s="99">
        <f t="shared" si="0"/>
        <v>0</v>
      </c>
    </row>
    <row r="39" spans="1:30" s="147" customFormat="1" ht="18" customHeight="1" x14ac:dyDescent="0.2">
      <c r="A39" s="432" t="str">
        <f>IF(ISBLANK('Table 5-C| MPTE HAP'!A48),"",'Table 5-C| MPTE HAP'!A48)</f>
        <v/>
      </c>
      <c r="B39" s="433" t="str">
        <f>IF(ISBLANK('Table 5-C| MPTE HAP'!B48),"",'Table 5-C| MPTE HAP'!B48)</f>
        <v/>
      </c>
      <c r="C39" s="434" t="str">
        <f>IF(ISBLANK('Table 5-C| MPTE HAP'!C48),"",'Table 5-C| MPTE HAP'!C48)</f>
        <v/>
      </c>
      <c r="D39" s="549" t="str">
        <f>IF(ISBLANK('Table 5-C| MPTE HAP'!D48),"",'Table 5-C| MPTE HAP'!D48)</f>
        <v/>
      </c>
      <c r="E39" s="358"/>
      <c r="F39" s="358"/>
      <c r="G39" s="411" t="str">
        <f>IF(A39="","",IF('Table 5-C| MPTE HAP'!P48&gt;0,'Table 5-C| MPTE HAP'!P48,""))</f>
        <v/>
      </c>
      <c r="H39" s="362" t="str">
        <f>IF(A39="","",IF('Table 5-C| MPTE HAP'!Q48="","",'Table 5-C| MPTE HAP'!Q48))</f>
        <v/>
      </c>
      <c r="I39" s="358"/>
      <c r="J39" s="363"/>
      <c r="K39" s="412" t="str">
        <f>IF(A39="","",IF('Table 5-C| MPTE HAP'!S48&gt;0,'Table 5-C| MPTE HAP'!S48,""))</f>
        <v/>
      </c>
      <c r="L39" s="364" t="str">
        <f>IFERROR(IF(OR('Table 5-C| MPTE HAP'!L48="",Q39="",R39="",AND(Q39="YES",T39=0),AND(R39="YES",U39=0)),"",IF(Q39="YES",'Table 5-C| MPTE HAP'!L48*(T39/S39),'Table 5-C| MPTE HAP'!L48))*IF(R39="YES",IF(VLOOKUP(C39,'HAP CAS &amp; Names'!$F$4:$H$186,3,)="YES",(1-U39),1),1),"")</f>
        <v/>
      </c>
      <c r="M39" s="138"/>
      <c r="N39" s="158">
        <f>SUMIF(C39:$C$60,C39,L39:$L$60)</f>
        <v>0</v>
      </c>
      <c r="Q39" s="124" t="str">
        <f t="shared" si="1"/>
        <v/>
      </c>
      <c r="R39" s="124" t="str">
        <f t="shared" si="2"/>
        <v/>
      </c>
      <c r="S39" s="443">
        <f t="shared" si="3"/>
        <v>0</v>
      </c>
      <c r="T39" s="443">
        <f t="shared" si="4"/>
        <v>0</v>
      </c>
      <c r="U39" s="150">
        <f>IF(AND(NOT(A39=""),NOT(B39=""),NOT(C39=""),NOT(ISBLANK(J39))),VLOOKUP(J39,'Emission Controls'!$A$3:$L$16,11,),IF(AND(A39="",NOT(B39=""),NOT(C39="")),U38,0))</f>
        <v>0</v>
      </c>
      <c r="AC39" s="99">
        <v>57749</v>
      </c>
      <c r="AD39" s="99">
        <f t="shared" si="0"/>
        <v>0</v>
      </c>
    </row>
    <row r="40" spans="1:30" s="147" customFormat="1" ht="18" customHeight="1" x14ac:dyDescent="0.2">
      <c r="A40" s="432" t="str">
        <f>IF(ISBLANK('Table 5-C| MPTE HAP'!A49),"",'Table 5-C| MPTE HAP'!A49)</f>
        <v/>
      </c>
      <c r="B40" s="433" t="str">
        <f>IF(ISBLANK('Table 5-C| MPTE HAP'!B49),"",'Table 5-C| MPTE HAP'!B49)</f>
        <v/>
      </c>
      <c r="C40" s="434" t="str">
        <f>IF(ISBLANK('Table 5-C| MPTE HAP'!C49),"",'Table 5-C| MPTE HAP'!C49)</f>
        <v/>
      </c>
      <c r="D40" s="549" t="str">
        <f>IF(ISBLANK('Table 5-C| MPTE HAP'!D49),"",'Table 5-C| MPTE HAP'!D49)</f>
        <v/>
      </c>
      <c r="E40" s="358"/>
      <c r="F40" s="358"/>
      <c r="G40" s="411" t="str">
        <f>IF(A40="","",IF('Table 5-C| MPTE HAP'!P49&gt;0,'Table 5-C| MPTE HAP'!P49,""))</f>
        <v/>
      </c>
      <c r="H40" s="362" t="str">
        <f>IF(A40="","",IF('Table 5-C| MPTE HAP'!Q49="","",'Table 5-C| MPTE HAP'!Q49))</f>
        <v/>
      </c>
      <c r="I40" s="358"/>
      <c r="J40" s="363"/>
      <c r="K40" s="412" t="str">
        <f>IF(A40="","",IF('Table 5-C| MPTE HAP'!S49&gt;0,'Table 5-C| MPTE HAP'!S49,""))</f>
        <v/>
      </c>
      <c r="L40" s="364" t="str">
        <f>IFERROR(IF(OR('Table 5-C| MPTE HAP'!L49="",Q40="",R40="",AND(Q40="YES",T40=0),AND(R40="YES",U40=0)),"",IF(Q40="YES",'Table 5-C| MPTE HAP'!L49*(T40/S40),'Table 5-C| MPTE HAP'!L49))*IF(R40="YES",IF(VLOOKUP(C40,'HAP CAS &amp; Names'!$F$4:$H$186,3,)="YES",(1-U40),1),1),"")</f>
        <v/>
      </c>
      <c r="M40" s="138"/>
      <c r="N40" s="158">
        <f>SUMIF(C40:$C$60,C40,L40:$L$60)</f>
        <v>0</v>
      </c>
      <c r="Q40" s="124" t="str">
        <f t="shared" si="1"/>
        <v/>
      </c>
      <c r="R40" s="124" t="str">
        <f t="shared" si="2"/>
        <v/>
      </c>
      <c r="S40" s="443">
        <f t="shared" si="3"/>
        <v>0</v>
      </c>
      <c r="T40" s="443">
        <f t="shared" si="4"/>
        <v>0</v>
      </c>
      <c r="U40" s="150">
        <f>IF(AND(NOT(A40=""),NOT(B40=""),NOT(C40=""),NOT(ISBLANK(J40))),VLOOKUP(J40,'Emission Controls'!$A$3:$L$16,11,),IF(AND(A40="",NOT(B40=""),NOT(C40="")),U39,0))</f>
        <v>0</v>
      </c>
      <c r="AC40" s="99">
        <v>58899</v>
      </c>
      <c r="AD40" s="99">
        <f t="shared" si="0"/>
        <v>0</v>
      </c>
    </row>
    <row r="41" spans="1:30" s="147" customFormat="1" ht="18" customHeight="1" x14ac:dyDescent="0.2">
      <c r="A41" s="432" t="str">
        <f>IF(ISBLANK('Table 5-C| MPTE HAP'!A50),"",'Table 5-C| MPTE HAP'!A50)</f>
        <v/>
      </c>
      <c r="B41" s="433" t="str">
        <f>IF(ISBLANK('Table 5-C| MPTE HAP'!B50),"",'Table 5-C| MPTE HAP'!B50)</f>
        <v/>
      </c>
      <c r="C41" s="434" t="str">
        <f>IF(ISBLANK('Table 5-C| MPTE HAP'!C50),"",'Table 5-C| MPTE HAP'!C50)</f>
        <v/>
      </c>
      <c r="D41" s="549" t="str">
        <f>IF(ISBLANK('Table 5-C| MPTE HAP'!D50),"",'Table 5-C| MPTE HAP'!D50)</f>
        <v/>
      </c>
      <c r="E41" s="358"/>
      <c r="F41" s="358"/>
      <c r="G41" s="411" t="str">
        <f>IF(A41="","",IF('Table 5-C| MPTE HAP'!P50&gt;0,'Table 5-C| MPTE HAP'!P50,""))</f>
        <v/>
      </c>
      <c r="H41" s="362" t="str">
        <f>IF(A41="","",IF('Table 5-C| MPTE HAP'!Q50="","",'Table 5-C| MPTE HAP'!Q50))</f>
        <v/>
      </c>
      <c r="I41" s="358"/>
      <c r="J41" s="363"/>
      <c r="K41" s="412" t="str">
        <f>IF(A41="","",IF('Table 5-C| MPTE HAP'!S50&gt;0,'Table 5-C| MPTE HAP'!S50,""))</f>
        <v/>
      </c>
      <c r="L41" s="364" t="str">
        <f>IFERROR(IF(OR('Table 5-C| MPTE HAP'!L50="",Q41="",R41="",AND(Q41="YES",T41=0),AND(R41="YES",U41=0)),"",IF(Q41="YES",'Table 5-C| MPTE HAP'!L50*(T41/S41),'Table 5-C| MPTE HAP'!L50))*IF(R41="YES",IF(VLOOKUP(C41,'HAP CAS &amp; Names'!$F$4:$H$186,3,)="YES",(1-U41),1),1),"")</f>
        <v/>
      </c>
      <c r="M41" s="138"/>
      <c r="N41" s="158">
        <f>SUMIF(C41:$C$60,C41,L41:$L$60)</f>
        <v>0</v>
      </c>
      <c r="Q41" s="124" t="str">
        <f t="shared" si="1"/>
        <v/>
      </c>
      <c r="R41" s="124" t="str">
        <f t="shared" si="2"/>
        <v/>
      </c>
      <c r="S41" s="443">
        <f t="shared" si="3"/>
        <v>0</v>
      </c>
      <c r="T41" s="443">
        <f t="shared" si="4"/>
        <v>0</v>
      </c>
      <c r="U41" s="150">
        <f>IF(AND(NOT(A41=""),NOT(B41=""),NOT(C41=""),NOT(ISBLANK(J41))),VLOOKUP(J41,'Emission Controls'!$A$3:$L$16,11,),IF(AND(A41="",NOT(B41=""),NOT(C41="")),U40,0))</f>
        <v>0</v>
      </c>
      <c r="AC41" s="99">
        <v>59892</v>
      </c>
      <c r="AD41" s="99">
        <f t="shared" si="0"/>
        <v>0</v>
      </c>
    </row>
    <row r="42" spans="1:30" s="147" customFormat="1" ht="18" customHeight="1" x14ac:dyDescent="0.2">
      <c r="A42" s="432" t="str">
        <f>IF(ISBLANK('Table 5-C| MPTE HAP'!A51),"",'Table 5-C| MPTE HAP'!A51)</f>
        <v/>
      </c>
      <c r="B42" s="433" t="str">
        <f>IF(ISBLANK('Table 5-C| MPTE HAP'!B51),"",'Table 5-C| MPTE HAP'!B51)</f>
        <v/>
      </c>
      <c r="C42" s="434" t="str">
        <f>IF(ISBLANK('Table 5-C| MPTE HAP'!C51),"",'Table 5-C| MPTE HAP'!C51)</f>
        <v/>
      </c>
      <c r="D42" s="549" t="str">
        <f>IF(ISBLANK('Table 5-C| MPTE HAP'!D51),"",'Table 5-C| MPTE HAP'!D51)</f>
        <v/>
      </c>
      <c r="E42" s="358"/>
      <c r="F42" s="358"/>
      <c r="G42" s="411" t="str">
        <f>IF(A42="","",IF('Table 5-C| MPTE HAP'!P51&gt;0,'Table 5-C| MPTE HAP'!P51,""))</f>
        <v/>
      </c>
      <c r="H42" s="362" t="str">
        <f>IF(A42="","",IF('Table 5-C| MPTE HAP'!Q51="","",'Table 5-C| MPTE HAP'!Q51))</f>
        <v/>
      </c>
      <c r="I42" s="358"/>
      <c r="J42" s="363"/>
      <c r="K42" s="412" t="str">
        <f>IF(A42="","",IF('Table 5-C| MPTE HAP'!S51&gt;0,'Table 5-C| MPTE HAP'!S51,""))</f>
        <v/>
      </c>
      <c r="L42" s="364" t="str">
        <f>IFERROR(IF(OR('Table 5-C| MPTE HAP'!L51="",Q42="",R42="",AND(Q42="YES",T42=0),AND(R42="YES",U42=0)),"",IF(Q42="YES",'Table 5-C| MPTE HAP'!L51*(T42/S42),'Table 5-C| MPTE HAP'!L51))*IF(R42="YES",IF(VLOOKUP(C42,'HAP CAS &amp; Names'!$F$4:$H$186,3,)="YES",(1-U42),1),1),"")</f>
        <v/>
      </c>
      <c r="M42" s="138"/>
      <c r="N42" s="158">
        <f>SUMIF(C42:$C$60,C42,L42:$L$60)</f>
        <v>0</v>
      </c>
      <c r="Q42" s="124" t="str">
        <f t="shared" si="1"/>
        <v/>
      </c>
      <c r="R42" s="124" t="str">
        <f t="shared" si="2"/>
        <v/>
      </c>
      <c r="S42" s="443">
        <f t="shared" si="3"/>
        <v>0</v>
      </c>
      <c r="T42" s="443">
        <f t="shared" si="4"/>
        <v>0</v>
      </c>
      <c r="U42" s="150">
        <f>IF(AND(NOT(A42=""),NOT(B42=""),NOT(C42=""),NOT(ISBLANK(J42))),VLOOKUP(J42,'Emission Controls'!$A$3:$L$16,11,),IF(AND(A42="",NOT(B42=""),NOT(C42="")),U41,0))</f>
        <v>0</v>
      </c>
      <c r="AC42" s="99">
        <v>60117</v>
      </c>
      <c r="AD42" s="99">
        <f t="shared" si="0"/>
        <v>0</v>
      </c>
    </row>
    <row r="43" spans="1:30" s="147" customFormat="1" ht="18" customHeight="1" x14ac:dyDescent="0.2">
      <c r="A43" s="432" t="str">
        <f>IF(ISBLANK('Table 5-C| MPTE HAP'!A52),"",'Table 5-C| MPTE HAP'!A52)</f>
        <v/>
      </c>
      <c r="B43" s="433" t="str">
        <f>IF(ISBLANK('Table 5-C| MPTE HAP'!B52),"",'Table 5-C| MPTE HAP'!B52)</f>
        <v/>
      </c>
      <c r="C43" s="434" t="str">
        <f>IF(ISBLANK('Table 5-C| MPTE HAP'!C52),"",'Table 5-C| MPTE HAP'!C52)</f>
        <v/>
      </c>
      <c r="D43" s="549" t="str">
        <f>IF(ISBLANK('Table 5-C| MPTE HAP'!D52),"",'Table 5-C| MPTE HAP'!D52)</f>
        <v/>
      </c>
      <c r="E43" s="358"/>
      <c r="F43" s="358"/>
      <c r="G43" s="411" t="str">
        <f>IF(A43="","",IF('Table 5-C| MPTE HAP'!P52&gt;0,'Table 5-C| MPTE HAP'!P52,""))</f>
        <v/>
      </c>
      <c r="H43" s="362" t="str">
        <f>IF(A43="","",IF('Table 5-C| MPTE HAP'!Q52="","",'Table 5-C| MPTE HAP'!Q52))</f>
        <v/>
      </c>
      <c r="I43" s="358"/>
      <c r="J43" s="363"/>
      <c r="K43" s="412" t="str">
        <f>IF(A43="","",IF('Table 5-C| MPTE HAP'!S52&gt;0,'Table 5-C| MPTE HAP'!S52,""))</f>
        <v/>
      </c>
      <c r="L43" s="364" t="str">
        <f>IFERROR(IF(OR('Table 5-C| MPTE HAP'!L52="",Q43="",R43="",AND(Q43="YES",T43=0),AND(R43="YES",U43=0)),"",IF(Q43="YES",'Table 5-C| MPTE HAP'!L52*(T43/S43),'Table 5-C| MPTE HAP'!L52))*IF(R43="YES",IF(VLOOKUP(C43,'HAP CAS &amp; Names'!$F$4:$H$186,3,)="YES",(1-U43),1),1),"")</f>
        <v/>
      </c>
      <c r="M43" s="138"/>
      <c r="N43" s="158">
        <f>SUMIF(C43:$C$60,C43,L43:$L$60)</f>
        <v>0</v>
      </c>
      <c r="Q43" s="124" t="str">
        <f t="shared" si="1"/>
        <v/>
      </c>
      <c r="R43" s="124" t="str">
        <f t="shared" si="2"/>
        <v/>
      </c>
      <c r="S43" s="443">
        <f t="shared" si="3"/>
        <v>0</v>
      </c>
      <c r="T43" s="443">
        <f t="shared" si="4"/>
        <v>0</v>
      </c>
      <c r="U43" s="150">
        <f>IF(AND(NOT(A43=""),NOT(B43=""),NOT(C43=""),NOT(ISBLANK(J43))),VLOOKUP(J43,'Emission Controls'!$A$3:$L$16,11,),IF(AND(A43="",NOT(B43=""),NOT(C43="")),U42,0))</f>
        <v>0</v>
      </c>
      <c r="AC43" s="99">
        <v>60344</v>
      </c>
      <c r="AD43" s="99">
        <f t="shared" si="0"/>
        <v>0</v>
      </c>
    </row>
    <row r="44" spans="1:30" s="147" customFormat="1" ht="18" customHeight="1" x14ac:dyDescent="0.2">
      <c r="A44" s="432" t="str">
        <f>IF(ISBLANK('Table 5-C| MPTE HAP'!A53),"",'Table 5-C| MPTE HAP'!A53)</f>
        <v/>
      </c>
      <c r="B44" s="433" t="str">
        <f>IF(ISBLANK('Table 5-C| MPTE HAP'!B53),"",'Table 5-C| MPTE HAP'!B53)</f>
        <v/>
      </c>
      <c r="C44" s="434" t="str">
        <f>IF(ISBLANK('Table 5-C| MPTE HAP'!C53),"",'Table 5-C| MPTE HAP'!C53)</f>
        <v/>
      </c>
      <c r="D44" s="549" t="str">
        <f>IF(ISBLANK('Table 5-C| MPTE HAP'!D53),"",'Table 5-C| MPTE HAP'!D53)</f>
        <v/>
      </c>
      <c r="E44" s="358"/>
      <c r="F44" s="358"/>
      <c r="G44" s="411" t="str">
        <f>IF(A44="","",IF('Table 5-C| MPTE HAP'!P53&gt;0,'Table 5-C| MPTE HAP'!P53,""))</f>
        <v/>
      </c>
      <c r="H44" s="362" t="str">
        <f>IF(A44="","",IF('Table 5-C| MPTE HAP'!Q53="","",'Table 5-C| MPTE HAP'!Q53))</f>
        <v/>
      </c>
      <c r="I44" s="358"/>
      <c r="J44" s="363"/>
      <c r="K44" s="412" t="str">
        <f>IF(A44="","",IF('Table 5-C| MPTE HAP'!S53&gt;0,'Table 5-C| MPTE HAP'!S53,""))</f>
        <v/>
      </c>
      <c r="L44" s="364" t="str">
        <f>IFERROR(IF(OR('Table 5-C| MPTE HAP'!L53="",Q44="",R44="",AND(Q44="YES",T44=0),AND(R44="YES",U44=0)),"",IF(Q44="YES",'Table 5-C| MPTE HAP'!L53*(T44/S44),'Table 5-C| MPTE HAP'!L53))*IF(R44="YES",IF(VLOOKUP(C44,'HAP CAS &amp; Names'!$F$4:$H$186,3,)="YES",(1-U44),1),1),"")</f>
        <v/>
      </c>
      <c r="M44" s="138"/>
      <c r="N44" s="158">
        <f>SUMIF(C44:$C$60,C44,L44:$L$60)</f>
        <v>0</v>
      </c>
      <c r="Q44" s="124" t="str">
        <f t="shared" si="1"/>
        <v/>
      </c>
      <c r="R44" s="124" t="str">
        <f t="shared" si="2"/>
        <v/>
      </c>
      <c r="S44" s="443">
        <f t="shared" si="3"/>
        <v>0</v>
      </c>
      <c r="T44" s="443">
        <f t="shared" si="4"/>
        <v>0</v>
      </c>
      <c r="U44" s="150">
        <f>IF(AND(NOT(A44=""),NOT(B44=""),NOT(C44=""),NOT(ISBLANK(J44))),VLOOKUP(J44,'Emission Controls'!$A$3:$L$16,11,),IF(AND(A44="",NOT(B44=""),NOT(C44="")),U43,0))</f>
        <v>0</v>
      </c>
      <c r="AC44" s="99">
        <v>60355</v>
      </c>
      <c r="AD44" s="99">
        <f t="shared" si="0"/>
        <v>0</v>
      </c>
    </row>
    <row r="45" spans="1:30" s="147" customFormat="1" ht="18" customHeight="1" x14ac:dyDescent="0.2">
      <c r="A45" s="432" t="str">
        <f>IF(ISBLANK('Table 5-C| MPTE HAP'!A54),"",'Table 5-C| MPTE HAP'!A54)</f>
        <v/>
      </c>
      <c r="B45" s="433" t="str">
        <f>IF(ISBLANK('Table 5-C| MPTE HAP'!B54),"",'Table 5-C| MPTE HAP'!B54)</f>
        <v/>
      </c>
      <c r="C45" s="434" t="str">
        <f>IF(ISBLANK('Table 5-C| MPTE HAP'!C54),"",'Table 5-C| MPTE HAP'!C54)</f>
        <v/>
      </c>
      <c r="D45" s="549" t="str">
        <f>IF(ISBLANK('Table 5-C| MPTE HAP'!D54),"",'Table 5-C| MPTE HAP'!D54)</f>
        <v/>
      </c>
      <c r="E45" s="358"/>
      <c r="F45" s="358"/>
      <c r="G45" s="411" t="str">
        <f>IF(A45="","",IF('Table 5-C| MPTE HAP'!P54&gt;0,'Table 5-C| MPTE HAP'!P54,""))</f>
        <v/>
      </c>
      <c r="H45" s="362" t="str">
        <f>IF(A45="","",IF('Table 5-C| MPTE HAP'!Q54="","",'Table 5-C| MPTE HAP'!Q54))</f>
        <v/>
      </c>
      <c r="I45" s="358"/>
      <c r="J45" s="363"/>
      <c r="K45" s="412" t="str">
        <f>IF(A45="","",IF('Table 5-C| MPTE HAP'!S54&gt;0,'Table 5-C| MPTE HAP'!S54,""))</f>
        <v/>
      </c>
      <c r="L45" s="364" t="str">
        <f>IFERROR(IF(OR('Table 5-C| MPTE HAP'!L54="",Q45="",R45="",AND(Q45="YES",T45=0),AND(R45="YES",U45=0)),"",IF(Q45="YES",'Table 5-C| MPTE HAP'!L54*(T45/S45),'Table 5-C| MPTE HAP'!L54))*IF(R45="YES",IF(VLOOKUP(C45,'HAP CAS &amp; Names'!$F$4:$H$186,3,)="YES",(1-U45),1),1),"")</f>
        <v/>
      </c>
      <c r="M45" s="138"/>
      <c r="N45" s="158">
        <f>SUMIF(C45:$C$60,C45,L45:$L$60)</f>
        <v>0</v>
      </c>
      <c r="Q45" s="124" t="str">
        <f t="shared" si="1"/>
        <v/>
      </c>
      <c r="R45" s="124" t="str">
        <f t="shared" si="2"/>
        <v/>
      </c>
      <c r="S45" s="443">
        <f t="shared" si="3"/>
        <v>0</v>
      </c>
      <c r="T45" s="443">
        <f t="shared" si="4"/>
        <v>0</v>
      </c>
      <c r="U45" s="150">
        <f>IF(AND(NOT(A45=""),NOT(B45=""),NOT(C45=""),NOT(ISBLANK(J45))),VLOOKUP(J45,'Emission Controls'!$A$3:$L$16,11,),IF(AND(A45="",NOT(B45=""),NOT(C45="")),U44,0))</f>
        <v>0</v>
      </c>
      <c r="AC45" s="99">
        <v>62533</v>
      </c>
      <c r="AD45" s="99">
        <f t="shared" si="0"/>
        <v>0</v>
      </c>
    </row>
    <row r="46" spans="1:30" s="147" customFormat="1" ht="18" customHeight="1" x14ac:dyDescent="0.2">
      <c r="A46" s="432" t="str">
        <f>IF(ISBLANK('Table 5-C| MPTE HAP'!A55),"",'Table 5-C| MPTE HAP'!A55)</f>
        <v/>
      </c>
      <c r="B46" s="433" t="str">
        <f>IF(ISBLANK('Table 5-C| MPTE HAP'!B55),"",'Table 5-C| MPTE HAP'!B55)</f>
        <v/>
      </c>
      <c r="C46" s="434" t="str">
        <f>IF(ISBLANK('Table 5-C| MPTE HAP'!C55),"",'Table 5-C| MPTE HAP'!C55)</f>
        <v/>
      </c>
      <c r="D46" s="549" t="str">
        <f>IF(ISBLANK('Table 5-C| MPTE HAP'!D55),"",'Table 5-C| MPTE HAP'!D55)</f>
        <v/>
      </c>
      <c r="E46" s="358"/>
      <c r="F46" s="358"/>
      <c r="G46" s="411" t="str">
        <f>IF(A46="","",IF('Table 5-C| MPTE HAP'!P55&gt;0,'Table 5-C| MPTE HAP'!P55,""))</f>
        <v/>
      </c>
      <c r="H46" s="362" t="str">
        <f>IF(A46="","",IF('Table 5-C| MPTE HAP'!Q55="","",'Table 5-C| MPTE HAP'!Q55))</f>
        <v/>
      </c>
      <c r="I46" s="358"/>
      <c r="J46" s="363"/>
      <c r="K46" s="412" t="str">
        <f>IF(A46="","",IF('Table 5-C| MPTE HAP'!S55&gt;0,'Table 5-C| MPTE HAP'!S55,""))</f>
        <v/>
      </c>
      <c r="L46" s="364" t="str">
        <f>IFERROR(IF(OR('Table 5-C| MPTE HAP'!L55="",Q46="",R46="",AND(Q46="YES",T46=0),AND(R46="YES",U46=0)),"",IF(Q46="YES",'Table 5-C| MPTE HAP'!L55*(T46/S46),'Table 5-C| MPTE HAP'!L55))*IF(R46="YES",IF(VLOOKUP(C46,'HAP CAS &amp; Names'!$F$4:$H$186,3,)="YES",(1-U46),1),1),"")</f>
        <v/>
      </c>
      <c r="M46" s="138"/>
      <c r="N46" s="158">
        <f>SUMIF(C46:$C$60,C46,L46:$L$60)</f>
        <v>0</v>
      </c>
      <c r="Q46" s="124" t="str">
        <f t="shared" si="1"/>
        <v/>
      </c>
      <c r="R46" s="124" t="str">
        <f t="shared" si="2"/>
        <v/>
      </c>
      <c r="S46" s="443">
        <f t="shared" si="3"/>
        <v>0</v>
      </c>
      <c r="T46" s="443">
        <f t="shared" si="4"/>
        <v>0</v>
      </c>
      <c r="U46" s="150">
        <f>IF(AND(NOT(A46=""),NOT(B46=""),NOT(C46=""),NOT(ISBLANK(J46))),VLOOKUP(J46,'Emission Controls'!$A$3:$L$16,11,),IF(AND(A46="",NOT(B46=""),NOT(C46="")),U45,0))</f>
        <v>0</v>
      </c>
      <c r="AC46" s="99">
        <v>62737</v>
      </c>
      <c r="AD46" s="99">
        <f t="shared" si="0"/>
        <v>0</v>
      </c>
    </row>
    <row r="47" spans="1:30" s="147" customFormat="1" ht="18" customHeight="1" x14ac:dyDescent="0.2">
      <c r="A47" s="432" t="str">
        <f>IF(ISBLANK('Table 5-C| MPTE HAP'!A56),"",'Table 5-C| MPTE HAP'!A56)</f>
        <v/>
      </c>
      <c r="B47" s="433" t="str">
        <f>IF(ISBLANK('Table 5-C| MPTE HAP'!B56),"",'Table 5-C| MPTE HAP'!B56)</f>
        <v/>
      </c>
      <c r="C47" s="434" t="str">
        <f>IF(ISBLANK('Table 5-C| MPTE HAP'!C56),"",'Table 5-C| MPTE HAP'!C56)</f>
        <v/>
      </c>
      <c r="D47" s="549" t="str">
        <f>IF(ISBLANK('Table 5-C| MPTE HAP'!D56),"",'Table 5-C| MPTE HAP'!D56)</f>
        <v/>
      </c>
      <c r="E47" s="358"/>
      <c r="F47" s="358"/>
      <c r="G47" s="411" t="str">
        <f>IF(A47="","",IF('Table 5-C| MPTE HAP'!P56&gt;0,'Table 5-C| MPTE HAP'!P56,""))</f>
        <v/>
      </c>
      <c r="H47" s="362" t="str">
        <f>IF(A47="","",IF('Table 5-C| MPTE HAP'!Q56="","",'Table 5-C| MPTE HAP'!Q56))</f>
        <v/>
      </c>
      <c r="I47" s="358"/>
      <c r="J47" s="363"/>
      <c r="K47" s="412" t="str">
        <f>IF(A47="","",IF('Table 5-C| MPTE HAP'!S56&gt;0,'Table 5-C| MPTE HAP'!S56,""))</f>
        <v/>
      </c>
      <c r="L47" s="364" t="str">
        <f>IFERROR(IF(OR('Table 5-C| MPTE HAP'!L56="",Q47="",R47="",AND(Q47="YES",T47=0),AND(R47="YES",U47=0)),"",IF(Q47="YES",'Table 5-C| MPTE HAP'!L56*(T47/S47),'Table 5-C| MPTE HAP'!L56))*IF(R47="YES",IF(VLOOKUP(C47,'HAP CAS &amp; Names'!$F$4:$H$186,3,)="YES",(1-U47),1),1),"")</f>
        <v/>
      </c>
      <c r="M47" s="138"/>
      <c r="N47" s="158">
        <f>SUMIF(C47:$C$60,C47,L47:$L$60)</f>
        <v>0</v>
      </c>
      <c r="Q47" s="124" t="str">
        <f t="shared" si="1"/>
        <v/>
      </c>
      <c r="R47" s="124" t="str">
        <f t="shared" si="2"/>
        <v/>
      </c>
      <c r="S47" s="443">
        <f t="shared" si="3"/>
        <v>0</v>
      </c>
      <c r="T47" s="443">
        <f t="shared" si="4"/>
        <v>0</v>
      </c>
      <c r="U47" s="150">
        <f>IF(AND(NOT(A47=""),NOT(B47=""),NOT(C47=""),NOT(ISBLANK(J47))),VLOOKUP(J47,'Emission Controls'!$A$3:$L$16,11,),IF(AND(A47="",NOT(B47=""),NOT(C47="")),U46,0))</f>
        <v>0</v>
      </c>
      <c r="AC47" s="99">
        <v>62759</v>
      </c>
      <c r="AD47" s="99">
        <f t="shared" si="0"/>
        <v>0</v>
      </c>
    </row>
    <row r="48" spans="1:30" s="147" customFormat="1" ht="18" customHeight="1" x14ac:dyDescent="0.2">
      <c r="A48" s="432" t="str">
        <f>IF(ISBLANK('Table 5-C| MPTE HAP'!A57),"",'Table 5-C| MPTE HAP'!A57)</f>
        <v/>
      </c>
      <c r="B48" s="433" t="str">
        <f>IF(ISBLANK('Table 5-C| MPTE HAP'!B57),"",'Table 5-C| MPTE HAP'!B57)</f>
        <v/>
      </c>
      <c r="C48" s="434" t="str">
        <f>IF(ISBLANK('Table 5-C| MPTE HAP'!C57),"",'Table 5-C| MPTE HAP'!C57)</f>
        <v/>
      </c>
      <c r="D48" s="549" t="str">
        <f>IF(ISBLANK('Table 5-C| MPTE HAP'!D57),"",'Table 5-C| MPTE HAP'!D57)</f>
        <v/>
      </c>
      <c r="E48" s="358"/>
      <c r="F48" s="358"/>
      <c r="G48" s="411" t="str">
        <f>IF(A48="","",IF('Table 5-C| MPTE HAP'!P57&gt;0,'Table 5-C| MPTE HAP'!P57,""))</f>
        <v/>
      </c>
      <c r="H48" s="362" t="str">
        <f>IF(A48="","",IF('Table 5-C| MPTE HAP'!Q57="","",'Table 5-C| MPTE HAP'!Q57))</f>
        <v/>
      </c>
      <c r="I48" s="358"/>
      <c r="J48" s="363"/>
      <c r="K48" s="412" t="str">
        <f>IF(A48="","",IF('Table 5-C| MPTE HAP'!S57&gt;0,'Table 5-C| MPTE HAP'!S57,""))</f>
        <v/>
      </c>
      <c r="L48" s="364" t="str">
        <f>IFERROR(IF(OR('Table 5-C| MPTE HAP'!L57="",Q48="",R48="",AND(Q48="YES",T48=0),AND(R48="YES",U48=0)),"",IF(Q48="YES",'Table 5-C| MPTE HAP'!L57*(T48/S48),'Table 5-C| MPTE HAP'!L57))*IF(R48="YES",IF(VLOOKUP(C48,'HAP CAS &amp; Names'!$F$4:$H$186,3,)="YES",(1-U48),1),1),"")</f>
        <v/>
      </c>
      <c r="M48" s="138"/>
      <c r="N48" s="158">
        <f>SUMIF(C48:$C$60,C48,L48:$L$60)</f>
        <v>0</v>
      </c>
      <c r="Q48" s="124" t="str">
        <f t="shared" si="1"/>
        <v/>
      </c>
      <c r="R48" s="124" t="str">
        <f t="shared" si="2"/>
        <v/>
      </c>
      <c r="S48" s="443">
        <f t="shared" si="3"/>
        <v>0</v>
      </c>
      <c r="T48" s="443">
        <f t="shared" si="4"/>
        <v>0</v>
      </c>
      <c r="U48" s="150">
        <f>IF(AND(NOT(A48=""),NOT(B48=""),NOT(C48=""),NOT(ISBLANK(J48))),VLOOKUP(J48,'Emission Controls'!$A$3:$L$16,11,),IF(AND(A48="",NOT(B48=""),NOT(C48="")),U47,0))</f>
        <v>0</v>
      </c>
      <c r="AC48" s="99">
        <v>63252</v>
      </c>
      <c r="AD48" s="99">
        <f t="shared" si="0"/>
        <v>0</v>
      </c>
    </row>
    <row r="49" spans="1:30" s="147" customFormat="1" ht="18" customHeight="1" x14ac:dyDescent="0.2">
      <c r="A49" s="432" t="str">
        <f>IF(ISBLANK('Table 5-C| MPTE HAP'!A58),"",'Table 5-C| MPTE HAP'!A58)</f>
        <v/>
      </c>
      <c r="B49" s="433" t="str">
        <f>IF(ISBLANK('Table 5-C| MPTE HAP'!B58),"",'Table 5-C| MPTE HAP'!B58)</f>
        <v/>
      </c>
      <c r="C49" s="434" t="str">
        <f>IF(ISBLANK('Table 5-C| MPTE HAP'!C58),"",'Table 5-C| MPTE HAP'!C58)</f>
        <v/>
      </c>
      <c r="D49" s="549" t="str">
        <f>IF(ISBLANK('Table 5-C| MPTE HAP'!D58),"",'Table 5-C| MPTE HAP'!D58)</f>
        <v/>
      </c>
      <c r="E49" s="358"/>
      <c r="F49" s="358"/>
      <c r="G49" s="411" t="str">
        <f>IF(A49="","",IF('Table 5-C| MPTE HAP'!P58&gt;0,'Table 5-C| MPTE HAP'!P58,""))</f>
        <v/>
      </c>
      <c r="H49" s="362" t="str">
        <f>IF(A49="","",IF('Table 5-C| MPTE HAP'!Q58="","",'Table 5-C| MPTE HAP'!Q58))</f>
        <v/>
      </c>
      <c r="I49" s="358"/>
      <c r="J49" s="363"/>
      <c r="K49" s="412" t="str">
        <f>IF(A49="","",IF('Table 5-C| MPTE HAP'!S58&gt;0,'Table 5-C| MPTE HAP'!S58,""))</f>
        <v/>
      </c>
      <c r="L49" s="364" t="str">
        <f>IFERROR(IF(OR('Table 5-C| MPTE HAP'!L58="",Q49="",R49="",AND(Q49="YES",T49=0),AND(R49="YES",U49=0)),"",IF(Q49="YES",'Table 5-C| MPTE HAP'!L58*(T49/S49),'Table 5-C| MPTE HAP'!L58))*IF(R49="YES",IF(VLOOKUP(C49,'HAP CAS &amp; Names'!$F$4:$H$186,3,)="YES",(1-U49),1),1),"")</f>
        <v/>
      </c>
      <c r="M49" s="138"/>
      <c r="N49" s="158">
        <f>SUMIF(C49:$C$60,C49,L49:$L$60)</f>
        <v>0</v>
      </c>
      <c r="Q49" s="124" t="str">
        <f t="shared" si="1"/>
        <v/>
      </c>
      <c r="R49" s="124" t="str">
        <f t="shared" si="2"/>
        <v/>
      </c>
      <c r="S49" s="443">
        <f t="shared" si="3"/>
        <v>0</v>
      </c>
      <c r="T49" s="443">
        <f t="shared" si="4"/>
        <v>0</v>
      </c>
      <c r="U49" s="150">
        <f>IF(AND(NOT(A49=""),NOT(B49=""),NOT(C49=""),NOT(ISBLANK(J49))),VLOOKUP(J49,'Emission Controls'!$A$3:$L$16,11,),IF(AND(A49="",NOT(B49=""),NOT(C49="")),U48,0))</f>
        <v>0</v>
      </c>
      <c r="AC49" s="99">
        <v>64675</v>
      </c>
      <c r="AD49" s="99">
        <f t="shared" si="0"/>
        <v>0</v>
      </c>
    </row>
    <row r="50" spans="1:30" s="147" customFormat="1" ht="18" customHeight="1" x14ac:dyDescent="0.2">
      <c r="A50" s="432" t="str">
        <f>IF(ISBLANK('Table 5-C| MPTE HAP'!A59),"",'Table 5-C| MPTE HAP'!A59)</f>
        <v/>
      </c>
      <c r="B50" s="433" t="str">
        <f>IF(ISBLANK('Table 5-C| MPTE HAP'!B59),"",'Table 5-C| MPTE HAP'!B59)</f>
        <v/>
      </c>
      <c r="C50" s="434" t="str">
        <f>IF(ISBLANK('Table 5-C| MPTE HAP'!C59),"",'Table 5-C| MPTE HAP'!C59)</f>
        <v/>
      </c>
      <c r="D50" s="549" t="str">
        <f>IF(ISBLANK('Table 5-C| MPTE HAP'!D59),"",'Table 5-C| MPTE HAP'!D59)</f>
        <v/>
      </c>
      <c r="E50" s="358"/>
      <c r="F50" s="358"/>
      <c r="G50" s="411" t="str">
        <f>IF(A50="","",IF('Table 5-C| MPTE HAP'!P59&gt;0,'Table 5-C| MPTE HAP'!P59,""))</f>
        <v/>
      </c>
      <c r="H50" s="362" t="str">
        <f>IF(A50="","",IF('Table 5-C| MPTE HAP'!Q59="","",'Table 5-C| MPTE HAP'!Q59))</f>
        <v/>
      </c>
      <c r="I50" s="358"/>
      <c r="J50" s="363"/>
      <c r="K50" s="412" t="str">
        <f>IF(A50="","",IF('Table 5-C| MPTE HAP'!S59&gt;0,'Table 5-C| MPTE HAP'!S59,""))</f>
        <v/>
      </c>
      <c r="L50" s="364" t="str">
        <f>IFERROR(IF(OR('Table 5-C| MPTE HAP'!L59="",Q50="",R50="",AND(Q50="YES",T50=0),AND(R50="YES",U50=0)),"",IF(Q50="YES",'Table 5-C| MPTE HAP'!L59*(T50/S50),'Table 5-C| MPTE HAP'!L59))*IF(R50="YES",IF(VLOOKUP(C50,'HAP CAS &amp; Names'!$F$4:$H$186,3,)="YES",(1-U50),1),1),"")</f>
        <v/>
      </c>
      <c r="M50" s="138"/>
      <c r="N50" s="158">
        <f>SUMIF(C50:$C$60,C50,L50:$L$60)</f>
        <v>0</v>
      </c>
      <c r="Q50" s="124" t="str">
        <f t="shared" si="1"/>
        <v/>
      </c>
      <c r="R50" s="124" t="str">
        <f t="shared" si="2"/>
        <v/>
      </c>
      <c r="S50" s="443">
        <f t="shared" si="3"/>
        <v>0</v>
      </c>
      <c r="T50" s="443">
        <f t="shared" si="4"/>
        <v>0</v>
      </c>
      <c r="U50" s="150">
        <f>IF(AND(NOT(A50=""),NOT(B50=""),NOT(C50=""),NOT(ISBLANK(J50))),VLOOKUP(J50,'Emission Controls'!$A$3:$L$16,11,),IF(AND(A50="",NOT(B50=""),NOT(C50="")),U49,0))</f>
        <v>0</v>
      </c>
      <c r="AC50" s="99">
        <v>67561</v>
      </c>
      <c r="AD50" s="99">
        <f t="shared" si="0"/>
        <v>0</v>
      </c>
    </row>
    <row r="51" spans="1:30" s="147" customFormat="1" ht="18" customHeight="1" x14ac:dyDescent="0.2">
      <c r="A51" s="432" t="str">
        <f>IF(ISBLANK('Table 5-C| MPTE HAP'!A60),"",'Table 5-C| MPTE HAP'!A60)</f>
        <v/>
      </c>
      <c r="B51" s="433" t="str">
        <f>IF(ISBLANK('Table 5-C| MPTE HAP'!B60),"",'Table 5-C| MPTE HAP'!B60)</f>
        <v/>
      </c>
      <c r="C51" s="434" t="str">
        <f>IF(ISBLANK('Table 5-C| MPTE HAP'!C60),"",'Table 5-C| MPTE HAP'!C60)</f>
        <v/>
      </c>
      <c r="D51" s="549" t="str">
        <f>IF(ISBLANK('Table 5-C| MPTE HAP'!D60),"",'Table 5-C| MPTE HAP'!D60)</f>
        <v/>
      </c>
      <c r="E51" s="358"/>
      <c r="F51" s="358"/>
      <c r="G51" s="411" t="str">
        <f>IF(A51="","",IF('Table 5-C| MPTE HAP'!P60&gt;0,'Table 5-C| MPTE HAP'!P60,""))</f>
        <v/>
      </c>
      <c r="H51" s="362" t="str">
        <f>IF(A51="","",IF('Table 5-C| MPTE HAP'!Q60="","",'Table 5-C| MPTE HAP'!Q60))</f>
        <v/>
      </c>
      <c r="I51" s="358"/>
      <c r="J51" s="363"/>
      <c r="K51" s="412" t="str">
        <f>IF(A51="","",IF('Table 5-C| MPTE HAP'!S60&gt;0,'Table 5-C| MPTE HAP'!S60,""))</f>
        <v/>
      </c>
      <c r="L51" s="364" t="str">
        <f>IFERROR(IF(OR('Table 5-C| MPTE HAP'!L60="",Q51="",R51="",AND(Q51="YES",T51=0),AND(R51="YES",U51=0)),"",IF(Q51="YES",'Table 5-C| MPTE HAP'!L60*(T51/S51),'Table 5-C| MPTE HAP'!L60))*IF(R51="YES",IF(VLOOKUP(C51,'HAP CAS &amp; Names'!$F$4:$H$186,3,)="YES",(1-U51),1),1),"")</f>
        <v/>
      </c>
      <c r="M51" s="138"/>
      <c r="N51" s="158">
        <f>SUMIF(C51:$C$60,C51,L51:$L$60)</f>
        <v>0</v>
      </c>
      <c r="Q51" s="124" t="str">
        <f t="shared" si="1"/>
        <v/>
      </c>
      <c r="R51" s="124" t="str">
        <f t="shared" si="2"/>
        <v/>
      </c>
      <c r="S51" s="443">
        <f t="shared" si="3"/>
        <v>0</v>
      </c>
      <c r="T51" s="443">
        <f t="shared" si="4"/>
        <v>0</v>
      </c>
      <c r="U51" s="150">
        <f>IF(AND(NOT(A51=""),NOT(B51=""),NOT(C51=""),NOT(ISBLANK(J51))),VLOOKUP(J51,'Emission Controls'!$A$3:$L$16,11,),IF(AND(A51="",NOT(B51=""),NOT(C51="")),U50,0))</f>
        <v>0</v>
      </c>
      <c r="AC51" s="99">
        <v>67663</v>
      </c>
      <c r="AD51" s="99">
        <f t="shared" si="0"/>
        <v>0</v>
      </c>
    </row>
    <row r="52" spans="1:30" s="147" customFormat="1" ht="18" customHeight="1" x14ac:dyDescent="0.2">
      <c r="A52" s="432" t="str">
        <f>IF(ISBLANK('Table 5-C| MPTE HAP'!A61),"",'Table 5-C| MPTE HAP'!A61)</f>
        <v/>
      </c>
      <c r="B52" s="433" t="str">
        <f>IF(ISBLANK('Table 5-C| MPTE HAP'!B61),"",'Table 5-C| MPTE HAP'!B61)</f>
        <v/>
      </c>
      <c r="C52" s="434" t="str">
        <f>IF(ISBLANK('Table 5-C| MPTE HAP'!C61),"",'Table 5-C| MPTE HAP'!C61)</f>
        <v/>
      </c>
      <c r="D52" s="549" t="str">
        <f>IF(ISBLANK('Table 5-C| MPTE HAP'!D61),"",'Table 5-C| MPTE HAP'!D61)</f>
        <v/>
      </c>
      <c r="E52" s="358"/>
      <c r="F52" s="358"/>
      <c r="G52" s="411" t="str">
        <f>IF(A52="","",IF('Table 5-C| MPTE HAP'!P61&gt;0,'Table 5-C| MPTE HAP'!P61,""))</f>
        <v/>
      </c>
      <c r="H52" s="362" t="str">
        <f>IF(A52="","",IF('Table 5-C| MPTE HAP'!Q61="","",'Table 5-C| MPTE HAP'!Q61))</f>
        <v/>
      </c>
      <c r="I52" s="358"/>
      <c r="J52" s="363"/>
      <c r="K52" s="412" t="str">
        <f>IF(A52="","",IF('Table 5-C| MPTE HAP'!S61&gt;0,'Table 5-C| MPTE HAP'!S61,""))</f>
        <v/>
      </c>
      <c r="L52" s="364" t="str">
        <f>IFERROR(IF(OR('Table 5-C| MPTE HAP'!L61="",Q52="",R52="",AND(Q52="YES",T52=0),AND(R52="YES",U52=0)),"",IF(Q52="YES",'Table 5-C| MPTE HAP'!L61*(T52/S52),'Table 5-C| MPTE HAP'!L61))*IF(R52="YES",IF(VLOOKUP(C52,'HAP CAS &amp; Names'!$F$4:$H$186,3,)="YES",(1-U52),1),1),"")</f>
        <v/>
      </c>
      <c r="M52" s="138"/>
      <c r="N52" s="158">
        <f>SUMIF(C52:$C$60,C52,L52:$L$60)</f>
        <v>0</v>
      </c>
      <c r="Q52" s="124" t="str">
        <f t="shared" si="1"/>
        <v/>
      </c>
      <c r="R52" s="124" t="str">
        <f t="shared" si="2"/>
        <v/>
      </c>
      <c r="S52" s="443">
        <f t="shared" si="3"/>
        <v>0</v>
      </c>
      <c r="T52" s="443">
        <f t="shared" si="4"/>
        <v>0</v>
      </c>
      <c r="U52" s="150">
        <f>IF(AND(NOT(A52=""),NOT(B52=""),NOT(C52=""),NOT(ISBLANK(J52))),VLOOKUP(J52,'Emission Controls'!$A$3:$L$16,11,),IF(AND(A52="",NOT(B52=""),NOT(C52="")),U51,0))</f>
        <v>0</v>
      </c>
      <c r="AC52" s="99">
        <v>67721</v>
      </c>
      <c r="AD52" s="99">
        <f t="shared" si="0"/>
        <v>0</v>
      </c>
    </row>
    <row r="53" spans="1:30" s="147" customFormat="1" ht="18" customHeight="1" x14ac:dyDescent="0.2">
      <c r="A53" s="432" t="str">
        <f>IF(ISBLANK('Table 5-C| MPTE HAP'!A62),"",'Table 5-C| MPTE HAP'!A62)</f>
        <v/>
      </c>
      <c r="B53" s="433" t="str">
        <f>IF(ISBLANK('Table 5-C| MPTE HAP'!B62),"",'Table 5-C| MPTE HAP'!B62)</f>
        <v/>
      </c>
      <c r="C53" s="434" t="str">
        <f>IF(ISBLANK('Table 5-C| MPTE HAP'!C62),"",'Table 5-C| MPTE HAP'!C62)</f>
        <v/>
      </c>
      <c r="D53" s="549" t="str">
        <f>IF(ISBLANK('Table 5-C| MPTE HAP'!D62),"",'Table 5-C| MPTE HAP'!D62)</f>
        <v/>
      </c>
      <c r="E53" s="358"/>
      <c r="F53" s="358"/>
      <c r="G53" s="411" t="str">
        <f>IF(A53="","",IF('Table 5-C| MPTE HAP'!P62&gt;0,'Table 5-C| MPTE HAP'!P62,""))</f>
        <v/>
      </c>
      <c r="H53" s="362" t="str">
        <f>IF(A53="","",IF('Table 5-C| MPTE HAP'!Q62="","",'Table 5-C| MPTE HAP'!Q62))</f>
        <v/>
      </c>
      <c r="I53" s="358"/>
      <c r="J53" s="363"/>
      <c r="K53" s="412" t="str">
        <f>IF(A53="","",IF('Table 5-C| MPTE HAP'!S62&gt;0,'Table 5-C| MPTE HAP'!S62,""))</f>
        <v/>
      </c>
      <c r="L53" s="364" t="str">
        <f>IFERROR(IF(OR('Table 5-C| MPTE HAP'!L62="",Q53="",R53="",AND(Q53="YES",T53=0),AND(R53="YES",U53=0)),"",IF(Q53="YES",'Table 5-C| MPTE HAP'!L62*(T53/S53),'Table 5-C| MPTE HAP'!L62))*IF(R53="YES",IF(VLOOKUP(C53,'HAP CAS &amp; Names'!$F$4:$H$186,3,)="YES",(1-U53),1),1),"")</f>
        <v/>
      </c>
      <c r="M53" s="138"/>
      <c r="N53" s="158">
        <f>SUMIF(C53:$C$60,C53,L53:$L$60)</f>
        <v>0</v>
      </c>
      <c r="Q53" s="124" t="str">
        <f t="shared" si="1"/>
        <v/>
      </c>
      <c r="R53" s="124" t="str">
        <f t="shared" si="2"/>
        <v/>
      </c>
      <c r="S53" s="443">
        <f t="shared" si="3"/>
        <v>0</v>
      </c>
      <c r="T53" s="443">
        <f t="shared" si="4"/>
        <v>0</v>
      </c>
      <c r="U53" s="150">
        <f>IF(AND(NOT(A53=""),NOT(B53=""),NOT(C53=""),NOT(ISBLANK(J53))),VLOOKUP(J53,'Emission Controls'!$A$3:$L$16,11,),IF(AND(A53="",NOT(B53=""),NOT(C53="")),U52,0))</f>
        <v>0</v>
      </c>
      <c r="AC53" s="99">
        <v>68122</v>
      </c>
      <c r="AD53" s="99">
        <f t="shared" si="0"/>
        <v>0</v>
      </c>
    </row>
    <row r="54" spans="1:30" s="147" customFormat="1" ht="18" customHeight="1" x14ac:dyDescent="0.2">
      <c r="A54" s="432" t="str">
        <f>IF(ISBLANK('Table 5-C| MPTE HAP'!A63),"",'Table 5-C| MPTE HAP'!A63)</f>
        <v/>
      </c>
      <c r="B54" s="433" t="str">
        <f>IF(ISBLANK('Table 5-C| MPTE HAP'!B63),"",'Table 5-C| MPTE HAP'!B63)</f>
        <v/>
      </c>
      <c r="C54" s="434" t="str">
        <f>IF(ISBLANK('Table 5-C| MPTE HAP'!C63),"",'Table 5-C| MPTE HAP'!C63)</f>
        <v/>
      </c>
      <c r="D54" s="549" t="str">
        <f>IF(ISBLANK('Table 5-C| MPTE HAP'!D63),"",'Table 5-C| MPTE HAP'!D63)</f>
        <v/>
      </c>
      <c r="E54" s="358"/>
      <c r="F54" s="358"/>
      <c r="G54" s="411" t="str">
        <f>IF(A54="","",IF('Table 5-C| MPTE HAP'!P63&gt;0,'Table 5-C| MPTE HAP'!P63,""))</f>
        <v/>
      </c>
      <c r="H54" s="362" t="str">
        <f>IF(A54="","",IF('Table 5-C| MPTE HAP'!Q63="","",'Table 5-C| MPTE HAP'!Q63))</f>
        <v/>
      </c>
      <c r="I54" s="358"/>
      <c r="J54" s="363"/>
      <c r="K54" s="412" t="str">
        <f>IF(A54="","",IF('Table 5-C| MPTE HAP'!S63&gt;0,'Table 5-C| MPTE HAP'!S63,""))</f>
        <v/>
      </c>
      <c r="L54" s="364" t="str">
        <f>IFERROR(IF(OR('Table 5-C| MPTE HAP'!L63="",Q54="",R54="",AND(Q54="YES",T54=0),AND(R54="YES",U54=0)),"",IF(Q54="YES",'Table 5-C| MPTE HAP'!L63*(T54/S54),'Table 5-C| MPTE HAP'!L63))*IF(R54="YES",IF(VLOOKUP(C54,'HAP CAS &amp; Names'!$F$4:$H$186,3,)="YES",(1-U54),1),1),"")</f>
        <v/>
      </c>
      <c r="M54" s="138"/>
      <c r="N54" s="158">
        <f>SUMIF(C54:$C$60,C54,L54:$L$60)</f>
        <v>0</v>
      </c>
      <c r="Q54" s="124" t="str">
        <f t="shared" si="1"/>
        <v/>
      </c>
      <c r="R54" s="124" t="str">
        <f t="shared" si="2"/>
        <v/>
      </c>
      <c r="S54" s="443">
        <f t="shared" si="3"/>
        <v>0</v>
      </c>
      <c r="T54" s="443">
        <f t="shared" si="4"/>
        <v>0</v>
      </c>
      <c r="U54" s="150">
        <f>IF(AND(NOT(A54=""),NOT(B54=""),NOT(C54=""),NOT(ISBLANK(J54))),VLOOKUP(J54,'Emission Controls'!$A$3:$L$16,11,),IF(AND(A54="",NOT(B54=""),NOT(C54="")),U53,0))</f>
        <v>0</v>
      </c>
      <c r="AC54" s="99">
        <v>71432</v>
      </c>
      <c r="AD54" s="99">
        <f t="shared" si="0"/>
        <v>0</v>
      </c>
    </row>
    <row r="55" spans="1:30" s="147" customFormat="1" ht="18" customHeight="1" x14ac:dyDescent="0.2">
      <c r="A55" s="432" t="str">
        <f>IF(ISBLANK('Table 5-C| MPTE HAP'!A64),"",'Table 5-C| MPTE HAP'!A64)</f>
        <v/>
      </c>
      <c r="B55" s="433" t="str">
        <f>IF(ISBLANK('Table 5-C| MPTE HAP'!B64),"",'Table 5-C| MPTE HAP'!B64)</f>
        <v/>
      </c>
      <c r="C55" s="434" t="str">
        <f>IF(ISBLANK('Table 5-C| MPTE HAP'!C64),"",'Table 5-C| MPTE HAP'!C64)</f>
        <v/>
      </c>
      <c r="D55" s="549" t="str">
        <f>IF(ISBLANK('Table 5-C| MPTE HAP'!D64),"",'Table 5-C| MPTE HAP'!D64)</f>
        <v/>
      </c>
      <c r="E55" s="358"/>
      <c r="F55" s="358"/>
      <c r="G55" s="411" t="str">
        <f>IF(A55="","",IF('Table 5-C| MPTE HAP'!P64&gt;0,'Table 5-C| MPTE HAP'!P64,""))</f>
        <v/>
      </c>
      <c r="H55" s="362" t="str">
        <f>IF(A55="","",IF('Table 5-C| MPTE HAP'!Q64="","",'Table 5-C| MPTE HAP'!Q64))</f>
        <v/>
      </c>
      <c r="I55" s="358"/>
      <c r="J55" s="363"/>
      <c r="K55" s="412" t="str">
        <f>IF(A55="","",IF('Table 5-C| MPTE HAP'!S64&gt;0,'Table 5-C| MPTE HAP'!S64,""))</f>
        <v/>
      </c>
      <c r="L55" s="364" t="str">
        <f>IFERROR(IF(OR('Table 5-C| MPTE HAP'!L64="",Q55="",R55="",AND(Q55="YES",T55=0),AND(R55="YES",U55=0)),"",IF(Q55="YES",'Table 5-C| MPTE HAP'!L64*(T55/S55),'Table 5-C| MPTE HAP'!L64))*IF(R55="YES",IF(VLOOKUP(C55,'HAP CAS &amp; Names'!$F$4:$H$186,3,)="YES",(1-U55),1),1),"")</f>
        <v/>
      </c>
      <c r="M55" s="138"/>
      <c r="N55" s="158">
        <f>SUMIF(C55:$C$60,C55,L55:$L$60)</f>
        <v>0</v>
      </c>
      <c r="Q55" s="124" t="str">
        <f t="shared" si="1"/>
        <v/>
      </c>
      <c r="R55" s="124" t="str">
        <f t="shared" si="2"/>
        <v/>
      </c>
      <c r="S55" s="443">
        <f t="shared" si="3"/>
        <v>0</v>
      </c>
      <c r="T55" s="443">
        <f t="shared" si="4"/>
        <v>0</v>
      </c>
      <c r="U55" s="150">
        <f>IF(AND(NOT(A55=""),NOT(B55=""),NOT(C55=""),NOT(ISBLANK(J55))),VLOOKUP(J55,'Emission Controls'!$A$3:$L$16,11,),IF(AND(A55="",NOT(B55=""),NOT(C55="")),U54,0))</f>
        <v>0</v>
      </c>
      <c r="AC55" s="99">
        <v>71556</v>
      </c>
      <c r="AD55" s="99">
        <f t="shared" si="0"/>
        <v>0</v>
      </c>
    </row>
    <row r="56" spans="1:30" s="147" customFormat="1" ht="18" customHeight="1" x14ac:dyDescent="0.2">
      <c r="A56" s="432" t="str">
        <f>IF(ISBLANK('Table 5-C| MPTE HAP'!A65),"",'Table 5-C| MPTE HAP'!A65)</f>
        <v/>
      </c>
      <c r="B56" s="433" t="str">
        <f>IF(ISBLANK('Table 5-C| MPTE HAP'!B65),"",'Table 5-C| MPTE HAP'!B65)</f>
        <v/>
      </c>
      <c r="C56" s="434" t="str">
        <f>IF(ISBLANK('Table 5-C| MPTE HAP'!C65),"",'Table 5-C| MPTE HAP'!C65)</f>
        <v/>
      </c>
      <c r="D56" s="549" t="str">
        <f>IF(ISBLANK('Table 5-C| MPTE HAP'!D65),"",'Table 5-C| MPTE HAP'!D65)</f>
        <v/>
      </c>
      <c r="E56" s="358"/>
      <c r="F56" s="358"/>
      <c r="G56" s="411" t="str">
        <f>IF(A56="","",IF('Table 5-C| MPTE HAP'!P65&gt;0,'Table 5-C| MPTE HAP'!P65,""))</f>
        <v/>
      </c>
      <c r="H56" s="362" t="str">
        <f>IF(A56="","",IF('Table 5-C| MPTE HAP'!Q65="","",'Table 5-C| MPTE HAP'!Q65))</f>
        <v/>
      </c>
      <c r="I56" s="358"/>
      <c r="J56" s="363"/>
      <c r="K56" s="412" t="str">
        <f>IF(A56="","",IF('Table 5-C| MPTE HAP'!S65&gt;0,'Table 5-C| MPTE HAP'!S65,""))</f>
        <v/>
      </c>
      <c r="L56" s="364" t="str">
        <f>IFERROR(IF(OR('Table 5-C| MPTE HAP'!L65="",Q56="",R56="",AND(Q56="YES",T56=0),AND(R56="YES",U56=0)),"",IF(Q56="YES",'Table 5-C| MPTE HAP'!L65*(T56/S56),'Table 5-C| MPTE HAP'!L65))*IF(R56="YES",IF(VLOOKUP(C56,'HAP CAS &amp; Names'!$F$4:$H$186,3,)="YES",(1-U56),1),1),"")</f>
        <v/>
      </c>
      <c r="M56" s="138"/>
      <c r="N56" s="158">
        <f>SUMIF(C56:$C$60,C56,L56:$L$60)</f>
        <v>0</v>
      </c>
      <c r="Q56" s="124" t="str">
        <f t="shared" si="1"/>
        <v/>
      </c>
      <c r="R56" s="124" t="str">
        <f t="shared" si="2"/>
        <v/>
      </c>
      <c r="S56" s="443">
        <f t="shared" si="3"/>
        <v>0</v>
      </c>
      <c r="T56" s="443">
        <f t="shared" si="4"/>
        <v>0</v>
      </c>
      <c r="U56" s="150">
        <f>IF(AND(NOT(A56=""),NOT(B56=""),NOT(C56=""),NOT(ISBLANK(J56))),VLOOKUP(J56,'Emission Controls'!$A$3:$L$16,11,),IF(AND(A56="",NOT(B56=""),NOT(C56="")),U55,0))</f>
        <v>0</v>
      </c>
      <c r="AC56" s="99">
        <v>72435</v>
      </c>
      <c r="AD56" s="99">
        <f t="shared" si="0"/>
        <v>0</v>
      </c>
    </row>
    <row r="57" spans="1:30" s="147" customFormat="1" ht="18" customHeight="1" x14ac:dyDescent="0.2">
      <c r="A57" s="432" t="str">
        <f>IF(ISBLANK('Table 5-C| MPTE HAP'!A66),"",'Table 5-C| MPTE HAP'!A66)</f>
        <v/>
      </c>
      <c r="B57" s="433" t="str">
        <f>IF(ISBLANK('Table 5-C| MPTE HAP'!B66),"",'Table 5-C| MPTE HAP'!B66)</f>
        <v/>
      </c>
      <c r="C57" s="434" t="str">
        <f>IF(ISBLANK('Table 5-C| MPTE HAP'!C66),"",'Table 5-C| MPTE HAP'!C66)</f>
        <v/>
      </c>
      <c r="D57" s="549" t="str">
        <f>IF(ISBLANK('Table 5-C| MPTE HAP'!D66),"",'Table 5-C| MPTE HAP'!D66)</f>
        <v/>
      </c>
      <c r="E57" s="358"/>
      <c r="F57" s="358"/>
      <c r="G57" s="411" t="str">
        <f>IF(A57="","",IF('Table 5-C| MPTE HAP'!P66&gt;0,'Table 5-C| MPTE HAP'!P66,""))</f>
        <v/>
      </c>
      <c r="H57" s="362" t="str">
        <f>IF(A57="","",IF('Table 5-C| MPTE HAP'!Q66="","",'Table 5-C| MPTE HAP'!Q66))</f>
        <v/>
      </c>
      <c r="I57" s="358"/>
      <c r="J57" s="363"/>
      <c r="K57" s="412" t="str">
        <f>IF(A57="","",IF('Table 5-C| MPTE HAP'!S66&gt;0,'Table 5-C| MPTE HAP'!S66,""))</f>
        <v/>
      </c>
      <c r="L57" s="364" t="str">
        <f>IFERROR(IF(OR('Table 5-C| MPTE HAP'!L66="",Q57="",R57="",AND(Q57="YES",T57=0),AND(R57="YES",U57=0)),"",IF(Q57="YES",'Table 5-C| MPTE HAP'!L66*(T57/S57),'Table 5-C| MPTE HAP'!L66))*IF(R57="YES",IF(VLOOKUP(C57,'HAP CAS &amp; Names'!$F$4:$H$186,3,)="YES",(1-U57),1),1),"")</f>
        <v/>
      </c>
      <c r="M57" s="138"/>
      <c r="N57" s="158">
        <f>SUMIF(C57:$C$60,C57,L57:$L$60)</f>
        <v>0</v>
      </c>
      <c r="Q57" s="124" t="str">
        <f t="shared" si="1"/>
        <v/>
      </c>
      <c r="R57" s="124" t="str">
        <f t="shared" si="2"/>
        <v/>
      </c>
      <c r="S57" s="443">
        <f t="shared" si="3"/>
        <v>0</v>
      </c>
      <c r="T57" s="443">
        <f t="shared" si="4"/>
        <v>0</v>
      </c>
      <c r="U57" s="150">
        <f>IF(AND(NOT(A57=""),NOT(B57=""),NOT(C57=""),NOT(ISBLANK(J57))),VLOOKUP(J57,'Emission Controls'!$A$3:$L$16,11,),IF(AND(A57="",NOT(B57=""),NOT(C57="")),U56,0))</f>
        <v>0</v>
      </c>
      <c r="AC57" s="99">
        <v>74839</v>
      </c>
      <c r="AD57" s="99">
        <f t="shared" si="0"/>
        <v>0</v>
      </c>
    </row>
    <row r="58" spans="1:30" s="147" customFormat="1" ht="18" customHeight="1" x14ac:dyDescent="0.2">
      <c r="A58" s="432" t="str">
        <f>IF(ISBLANK('Table 5-C| MPTE HAP'!A67),"",'Table 5-C| MPTE HAP'!A67)</f>
        <v/>
      </c>
      <c r="B58" s="433" t="str">
        <f>IF(ISBLANK('Table 5-C| MPTE HAP'!B67),"",'Table 5-C| MPTE HAP'!B67)</f>
        <v/>
      </c>
      <c r="C58" s="434" t="str">
        <f>IF(ISBLANK('Table 5-C| MPTE HAP'!C67),"",'Table 5-C| MPTE HAP'!C67)</f>
        <v/>
      </c>
      <c r="D58" s="549" t="str">
        <f>IF(ISBLANK('Table 5-C| MPTE HAP'!D67),"",'Table 5-C| MPTE HAP'!D67)</f>
        <v/>
      </c>
      <c r="E58" s="358"/>
      <c r="F58" s="358"/>
      <c r="G58" s="411" t="str">
        <f>IF(A58="","",IF('Table 5-C| MPTE HAP'!P67&gt;0,'Table 5-C| MPTE HAP'!P67,""))</f>
        <v/>
      </c>
      <c r="H58" s="362" t="str">
        <f>IF(A58="","",IF('Table 5-C| MPTE HAP'!Q67="","",'Table 5-C| MPTE HAP'!Q67))</f>
        <v/>
      </c>
      <c r="I58" s="358"/>
      <c r="J58" s="363"/>
      <c r="K58" s="412" t="str">
        <f>IF(A58="","",IF('Table 5-C| MPTE HAP'!S67&gt;0,'Table 5-C| MPTE HAP'!S67,""))</f>
        <v/>
      </c>
      <c r="L58" s="364" t="str">
        <f>IFERROR(IF(OR('Table 5-C| MPTE HAP'!L67="",Q58="",R58="",AND(Q58="YES",T58=0),AND(R58="YES",U58=0)),"",IF(Q58="YES",'Table 5-C| MPTE HAP'!L67*(T58/S58),'Table 5-C| MPTE HAP'!L67))*IF(R58="YES",IF(VLOOKUP(C58,'HAP CAS &amp; Names'!$F$4:$H$186,3,)="YES",(1-U58),1),1),"")</f>
        <v/>
      </c>
      <c r="M58" s="138"/>
      <c r="N58" s="158">
        <f>SUMIF(C58:$C$60,C58,L58:$L$60)</f>
        <v>0</v>
      </c>
      <c r="Q58" s="124" t="str">
        <f t="shared" si="1"/>
        <v/>
      </c>
      <c r="R58" s="124" t="str">
        <f t="shared" si="2"/>
        <v/>
      </c>
      <c r="S58" s="443">
        <f t="shared" si="3"/>
        <v>0</v>
      </c>
      <c r="T58" s="443">
        <f t="shared" si="4"/>
        <v>0</v>
      </c>
      <c r="U58" s="150">
        <f>IF(AND(NOT(A58=""),NOT(B58=""),NOT(C58=""),NOT(ISBLANK(J58))),VLOOKUP(J58,'Emission Controls'!$A$3:$L$16,11,),IF(AND(A58="",NOT(B58=""),NOT(C58="")),U57,0))</f>
        <v>0</v>
      </c>
      <c r="AC58" s="99">
        <v>74873</v>
      </c>
      <c r="AD58" s="99">
        <f t="shared" si="0"/>
        <v>0</v>
      </c>
    </row>
    <row r="59" spans="1:30" s="147" customFormat="1" ht="18" customHeight="1" x14ac:dyDescent="0.2">
      <c r="A59" s="432" t="str">
        <f>IF(ISBLANK('Table 5-C| MPTE HAP'!A68),"",'Table 5-C| MPTE HAP'!A68)</f>
        <v/>
      </c>
      <c r="B59" s="433" t="str">
        <f>IF(ISBLANK('Table 5-C| MPTE HAP'!B68),"",'Table 5-C| MPTE HAP'!B68)</f>
        <v/>
      </c>
      <c r="C59" s="434" t="str">
        <f>IF(ISBLANK('Table 5-C| MPTE HAP'!C68),"",'Table 5-C| MPTE HAP'!C68)</f>
        <v/>
      </c>
      <c r="D59" s="549" t="str">
        <f>IF(ISBLANK('Table 5-C| MPTE HAP'!D68),"",'Table 5-C| MPTE HAP'!D68)</f>
        <v/>
      </c>
      <c r="E59" s="358"/>
      <c r="F59" s="358"/>
      <c r="G59" s="411" t="str">
        <f>IF(A59="","",IF('Table 5-C| MPTE HAP'!P68&gt;0,'Table 5-C| MPTE HAP'!P68,""))</f>
        <v/>
      </c>
      <c r="H59" s="362" t="str">
        <f>IF(A59="","",IF('Table 5-C| MPTE HAP'!Q68="","",'Table 5-C| MPTE HAP'!Q68))</f>
        <v/>
      </c>
      <c r="I59" s="358"/>
      <c r="J59" s="363"/>
      <c r="K59" s="412" t="str">
        <f>IF(A59="","",IF('Table 5-C| MPTE HAP'!S68&gt;0,'Table 5-C| MPTE HAP'!S68,""))</f>
        <v/>
      </c>
      <c r="L59" s="364" t="str">
        <f>IFERROR(IF(OR('Table 5-C| MPTE HAP'!L68="",Q59="",R59="",AND(Q59="YES",T59=0),AND(R59="YES",U59=0)),"",IF(Q59="YES",'Table 5-C| MPTE HAP'!L68*(T59/S59),'Table 5-C| MPTE HAP'!L68))*IF(R59="YES",IF(VLOOKUP(C59,'HAP CAS &amp; Names'!$F$4:$H$186,3,)="YES",(1-U59),1),1),"")</f>
        <v/>
      </c>
      <c r="M59" s="138"/>
      <c r="N59" s="158">
        <f>SUMIF(C59:$C$60,C59,L59:$L$60)</f>
        <v>0</v>
      </c>
      <c r="Q59" s="124" t="str">
        <f t="shared" si="1"/>
        <v/>
      </c>
      <c r="R59" s="124" t="str">
        <f t="shared" si="2"/>
        <v/>
      </c>
      <c r="S59" s="443">
        <f t="shared" si="3"/>
        <v>0</v>
      </c>
      <c r="T59" s="443">
        <f t="shared" si="4"/>
        <v>0</v>
      </c>
      <c r="U59" s="150">
        <f>IF(AND(NOT(A59=""),NOT(B59=""),NOT(C59=""),NOT(ISBLANK(J59))),VLOOKUP(J59,'Emission Controls'!$A$3:$L$16,11,),IF(AND(A59="",NOT(B59=""),NOT(C59="")),U58,0))</f>
        <v>0</v>
      </c>
      <c r="AC59" s="99">
        <v>74884</v>
      </c>
      <c r="AD59" s="99">
        <f t="shared" si="0"/>
        <v>0</v>
      </c>
    </row>
    <row r="60" spans="1:30" s="147" customFormat="1" ht="18" customHeight="1" thickBot="1" x14ac:dyDescent="0.25">
      <c r="A60" s="435" t="str">
        <f>IF(ISBLANK('Table 5-C| MPTE HAP'!A69),"",'Table 5-C| MPTE HAP'!A69)</f>
        <v/>
      </c>
      <c r="B60" s="436" t="str">
        <f>IF(ISBLANK('Table 5-C| MPTE HAP'!B69),"",'Table 5-C| MPTE HAP'!B69)</f>
        <v/>
      </c>
      <c r="C60" s="437" t="str">
        <f>IF(ISBLANK('Table 5-C| MPTE HAP'!C69),"",'Table 5-C| MPTE HAP'!C69)</f>
        <v/>
      </c>
      <c r="D60" s="550" t="str">
        <f>IF(ISBLANK('Table 5-C| MPTE HAP'!D69),"",'Table 5-C| MPTE HAP'!D69)</f>
        <v/>
      </c>
      <c r="E60" s="367"/>
      <c r="F60" s="367"/>
      <c r="G60" s="413" t="str">
        <f>IF(A60="","",IF('Table 5-C| MPTE HAP'!P69&gt;0,'Table 5-C| MPTE HAP'!P69,""))</f>
        <v/>
      </c>
      <c r="H60" s="371" t="str">
        <f>IF(A60="","",IF('Table 5-C| MPTE HAP'!Q69="","",'Table 5-C| MPTE HAP'!Q69))</f>
        <v/>
      </c>
      <c r="I60" s="367"/>
      <c r="J60" s="372"/>
      <c r="K60" s="414" t="str">
        <f>IF(A60="","",IF('Table 5-C| MPTE HAP'!S69&gt;0,'Table 5-C| MPTE HAP'!S69,""))</f>
        <v/>
      </c>
      <c r="L60" s="373" t="str">
        <f>IFERROR(IF(OR('Table 5-C| MPTE HAP'!L69="",Q60="",R60="",AND(Q60="YES",T60=0),AND(R60="YES",U60=0)),"",IF(Q60="YES",'Table 5-C| MPTE HAP'!L69*(T60/S60),'Table 5-C| MPTE HAP'!L69))*IF(R60="YES",IF(VLOOKUP(C60,'HAP CAS &amp; Names'!$F$4:$H$186,3,)="YES",(1-U60),1),1),"")</f>
        <v/>
      </c>
      <c r="M60" s="138"/>
      <c r="N60" s="158">
        <f>SUMIF(C60:$C$60,C60,L60:$L$60)</f>
        <v>0</v>
      </c>
      <c r="Q60" s="124" t="str">
        <f t="shared" si="1"/>
        <v/>
      </c>
      <c r="R60" s="124" t="str">
        <f t="shared" si="2"/>
        <v/>
      </c>
      <c r="S60" s="443">
        <f t="shared" si="3"/>
        <v>0</v>
      </c>
      <c r="T60" s="443">
        <f t="shared" si="4"/>
        <v>0</v>
      </c>
      <c r="U60" s="150">
        <f>IF(AND(NOT(A60=""),NOT(B60=""),NOT(C60=""),NOT(ISBLANK(J60))),VLOOKUP(J60,'Emission Controls'!$A$3:$L$16,11,),IF(AND(A60="",NOT(B60=""),NOT(C60="")),U59,0))</f>
        <v>0</v>
      </c>
      <c r="AC60" s="99">
        <v>75003</v>
      </c>
      <c r="AD60" s="99">
        <f t="shared" si="0"/>
        <v>0</v>
      </c>
    </row>
    <row r="61" spans="1:30" s="147" customFormat="1" ht="18" customHeight="1" x14ac:dyDescent="0.2">
      <c r="A61" s="48"/>
      <c r="B61" s="48"/>
      <c r="C61" s="48"/>
      <c r="D61" s="48"/>
      <c r="E61" s="48"/>
      <c r="F61" s="48"/>
      <c r="G61" s="48"/>
      <c r="H61" s="48"/>
      <c r="I61" s="48"/>
      <c r="J61" s="148"/>
      <c r="K61" s="148"/>
      <c r="L61" s="48"/>
      <c r="M61" s="138"/>
      <c r="N61" s="158"/>
      <c r="Q61" s="124"/>
      <c r="R61" s="124"/>
      <c r="S61" s="443"/>
      <c r="T61" s="443"/>
      <c r="U61" s="150"/>
      <c r="AC61" s="99">
        <v>75014</v>
      </c>
      <c r="AD61" s="99">
        <f t="shared" ref="AD61:AD92" si="5">SUMIF($C$29:$C$60,AC61,$L$29:$L$60)</f>
        <v>0</v>
      </c>
    </row>
    <row r="62" spans="1:30" s="147" customFormat="1" ht="18" customHeight="1" x14ac:dyDescent="0.2">
      <c r="A62" s="48"/>
      <c r="B62" s="48"/>
      <c r="C62" s="48"/>
      <c r="D62" s="48"/>
      <c r="E62" s="48"/>
      <c r="F62" s="48"/>
      <c r="G62" s="48"/>
      <c r="H62" s="48"/>
      <c r="I62" s="48"/>
      <c r="J62" s="148"/>
      <c r="K62" s="148"/>
      <c r="L62" s="48"/>
      <c r="M62" s="138"/>
      <c r="N62" s="158"/>
      <c r="Q62" s="124"/>
      <c r="R62" s="124"/>
      <c r="S62" s="443"/>
      <c r="T62" s="443"/>
      <c r="U62" s="150"/>
      <c r="AC62" s="99">
        <v>75058</v>
      </c>
      <c r="AD62" s="99">
        <f t="shared" si="5"/>
        <v>0</v>
      </c>
    </row>
    <row r="63" spans="1:30" s="147" customFormat="1" ht="18" customHeight="1" x14ac:dyDescent="0.2">
      <c r="A63" s="48"/>
      <c r="B63" s="48"/>
      <c r="C63" s="48"/>
      <c r="D63" s="48"/>
      <c r="E63" s="48"/>
      <c r="F63" s="48"/>
      <c r="G63" s="48"/>
      <c r="H63" s="48"/>
      <c r="I63" s="48"/>
      <c r="J63" s="148"/>
      <c r="K63" s="148"/>
      <c r="L63" s="48"/>
      <c r="M63" s="138"/>
      <c r="N63" s="158"/>
      <c r="Q63" s="124"/>
      <c r="R63" s="124"/>
      <c r="S63" s="443"/>
      <c r="T63" s="443"/>
      <c r="U63" s="150"/>
      <c r="AC63" s="99">
        <v>75070</v>
      </c>
      <c r="AD63" s="99">
        <f t="shared" si="5"/>
        <v>0</v>
      </c>
    </row>
    <row r="64" spans="1:30" s="147" customFormat="1" ht="18" customHeight="1" x14ac:dyDescent="0.2">
      <c r="A64" s="48"/>
      <c r="B64" s="48"/>
      <c r="C64" s="48"/>
      <c r="D64" s="48"/>
      <c r="E64" s="48"/>
      <c r="F64" s="48"/>
      <c r="G64" s="48"/>
      <c r="H64" s="48"/>
      <c r="I64" s="48"/>
      <c r="J64" s="148"/>
      <c r="K64" s="148"/>
      <c r="L64" s="48"/>
      <c r="M64" s="138"/>
      <c r="N64" s="158"/>
      <c r="Q64" s="124"/>
      <c r="R64" s="124"/>
      <c r="S64" s="443"/>
      <c r="T64" s="443"/>
      <c r="U64" s="150"/>
      <c r="AC64" s="99">
        <v>75092</v>
      </c>
      <c r="AD64" s="99">
        <f t="shared" si="5"/>
        <v>0</v>
      </c>
    </row>
    <row r="65" spans="1:30" s="147" customFormat="1" ht="18" customHeight="1" x14ac:dyDescent="0.2">
      <c r="A65" s="48"/>
      <c r="B65" s="48"/>
      <c r="C65" s="48"/>
      <c r="D65" s="48"/>
      <c r="E65" s="48"/>
      <c r="F65" s="48"/>
      <c r="G65" s="48"/>
      <c r="H65" s="48"/>
      <c r="I65" s="48"/>
      <c r="J65" s="148"/>
      <c r="K65" s="148"/>
      <c r="L65" s="48"/>
      <c r="M65" s="138"/>
      <c r="N65" s="158"/>
      <c r="Q65" s="124"/>
      <c r="R65" s="124"/>
      <c r="S65" s="443"/>
      <c r="T65" s="443"/>
      <c r="U65" s="150"/>
      <c r="AC65" s="99">
        <v>75150</v>
      </c>
      <c r="AD65" s="99">
        <f t="shared" si="5"/>
        <v>0</v>
      </c>
    </row>
    <row r="66" spans="1:30" s="147" customFormat="1" ht="18" customHeight="1" x14ac:dyDescent="0.2">
      <c r="A66" s="48"/>
      <c r="B66" s="48"/>
      <c r="C66" s="48"/>
      <c r="D66" s="48"/>
      <c r="E66" s="48"/>
      <c r="F66" s="48"/>
      <c r="G66" s="48"/>
      <c r="H66" s="48"/>
      <c r="I66" s="48"/>
      <c r="J66" s="148"/>
      <c r="K66" s="148"/>
      <c r="L66" s="48"/>
      <c r="M66" s="138"/>
      <c r="N66" s="158"/>
      <c r="Q66" s="124"/>
      <c r="R66" s="124"/>
      <c r="S66" s="443"/>
      <c r="T66" s="443"/>
      <c r="U66" s="150"/>
      <c r="AC66" s="99">
        <v>75218</v>
      </c>
      <c r="AD66" s="99">
        <f t="shared" si="5"/>
        <v>0</v>
      </c>
    </row>
    <row r="67" spans="1:30" s="147" customFormat="1" ht="18" customHeight="1" x14ac:dyDescent="0.2">
      <c r="A67" s="48"/>
      <c r="B67" s="48"/>
      <c r="C67" s="48"/>
      <c r="D67" s="48"/>
      <c r="E67" s="48"/>
      <c r="F67" s="48"/>
      <c r="G67" s="48"/>
      <c r="H67" s="48"/>
      <c r="I67" s="48"/>
      <c r="J67" s="148"/>
      <c r="K67" s="148"/>
      <c r="L67" s="48"/>
      <c r="M67" s="138"/>
      <c r="N67" s="158"/>
      <c r="Q67" s="124"/>
      <c r="R67" s="124"/>
      <c r="S67" s="443"/>
      <c r="T67" s="443"/>
      <c r="U67" s="150"/>
      <c r="AC67" s="99">
        <v>75252</v>
      </c>
      <c r="AD67" s="99">
        <f t="shared" si="5"/>
        <v>0</v>
      </c>
    </row>
    <row r="68" spans="1:30" s="147" customFormat="1" ht="18" customHeight="1" x14ac:dyDescent="0.2">
      <c r="A68" s="48"/>
      <c r="B68" s="48"/>
      <c r="C68" s="48"/>
      <c r="D68" s="48"/>
      <c r="E68" s="48"/>
      <c r="F68" s="48"/>
      <c r="G68" s="48"/>
      <c r="H68" s="48"/>
      <c r="I68" s="48"/>
      <c r="J68" s="148"/>
      <c r="K68" s="148"/>
      <c r="L68" s="48"/>
      <c r="M68" s="138"/>
      <c r="N68" s="158"/>
      <c r="Q68" s="124"/>
      <c r="R68" s="124"/>
      <c r="S68" s="443"/>
      <c r="T68" s="443"/>
      <c r="U68" s="150"/>
      <c r="AC68" s="99">
        <v>75343</v>
      </c>
      <c r="AD68" s="99">
        <f t="shared" si="5"/>
        <v>0</v>
      </c>
    </row>
    <row r="69" spans="1:30" s="147" customFormat="1" ht="18" customHeight="1" x14ac:dyDescent="0.2">
      <c r="A69" s="48"/>
      <c r="B69" s="48"/>
      <c r="C69" s="48"/>
      <c r="D69" s="48"/>
      <c r="E69" s="48"/>
      <c r="F69" s="48"/>
      <c r="G69" s="48"/>
      <c r="H69" s="48"/>
      <c r="I69" s="48"/>
      <c r="J69" s="148"/>
      <c r="K69" s="148"/>
      <c r="L69" s="48"/>
      <c r="M69" s="138"/>
      <c r="N69" s="158"/>
      <c r="Q69" s="124"/>
      <c r="R69" s="124"/>
      <c r="S69" s="443"/>
      <c r="T69" s="443"/>
      <c r="U69" s="150"/>
      <c r="AC69" s="99">
        <v>75354</v>
      </c>
      <c r="AD69" s="99">
        <f t="shared" si="5"/>
        <v>0</v>
      </c>
    </row>
    <row r="70" spans="1:30" s="147" customFormat="1" ht="18" customHeight="1" x14ac:dyDescent="0.2">
      <c r="A70" s="48"/>
      <c r="B70" s="48"/>
      <c r="C70" s="48"/>
      <c r="D70" s="48"/>
      <c r="E70" s="48"/>
      <c r="F70" s="48"/>
      <c r="G70" s="48"/>
      <c r="H70" s="48"/>
      <c r="I70" s="48"/>
      <c r="J70" s="148"/>
      <c r="K70" s="148"/>
      <c r="L70" s="48"/>
      <c r="M70" s="138"/>
      <c r="N70" s="158"/>
      <c r="Q70" s="124"/>
      <c r="R70" s="124"/>
      <c r="S70" s="443"/>
      <c r="T70" s="443"/>
      <c r="U70" s="150"/>
      <c r="AC70" s="99">
        <v>75445</v>
      </c>
      <c r="AD70" s="99">
        <f t="shared" si="5"/>
        <v>0</v>
      </c>
    </row>
    <row r="71" spans="1:30" s="147" customFormat="1" ht="18" customHeight="1" x14ac:dyDescent="0.2">
      <c r="A71" s="48"/>
      <c r="B71" s="48"/>
      <c r="C71" s="48"/>
      <c r="D71" s="48"/>
      <c r="E71" s="48"/>
      <c r="F71" s="48"/>
      <c r="G71" s="48"/>
      <c r="H71" s="48"/>
      <c r="I71" s="48"/>
      <c r="J71" s="148"/>
      <c r="K71" s="148"/>
      <c r="L71" s="48"/>
      <c r="M71" s="138"/>
      <c r="N71" s="158"/>
      <c r="Q71" s="124"/>
      <c r="R71" s="124"/>
      <c r="S71" s="443"/>
      <c r="T71" s="443"/>
      <c r="U71" s="150"/>
      <c r="AC71" s="99">
        <v>75558</v>
      </c>
      <c r="AD71" s="99">
        <f t="shared" si="5"/>
        <v>0</v>
      </c>
    </row>
    <row r="72" spans="1:30" s="147" customFormat="1" ht="18" customHeight="1" x14ac:dyDescent="0.2">
      <c r="A72" s="48"/>
      <c r="B72" s="48"/>
      <c r="C72" s="48"/>
      <c r="D72" s="48"/>
      <c r="E72" s="48"/>
      <c r="F72" s="48"/>
      <c r="G72" s="48"/>
      <c r="H72" s="48"/>
      <c r="I72" s="48"/>
      <c r="J72" s="148"/>
      <c r="K72" s="148"/>
      <c r="L72" s="48"/>
      <c r="M72" s="138"/>
      <c r="N72" s="158"/>
      <c r="Q72" s="124"/>
      <c r="R72" s="124"/>
      <c r="S72" s="443"/>
      <c r="T72" s="443"/>
      <c r="U72" s="150"/>
      <c r="AC72" s="99">
        <v>75569</v>
      </c>
      <c r="AD72" s="99">
        <f t="shared" si="5"/>
        <v>0</v>
      </c>
    </row>
    <row r="73" spans="1:30" s="147" customFormat="1" ht="18" customHeight="1" x14ac:dyDescent="0.2">
      <c r="A73" s="48"/>
      <c r="B73" s="48"/>
      <c r="C73" s="48"/>
      <c r="D73" s="48"/>
      <c r="E73" s="48"/>
      <c r="F73" s="48"/>
      <c r="G73" s="48"/>
      <c r="H73" s="48"/>
      <c r="I73" s="48"/>
      <c r="J73" s="148"/>
      <c r="K73" s="148"/>
      <c r="L73" s="48"/>
      <c r="M73" s="138"/>
      <c r="N73" s="158"/>
      <c r="Q73" s="124"/>
      <c r="R73" s="124"/>
      <c r="S73" s="443"/>
      <c r="T73" s="443"/>
      <c r="U73" s="150"/>
      <c r="AC73" s="99">
        <v>76448</v>
      </c>
      <c r="AD73" s="99">
        <f t="shared" si="5"/>
        <v>0</v>
      </c>
    </row>
    <row r="74" spans="1:30" s="147" customFormat="1" ht="18" customHeight="1" x14ac:dyDescent="0.2">
      <c r="A74" s="48"/>
      <c r="B74" s="48"/>
      <c r="C74" s="48"/>
      <c r="D74" s="48"/>
      <c r="E74" s="48"/>
      <c r="F74" s="48"/>
      <c r="G74" s="48"/>
      <c r="H74" s="48"/>
      <c r="I74" s="48"/>
      <c r="J74" s="148"/>
      <c r="K74" s="148"/>
      <c r="L74" s="48"/>
      <c r="M74" s="138"/>
      <c r="N74" s="158"/>
      <c r="Q74" s="124"/>
      <c r="R74" s="124"/>
      <c r="S74" s="443"/>
      <c r="T74" s="443"/>
      <c r="U74" s="150"/>
      <c r="AC74" s="99">
        <v>77474</v>
      </c>
      <c r="AD74" s="99">
        <f t="shared" si="5"/>
        <v>0</v>
      </c>
    </row>
    <row r="75" spans="1:30" s="147" customFormat="1" ht="18" customHeight="1" x14ac:dyDescent="0.2">
      <c r="A75" s="48"/>
      <c r="B75" s="48"/>
      <c r="C75" s="48"/>
      <c r="D75" s="48"/>
      <c r="E75" s="48"/>
      <c r="F75" s="48"/>
      <c r="G75" s="48"/>
      <c r="H75" s="48"/>
      <c r="I75" s="48"/>
      <c r="J75" s="148"/>
      <c r="K75" s="148"/>
      <c r="L75" s="48"/>
      <c r="M75" s="138"/>
      <c r="N75" s="158"/>
      <c r="Q75" s="124"/>
      <c r="R75" s="124"/>
      <c r="S75" s="443"/>
      <c r="T75" s="443"/>
      <c r="U75" s="150"/>
      <c r="AC75" s="99">
        <v>77781</v>
      </c>
      <c r="AD75" s="99">
        <f t="shared" si="5"/>
        <v>0</v>
      </c>
    </row>
    <row r="76" spans="1:30" s="147" customFormat="1" ht="18" customHeight="1" x14ac:dyDescent="0.2">
      <c r="A76" s="48"/>
      <c r="B76" s="48"/>
      <c r="C76" s="48"/>
      <c r="D76" s="48"/>
      <c r="E76" s="48"/>
      <c r="F76" s="48"/>
      <c r="G76" s="48"/>
      <c r="H76" s="48"/>
      <c r="I76" s="48"/>
      <c r="J76" s="148"/>
      <c r="K76" s="148"/>
      <c r="L76" s="48"/>
      <c r="M76" s="138"/>
      <c r="N76" s="158"/>
      <c r="Q76" s="124"/>
      <c r="R76" s="124"/>
      <c r="S76" s="443"/>
      <c r="T76" s="443"/>
      <c r="U76" s="150"/>
      <c r="AC76" s="99">
        <v>78591</v>
      </c>
      <c r="AD76" s="99">
        <f t="shared" si="5"/>
        <v>0</v>
      </c>
    </row>
    <row r="77" spans="1:30" s="147" customFormat="1" ht="18" customHeight="1" x14ac:dyDescent="0.2">
      <c r="A77" s="48"/>
      <c r="B77" s="48"/>
      <c r="C77" s="48"/>
      <c r="D77" s="48"/>
      <c r="E77" s="48"/>
      <c r="F77" s="48"/>
      <c r="G77" s="48"/>
      <c r="H77" s="48"/>
      <c r="I77" s="48"/>
      <c r="J77" s="148"/>
      <c r="K77" s="148"/>
      <c r="L77" s="48"/>
      <c r="M77" s="138"/>
      <c r="N77" s="158"/>
      <c r="Q77" s="124"/>
      <c r="R77" s="124"/>
      <c r="S77" s="443"/>
      <c r="T77" s="443"/>
      <c r="U77" s="150"/>
      <c r="AC77" s="99">
        <v>78875</v>
      </c>
      <c r="AD77" s="99">
        <f t="shared" si="5"/>
        <v>0</v>
      </c>
    </row>
    <row r="78" spans="1:30" s="147" customFormat="1" ht="18" customHeight="1" x14ac:dyDescent="0.2">
      <c r="A78" s="48"/>
      <c r="B78" s="48"/>
      <c r="C78" s="48"/>
      <c r="D78" s="48"/>
      <c r="E78" s="48"/>
      <c r="F78" s="48"/>
      <c r="G78" s="48"/>
      <c r="H78" s="48"/>
      <c r="I78" s="48"/>
      <c r="J78" s="148"/>
      <c r="K78" s="148"/>
      <c r="L78" s="48"/>
      <c r="M78" s="138"/>
      <c r="N78" s="158"/>
      <c r="Q78" s="124"/>
      <c r="R78" s="124"/>
      <c r="S78" s="443"/>
      <c r="T78" s="443"/>
      <c r="U78" s="150"/>
      <c r="AC78" s="99">
        <v>79005</v>
      </c>
      <c r="AD78" s="99">
        <f t="shared" si="5"/>
        <v>0</v>
      </c>
    </row>
    <row r="79" spans="1:30" s="147" customFormat="1" ht="18" customHeight="1" x14ac:dyDescent="0.2">
      <c r="A79" s="48"/>
      <c r="B79" s="48"/>
      <c r="C79" s="48"/>
      <c r="D79" s="48"/>
      <c r="E79" s="48"/>
      <c r="F79" s="48"/>
      <c r="G79" s="48"/>
      <c r="H79" s="48"/>
      <c r="I79" s="48"/>
      <c r="J79" s="148"/>
      <c r="K79" s="148"/>
      <c r="L79" s="48"/>
      <c r="M79" s="138"/>
      <c r="N79" s="158"/>
      <c r="Q79" s="124"/>
      <c r="R79" s="124"/>
      <c r="S79" s="443"/>
      <c r="T79" s="443"/>
      <c r="U79" s="150"/>
      <c r="AC79" s="99">
        <v>79016</v>
      </c>
      <c r="AD79" s="99">
        <f t="shared" si="5"/>
        <v>0</v>
      </c>
    </row>
    <row r="80" spans="1:30" s="147" customFormat="1" ht="18" customHeight="1" x14ac:dyDescent="0.2">
      <c r="A80" s="48"/>
      <c r="B80" s="48"/>
      <c r="C80" s="48"/>
      <c r="D80" s="48"/>
      <c r="E80" s="48"/>
      <c r="F80" s="48"/>
      <c r="G80" s="48"/>
      <c r="H80" s="48"/>
      <c r="I80" s="48"/>
      <c r="J80" s="148"/>
      <c r="K80" s="148"/>
      <c r="L80" s="48"/>
      <c r="M80" s="138"/>
      <c r="N80" s="158"/>
      <c r="Q80" s="124"/>
      <c r="R80" s="124"/>
      <c r="S80" s="443"/>
      <c r="T80" s="443"/>
      <c r="U80" s="150"/>
      <c r="AC80" s="99">
        <v>79061</v>
      </c>
      <c r="AD80" s="99">
        <f t="shared" si="5"/>
        <v>0</v>
      </c>
    </row>
    <row r="81" spans="1:30" s="147" customFormat="1" ht="18" customHeight="1" x14ac:dyDescent="0.2">
      <c r="A81" s="48"/>
      <c r="B81" s="48"/>
      <c r="C81" s="48"/>
      <c r="D81" s="48"/>
      <c r="E81" s="48"/>
      <c r="F81" s="48"/>
      <c r="G81" s="48"/>
      <c r="H81" s="48"/>
      <c r="I81" s="48"/>
      <c r="J81" s="148"/>
      <c r="K81" s="148"/>
      <c r="L81" s="48"/>
      <c r="M81" s="138"/>
      <c r="N81" s="158"/>
      <c r="Q81" s="124"/>
      <c r="R81" s="124"/>
      <c r="S81" s="443"/>
      <c r="T81" s="443"/>
      <c r="U81" s="150"/>
      <c r="AC81" s="99">
        <v>79107</v>
      </c>
      <c r="AD81" s="99">
        <f t="shared" si="5"/>
        <v>0</v>
      </c>
    </row>
    <row r="82" spans="1:30" s="147" customFormat="1" ht="18" customHeight="1" x14ac:dyDescent="0.2">
      <c r="A82" s="48"/>
      <c r="B82" s="48"/>
      <c r="C82" s="48"/>
      <c r="D82" s="48"/>
      <c r="E82" s="48"/>
      <c r="F82" s="48"/>
      <c r="G82" s="48"/>
      <c r="H82" s="48"/>
      <c r="I82" s="48"/>
      <c r="J82" s="148"/>
      <c r="K82" s="148"/>
      <c r="L82" s="48"/>
      <c r="M82" s="138"/>
      <c r="N82" s="158"/>
      <c r="Q82" s="124"/>
      <c r="R82" s="124"/>
      <c r="S82" s="443"/>
      <c r="T82" s="443"/>
      <c r="U82" s="150"/>
      <c r="AC82" s="99">
        <v>79118</v>
      </c>
      <c r="AD82" s="99">
        <f t="shared" si="5"/>
        <v>0</v>
      </c>
    </row>
    <row r="83" spans="1:30" s="147" customFormat="1" ht="18" customHeight="1" x14ac:dyDescent="0.2">
      <c r="A83" s="48"/>
      <c r="B83" s="48"/>
      <c r="C83" s="48"/>
      <c r="D83" s="48"/>
      <c r="E83" s="48"/>
      <c r="F83" s="48"/>
      <c r="G83" s="48"/>
      <c r="H83" s="48"/>
      <c r="I83" s="48"/>
      <c r="J83" s="148"/>
      <c r="K83" s="148"/>
      <c r="L83" s="48"/>
      <c r="M83" s="138"/>
      <c r="N83" s="158"/>
      <c r="Q83" s="124"/>
      <c r="R83" s="124"/>
      <c r="S83" s="443"/>
      <c r="T83" s="443"/>
      <c r="U83" s="150"/>
      <c r="AC83" s="99">
        <v>79345</v>
      </c>
      <c r="AD83" s="99">
        <f t="shared" si="5"/>
        <v>0</v>
      </c>
    </row>
    <row r="84" spans="1:30" s="147" customFormat="1" ht="18" customHeight="1" x14ac:dyDescent="0.2">
      <c r="A84" s="48"/>
      <c r="B84" s="48"/>
      <c r="C84" s="48"/>
      <c r="D84" s="48"/>
      <c r="E84" s="48"/>
      <c r="F84" s="48"/>
      <c r="G84" s="48"/>
      <c r="H84" s="48"/>
      <c r="I84" s="48"/>
      <c r="J84" s="148"/>
      <c r="K84" s="148"/>
      <c r="L84" s="48"/>
      <c r="M84" s="138"/>
      <c r="N84" s="158"/>
      <c r="Q84" s="124"/>
      <c r="R84" s="124"/>
      <c r="S84" s="443"/>
      <c r="T84" s="443"/>
      <c r="U84" s="150"/>
      <c r="AC84" s="99">
        <v>79447</v>
      </c>
      <c r="AD84" s="99">
        <f t="shared" si="5"/>
        <v>0</v>
      </c>
    </row>
    <row r="85" spans="1:30" s="147" customFormat="1" ht="18" customHeight="1" x14ac:dyDescent="0.2">
      <c r="A85" s="48"/>
      <c r="B85" s="48"/>
      <c r="C85" s="48"/>
      <c r="D85" s="48"/>
      <c r="E85" s="48"/>
      <c r="F85" s="48"/>
      <c r="G85" s="48"/>
      <c r="H85" s="48"/>
      <c r="I85" s="48"/>
      <c r="J85" s="148"/>
      <c r="K85" s="148"/>
      <c r="L85" s="48"/>
      <c r="M85" s="138"/>
      <c r="N85" s="158"/>
      <c r="Q85" s="124"/>
      <c r="R85" s="124"/>
      <c r="S85" s="443"/>
      <c r="T85" s="443"/>
      <c r="U85" s="150"/>
      <c r="AC85" s="99">
        <v>79469</v>
      </c>
      <c r="AD85" s="99">
        <f t="shared" si="5"/>
        <v>0</v>
      </c>
    </row>
    <row r="86" spans="1:30" s="147" customFormat="1" ht="18" customHeight="1" x14ac:dyDescent="0.2">
      <c r="A86" s="48"/>
      <c r="B86" s="48"/>
      <c r="C86" s="48"/>
      <c r="D86" s="48"/>
      <c r="E86" s="48"/>
      <c r="F86" s="48"/>
      <c r="G86" s="48"/>
      <c r="H86" s="48"/>
      <c r="I86" s="48"/>
      <c r="J86" s="148"/>
      <c r="K86" s="148"/>
      <c r="L86" s="48"/>
      <c r="M86" s="138"/>
      <c r="N86" s="158"/>
      <c r="Q86" s="124"/>
      <c r="R86" s="124"/>
      <c r="S86" s="443"/>
      <c r="T86" s="443"/>
      <c r="U86" s="150"/>
      <c r="AC86" s="99">
        <v>80626</v>
      </c>
      <c r="AD86" s="99">
        <f t="shared" si="5"/>
        <v>0</v>
      </c>
    </row>
    <row r="87" spans="1:30" s="147" customFormat="1" ht="18" customHeight="1" x14ac:dyDescent="0.2">
      <c r="A87" s="48"/>
      <c r="B87" s="48"/>
      <c r="C87" s="48"/>
      <c r="D87" s="48"/>
      <c r="E87" s="48"/>
      <c r="F87" s="48"/>
      <c r="G87" s="48"/>
      <c r="H87" s="48"/>
      <c r="I87" s="48"/>
      <c r="J87" s="148"/>
      <c r="K87" s="148"/>
      <c r="L87" s="48"/>
      <c r="M87" s="138"/>
      <c r="N87" s="158"/>
      <c r="Q87" s="124"/>
      <c r="R87" s="124"/>
      <c r="S87" s="443"/>
      <c r="T87" s="443"/>
      <c r="U87" s="150"/>
      <c r="AC87" s="99">
        <v>82688</v>
      </c>
      <c r="AD87" s="99">
        <f t="shared" si="5"/>
        <v>0</v>
      </c>
    </row>
    <row r="88" spans="1:30" s="147" customFormat="1" ht="18" customHeight="1" x14ac:dyDescent="0.2">
      <c r="A88" s="48"/>
      <c r="B88" s="48"/>
      <c r="C88" s="48"/>
      <c r="D88" s="48"/>
      <c r="E88" s="48"/>
      <c r="F88" s="48"/>
      <c r="G88" s="48"/>
      <c r="H88" s="48"/>
      <c r="I88" s="48"/>
      <c r="J88" s="148"/>
      <c r="K88" s="148"/>
      <c r="L88" s="48"/>
      <c r="M88" s="138"/>
      <c r="N88" s="158"/>
      <c r="Q88" s="124"/>
      <c r="R88" s="124"/>
      <c r="S88" s="443"/>
      <c r="T88" s="443"/>
      <c r="U88" s="150"/>
      <c r="AC88" s="99">
        <v>84742</v>
      </c>
      <c r="AD88" s="99">
        <f t="shared" si="5"/>
        <v>0</v>
      </c>
    </row>
    <row r="89" spans="1:30" s="147" customFormat="1" ht="18" customHeight="1" x14ac:dyDescent="0.2">
      <c r="A89" s="48"/>
      <c r="B89" s="48"/>
      <c r="C89" s="48"/>
      <c r="D89" s="48"/>
      <c r="E89" s="48"/>
      <c r="F89" s="48"/>
      <c r="G89" s="48"/>
      <c r="H89" s="48"/>
      <c r="I89" s="48"/>
      <c r="J89" s="148"/>
      <c r="K89" s="148"/>
      <c r="L89" s="48"/>
      <c r="M89" s="138"/>
      <c r="N89" s="158"/>
      <c r="Q89" s="124"/>
      <c r="R89" s="124"/>
      <c r="S89" s="443"/>
      <c r="T89" s="443"/>
      <c r="U89" s="150"/>
      <c r="AC89" s="99">
        <v>85449</v>
      </c>
      <c r="AD89" s="99">
        <f t="shared" si="5"/>
        <v>0</v>
      </c>
    </row>
    <row r="90" spans="1:30" s="147" customFormat="1" ht="18" customHeight="1" x14ac:dyDescent="0.2">
      <c r="A90" s="48"/>
      <c r="B90" s="48"/>
      <c r="C90" s="48"/>
      <c r="D90" s="48"/>
      <c r="E90" s="48"/>
      <c r="F90" s="48"/>
      <c r="G90" s="48"/>
      <c r="H90" s="48"/>
      <c r="I90" s="48"/>
      <c r="J90" s="148"/>
      <c r="K90" s="148"/>
      <c r="L90" s="48"/>
      <c r="M90" s="138"/>
      <c r="N90" s="158"/>
      <c r="Q90" s="124"/>
      <c r="R90" s="124"/>
      <c r="S90" s="443"/>
      <c r="T90" s="443"/>
      <c r="U90" s="150"/>
      <c r="AC90" s="99">
        <v>87683</v>
      </c>
      <c r="AD90" s="99">
        <f t="shared" si="5"/>
        <v>0</v>
      </c>
    </row>
    <row r="91" spans="1:30" s="147" customFormat="1" ht="18" customHeight="1" x14ac:dyDescent="0.2">
      <c r="A91" s="48"/>
      <c r="B91" s="48"/>
      <c r="C91" s="48"/>
      <c r="D91" s="48"/>
      <c r="E91" s="48"/>
      <c r="F91" s="48"/>
      <c r="G91" s="48"/>
      <c r="H91" s="48"/>
      <c r="I91" s="48"/>
      <c r="J91" s="148"/>
      <c r="K91" s="148"/>
      <c r="L91" s="48"/>
      <c r="M91" s="138"/>
      <c r="N91" s="158"/>
      <c r="Q91" s="124"/>
      <c r="R91" s="124"/>
      <c r="S91" s="443"/>
      <c r="T91" s="443"/>
      <c r="U91" s="150"/>
      <c r="AC91" s="99">
        <v>87865</v>
      </c>
      <c r="AD91" s="99">
        <f t="shared" si="5"/>
        <v>0</v>
      </c>
    </row>
    <row r="92" spans="1:30" s="147" customFormat="1" ht="18" customHeight="1" x14ac:dyDescent="0.2">
      <c r="A92" s="48"/>
      <c r="B92" s="48"/>
      <c r="C92" s="48"/>
      <c r="D92" s="48"/>
      <c r="E92" s="48"/>
      <c r="F92" s="48"/>
      <c r="G92" s="48"/>
      <c r="H92" s="48"/>
      <c r="I92" s="48"/>
      <c r="J92" s="148"/>
      <c r="K92" s="148"/>
      <c r="L92" s="48"/>
      <c r="M92" s="138"/>
      <c r="N92" s="158"/>
      <c r="Q92" s="124"/>
      <c r="R92" s="124"/>
      <c r="S92" s="443"/>
      <c r="T92" s="443"/>
      <c r="U92" s="150"/>
      <c r="AC92" s="99">
        <v>88062</v>
      </c>
      <c r="AD92" s="99">
        <f t="shared" si="5"/>
        <v>0</v>
      </c>
    </row>
    <row r="93" spans="1:30" s="147" customFormat="1" ht="18" customHeight="1" x14ac:dyDescent="0.2">
      <c r="A93" s="48"/>
      <c r="B93" s="48"/>
      <c r="C93" s="48"/>
      <c r="D93" s="48"/>
      <c r="E93" s="48"/>
      <c r="F93" s="48"/>
      <c r="G93" s="48"/>
      <c r="H93" s="48"/>
      <c r="I93" s="48"/>
      <c r="J93" s="148"/>
      <c r="K93" s="148"/>
      <c r="L93" s="48"/>
      <c r="M93" s="138"/>
      <c r="N93" s="158"/>
      <c r="Q93" s="124"/>
      <c r="R93" s="124"/>
      <c r="S93" s="443"/>
      <c r="T93" s="443"/>
      <c r="U93" s="150"/>
      <c r="AC93" s="99">
        <v>90040</v>
      </c>
      <c r="AD93" s="99">
        <f t="shared" ref="AD93:AD124" si="6">SUMIF($C$29:$C$60,AC93,$L$29:$L$60)</f>
        <v>0</v>
      </c>
    </row>
    <row r="94" spans="1:30" s="147" customFormat="1" ht="18" customHeight="1" x14ac:dyDescent="0.2">
      <c r="A94" s="48"/>
      <c r="B94" s="48"/>
      <c r="C94" s="48"/>
      <c r="D94" s="48"/>
      <c r="E94" s="48"/>
      <c r="F94" s="48"/>
      <c r="G94" s="48"/>
      <c r="H94" s="48"/>
      <c r="I94" s="48"/>
      <c r="J94" s="148"/>
      <c r="K94" s="148"/>
      <c r="L94" s="48"/>
      <c r="M94" s="138"/>
      <c r="N94" s="158"/>
      <c r="Q94" s="124"/>
      <c r="R94" s="124"/>
      <c r="S94" s="443"/>
      <c r="T94" s="443"/>
      <c r="U94" s="150"/>
      <c r="AC94" s="99">
        <v>91203</v>
      </c>
      <c r="AD94" s="99">
        <f t="shared" si="6"/>
        <v>0</v>
      </c>
    </row>
    <row r="95" spans="1:30" s="147" customFormat="1" ht="18" customHeight="1" x14ac:dyDescent="0.2">
      <c r="A95" s="48"/>
      <c r="B95" s="48"/>
      <c r="C95" s="48"/>
      <c r="D95" s="48"/>
      <c r="E95" s="48"/>
      <c r="F95" s="48"/>
      <c r="G95" s="48"/>
      <c r="H95" s="48"/>
      <c r="I95" s="48"/>
      <c r="J95" s="148"/>
      <c r="K95" s="148"/>
      <c r="L95" s="48"/>
      <c r="M95" s="138"/>
      <c r="N95" s="158"/>
      <c r="Q95" s="124"/>
      <c r="R95" s="124"/>
      <c r="S95" s="443"/>
      <c r="T95" s="443"/>
      <c r="U95" s="150"/>
      <c r="AC95" s="99">
        <v>91225</v>
      </c>
      <c r="AD95" s="99">
        <f t="shared" si="6"/>
        <v>0</v>
      </c>
    </row>
    <row r="96" spans="1:30" s="147" customFormat="1" ht="18" customHeight="1" x14ac:dyDescent="0.2">
      <c r="A96" s="48"/>
      <c r="B96" s="48"/>
      <c r="C96" s="48"/>
      <c r="D96" s="48"/>
      <c r="E96" s="48"/>
      <c r="F96" s="48"/>
      <c r="G96" s="48"/>
      <c r="H96" s="48"/>
      <c r="I96" s="48"/>
      <c r="J96" s="148"/>
      <c r="K96" s="148"/>
      <c r="L96" s="48"/>
      <c r="M96" s="138"/>
      <c r="N96" s="158"/>
      <c r="Q96" s="124"/>
      <c r="R96" s="124"/>
      <c r="S96" s="443"/>
      <c r="T96" s="443"/>
      <c r="U96" s="150"/>
      <c r="AC96" s="99">
        <v>91941</v>
      </c>
      <c r="AD96" s="99">
        <f t="shared" si="6"/>
        <v>0</v>
      </c>
    </row>
    <row r="97" spans="1:30" s="147" customFormat="1" ht="18" customHeight="1" x14ac:dyDescent="0.2">
      <c r="A97" s="48"/>
      <c r="B97" s="48"/>
      <c r="C97" s="48"/>
      <c r="D97" s="48"/>
      <c r="E97" s="48"/>
      <c r="F97" s="48"/>
      <c r="G97" s="48"/>
      <c r="H97" s="48"/>
      <c r="I97" s="48"/>
      <c r="J97" s="148"/>
      <c r="K97" s="148"/>
      <c r="L97" s="48"/>
      <c r="M97" s="138"/>
      <c r="N97" s="158"/>
      <c r="Q97" s="124"/>
      <c r="R97" s="124"/>
      <c r="S97" s="443"/>
      <c r="T97" s="443"/>
      <c r="U97" s="150"/>
      <c r="AC97" s="99">
        <v>92524</v>
      </c>
      <c r="AD97" s="99">
        <f t="shared" si="6"/>
        <v>0</v>
      </c>
    </row>
    <row r="98" spans="1:30" s="147" customFormat="1" ht="18" customHeight="1" x14ac:dyDescent="0.2">
      <c r="A98" s="48"/>
      <c r="B98" s="48"/>
      <c r="C98" s="48"/>
      <c r="D98" s="48"/>
      <c r="E98" s="48"/>
      <c r="F98" s="48"/>
      <c r="G98" s="48"/>
      <c r="H98" s="48"/>
      <c r="I98" s="48"/>
      <c r="J98" s="148"/>
      <c r="K98" s="148"/>
      <c r="L98" s="48"/>
      <c r="M98" s="138"/>
      <c r="N98" s="158"/>
      <c r="Q98" s="124"/>
      <c r="R98" s="124"/>
      <c r="S98" s="443"/>
      <c r="T98" s="443"/>
      <c r="U98" s="150"/>
      <c r="AC98" s="99">
        <v>92671</v>
      </c>
      <c r="AD98" s="99">
        <f t="shared" si="6"/>
        <v>0</v>
      </c>
    </row>
    <row r="99" spans="1:30" s="147" customFormat="1" ht="18" customHeight="1" x14ac:dyDescent="0.2">
      <c r="A99" s="48"/>
      <c r="B99" s="48"/>
      <c r="C99" s="48"/>
      <c r="D99" s="48"/>
      <c r="E99" s="48"/>
      <c r="F99" s="48"/>
      <c r="G99" s="48"/>
      <c r="H99" s="48"/>
      <c r="I99" s="48"/>
      <c r="J99" s="148"/>
      <c r="K99" s="148"/>
      <c r="L99" s="48"/>
      <c r="M99" s="138"/>
      <c r="N99" s="158"/>
      <c r="Q99" s="124"/>
      <c r="R99" s="124"/>
      <c r="S99" s="443"/>
      <c r="T99" s="443"/>
      <c r="U99" s="150"/>
      <c r="AC99" s="99">
        <v>92875</v>
      </c>
      <c r="AD99" s="99">
        <f t="shared" si="6"/>
        <v>0</v>
      </c>
    </row>
    <row r="100" spans="1:30" s="147" customFormat="1" ht="18" customHeight="1" x14ac:dyDescent="0.2">
      <c r="A100" s="48"/>
      <c r="B100" s="48"/>
      <c r="C100" s="48"/>
      <c r="D100" s="48"/>
      <c r="E100" s="48"/>
      <c r="F100" s="48"/>
      <c r="G100" s="48"/>
      <c r="H100" s="48"/>
      <c r="I100" s="48"/>
      <c r="J100" s="148"/>
      <c r="K100" s="148"/>
      <c r="L100" s="48"/>
      <c r="M100" s="138"/>
      <c r="N100" s="158"/>
      <c r="Q100" s="124"/>
      <c r="R100" s="124"/>
      <c r="S100" s="443"/>
      <c r="T100" s="443"/>
      <c r="U100" s="150"/>
      <c r="AC100" s="99">
        <v>92933</v>
      </c>
      <c r="AD100" s="99">
        <f t="shared" si="6"/>
        <v>0</v>
      </c>
    </row>
    <row r="101" spans="1:30" s="147" customFormat="1" ht="18" customHeight="1" x14ac:dyDescent="0.2">
      <c r="A101" s="48"/>
      <c r="B101" s="48"/>
      <c r="C101" s="48"/>
      <c r="D101" s="48"/>
      <c r="E101" s="48"/>
      <c r="F101" s="48"/>
      <c r="G101" s="48"/>
      <c r="H101" s="48"/>
      <c r="I101" s="48"/>
      <c r="J101" s="148"/>
      <c r="K101" s="148"/>
      <c r="L101" s="48"/>
      <c r="M101" s="138"/>
      <c r="N101" s="158"/>
      <c r="Q101" s="124"/>
      <c r="R101" s="124"/>
      <c r="S101" s="443"/>
      <c r="T101" s="443"/>
      <c r="U101" s="150"/>
      <c r="AC101" s="99">
        <v>94757</v>
      </c>
      <c r="AD101" s="99">
        <f t="shared" si="6"/>
        <v>0</v>
      </c>
    </row>
    <row r="102" spans="1:30" s="147" customFormat="1" ht="18" customHeight="1" x14ac:dyDescent="0.2">
      <c r="A102" s="48"/>
      <c r="B102" s="48"/>
      <c r="C102" s="48"/>
      <c r="D102" s="48"/>
      <c r="E102" s="48"/>
      <c r="F102" s="48"/>
      <c r="G102" s="48"/>
      <c r="H102" s="48"/>
      <c r="I102" s="48"/>
      <c r="J102" s="148"/>
      <c r="K102" s="148"/>
      <c r="L102" s="48"/>
      <c r="M102" s="138"/>
      <c r="N102" s="158"/>
      <c r="Q102" s="124"/>
      <c r="R102" s="124"/>
      <c r="S102" s="443"/>
      <c r="T102" s="443"/>
      <c r="U102" s="150"/>
      <c r="AC102" s="99">
        <v>95476</v>
      </c>
      <c r="AD102" s="99">
        <f t="shared" si="6"/>
        <v>0</v>
      </c>
    </row>
    <row r="103" spans="1:30" s="147" customFormat="1" ht="18" customHeight="1" x14ac:dyDescent="0.2">
      <c r="A103" s="48"/>
      <c r="B103" s="48"/>
      <c r="C103" s="48"/>
      <c r="D103" s="48"/>
      <c r="E103" s="48"/>
      <c r="F103" s="48"/>
      <c r="G103" s="48"/>
      <c r="H103" s="48"/>
      <c r="I103" s="48"/>
      <c r="J103" s="148"/>
      <c r="K103" s="148"/>
      <c r="L103" s="48"/>
      <c r="M103" s="138"/>
      <c r="N103" s="158"/>
      <c r="Q103" s="124"/>
      <c r="R103" s="124"/>
      <c r="S103" s="443"/>
      <c r="T103" s="443"/>
      <c r="U103" s="150"/>
      <c r="AC103" s="99">
        <v>95487</v>
      </c>
      <c r="AD103" s="99">
        <f t="shared" si="6"/>
        <v>0</v>
      </c>
    </row>
    <row r="104" spans="1:30" s="147" customFormat="1" ht="18" customHeight="1" x14ac:dyDescent="0.2">
      <c r="A104" s="48"/>
      <c r="B104" s="48"/>
      <c r="C104" s="48"/>
      <c r="D104" s="48"/>
      <c r="E104" s="48"/>
      <c r="F104" s="48"/>
      <c r="G104" s="48"/>
      <c r="H104" s="48"/>
      <c r="I104" s="48"/>
      <c r="J104" s="148"/>
      <c r="K104" s="148"/>
      <c r="L104" s="48"/>
      <c r="M104" s="138"/>
      <c r="N104" s="158"/>
      <c r="Q104" s="124"/>
      <c r="R104" s="124"/>
      <c r="S104" s="443"/>
      <c r="T104" s="443"/>
      <c r="U104" s="150"/>
      <c r="AC104" s="99">
        <v>95534</v>
      </c>
      <c r="AD104" s="99">
        <f t="shared" si="6"/>
        <v>0</v>
      </c>
    </row>
    <row r="105" spans="1:30" s="147" customFormat="1" ht="18" customHeight="1" x14ac:dyDescent="0.2">
      <c r="A105" s="48"/>
      <c r="B105" s="48"/>
      <c r="C105" s="48"/>
      <c r="D105" s="48"/>
      <c r="E105" s="48"/>
      <c r="F105" s="48"/>
      <c r="G105" s="48"/>
      <c r="H105" s="48"/>
      <c r="I105" s="48"/>
      <c r="J105" s="148"/>
      <c r="K105" s="148"/>
      <c r="L105" s="48"/>
      <c r="M105" s="138"/>
      <c r="N105" s="158"/>
      <c r="Q105" s="124"/>
      <c r="R105" s="124"/>
      <c r="S105" s="443"/>
      <c r="T105" s="443"/>
      <c r="U105" s="150"/>
      <c r="AC105" s="99">
        <v>95807</v>
      </c>
      <c r="AD105" s="99">
        <f t="shared" si="6"/>
        <v>0</v>
      </c>
    </row>
    <row r="106" spans="1:30" s="147" customFormat="1" ht="18" customHeight="1" x14ac:dyDescent="0.2">
      <c r="A106" s="48"/>
      <c r="B106" s="48"/>
      <c r="C106" s="48"/>
      <c r="D106" s="48"/>
      <c r="E106" s="48"/>
      <c r="F106" s="48"/>
      <c r="G106" s="48"/>
      <c r="H106" s="48"/>
      <c r="I106" s="48"/>
      <c r="J106" s="148"/>
      <c r="K106" s="148"/>
      <c r="L106" s="48"/>
      <c r="M106" s="138"/>
      <c r="N106" s="158"/>
      <c r="Q106" s="124"/>
      <c r="R106" s="124"/>
      <c r="S106" s="443"/>
      <c r="T106" s="443"/>
      <c r="U106" s="150"/>
      <c r="AC106" s="99">
        <v>95954</v>
      </c>
      <c r="AD106" s="99">
        <f t="shared" si="6"/>
        <v>0</v>
      </c>
    </row>
    <row r="107" spans="1:30" s="147" customFormat="1" ht="18" customHeight="1" x14ac:dyDescent="0.2">
      <c r="A107" s="48"/>
      <c r="B107" s="48"/>
      <c r="C107" s="48"/>
      <c r="D107" s="48"/>
      <c r="E107" s="48"/>
      <c r="F107" s="48"/>
      <c r="G107" s="48"/>
      <c r="H107" s="48"/>
      <c r="I107" s="48"/>
      <c r="J107" s="148"/>
      <c r="K107" s="148"/>
      <c r="L107" s="48"/>
      <c r="M107" s="138"/>
      <c r="N107" s="158"/>
      <c r="Q107" s="124"/>
      <c r="R107" s="124"/>
      <c r="S107" s="443"/>
      <c r="T107" s="443"/>
      <c r="U107" s="150"/>
      <c r="AC107" s="99">
        <v>96093</v>
      </c>
      <c r="AD107" s="99">
        <f t="shared" si="6"/>
        <v>0</v>
      </c>
    </row>
    <row r="108" spans="1:30" s="147" customFormat="1" ht="18" customHeight="1" x14ac:dyDescent="0.2">
      <c r="A108" s="48"/>
      <c r="B108" s="48"/>
      <c r="C108" s="48"/>
      <c r="D108" s="48"/>
      <c r="E108" s="48"/>
      <c r="F108" s="48"/>
      <c r="G108" s="48"/>
      <c r="H108" s="48"/>
      <c r="I108" s="48"/>
      <c r="J108" s="148"/>
      <c r="K108" s="148"/>
      <c r="L108" s="48"/>
      <c r="M108" s="138"/>
      <c r="N108" s="158"/>
      <c r="Q108" s="124"/>
      <c r="R108" s="124"/>
      <c r="S108" s="443"/>
      <c r="T108" s="443"/>
      <c r="U108" s="150"/>
      <c r="AC108" s="99">
        <v>96128</v>
      </c>
      <c r="AD108" s="99">
        <f t="shared" si="6"/>
        <v>0</v>
      </c>
    </row>
    <row r="109" spans="1:30" s="147" customFormat="1" ht="18" customHeight="1" x14ac:dyDescent="0.2">
      <c r="A109" s="48"/>
      <c r="B109" s="48"/>
      <c r="C109" s="48"/>
      <c r="D109" s="48"/>
      <c r="E109" s="48"/>
      <c r="F109" s="48"/>
      <c r="G109" s="48"/>
      <c r="H109" s="48"/>
      <c r="I109" s="48"/>
      <c r="J109" s="148"/>
      <c r="K109" s="148"/>
      <c r="L109" s="48"/>
      <c r="M109" s="138"/>
      <c r="N109" s="158"/>
      <c r="Q109" s="124"/>
      <c r="R109" s="124"/>
      <c r="S109" s="443"/>
      <c r="T109" s="443"/>
      <c r="U109" s="150"/>
      <c r="AC109" s="99">
        <v>96457</v>
      </c>
      <c r="AD109" s="99">
        <f t="shared" si="6"/>
        <v>0</v>
      </c>
    </row>
    <row r="110" spans="1:30" s="147" customFormat="1" ht="18" customHeight="1" x14ac:dyDescent="0.2">
      <c r="A110" s="48"/>
      <c r="B110" s="48"/>
      <c r="C110" s="48"/>
      <c r="D110" s="48"/>
      <c r="E110" s="48"/>
      <c r="F110" s="48"/>
      <c r="G110" s="48"/>
      <c r="H110" s="48"/>
      <c r="I110" s="48"/>
      <c r="J110" s="148"/>
      <c r="K110" s="148"/>
      <c r="L110" s="48"/>
      <c r="M110" s="138"/>
      <c r="N110" s="158"/>
      <c r="Q110" s="124"/>
      <c r="R110" s="124"/>
      <c r="S110" s="443"/>
      <c r="T110" s="443"/>
      <c r="U110" s="150"/>
      <c r="AC110" s="99">
        <v>98077</v>
      </c>
      <c r="AD110" s="99">
        <f t="shared" si="6"/>
        <v>0</v>
      </c>
    </row>
    <row r="111" spans="1:30" s="147" customFormat="1" ht="18" customHeight="1" x14ac:dyDescent="0.2">
      <c r="A111" s="48"/>
      <c r="B111" s="48"/>
      <c r="C111" s="48"/>
      <c r="D111" s="48"/>
      <c r="E111" s="48"/>
      <c r="F111" s="48"/>
      <c r="G111" s="48"/>
      <c r="H111" s="48"/>
      <c r="I111" s="48"/>
      <c r="J111" s="148"/>
      <c r="K111" s="148"/>
      <c r="L111" s="48"/>
      <c r="M111" s="138"/>
      <c r="N111" s="158"/>
      <c r="Q111" s="124"/>
      <c r="R111" s="124"/>
      <c r="S111" s="443"/>
      <c r="T111" s="443"/>
      <c r="U111" s="150"/>
      <c r="AC111" s="99">
        <v>98828</v>
      </c>
      <c r="AD111" s="99">
        <f t="shared" si="6"/>
        <v>0</v>
      </c>
    </row>
    <row r="112" spans="1:30" s="147" customFormat="1" ht="18" customHeight="1" x14ac:dyDescent="0.2">
      <c r="A112" s="48"/>
      <c r="B112" s="48"/>
      <c r="C112" s="48"/>
      <c r="D112" s="48"/>
      <c r="E112" s="48"/>
      <c r="F112" s="48"/>
      <c r="G112" s="48"/>
      <c r="H112" s="48"/>
      <c r="I112" s="48"/>
      <c r="J112" s="148"/>
      <c r="K112" s="148"/>
      <c r="L112" s="48"/>
      <c r="M112" s="138"/>
      <c r="N112" s="158"/>
      <c r="Q112" s="124"/>
      <c r="R112" s="124"/>
      <c r="S112" s="443"/>
      <c r="T112" s="443"/>
      <c r="U112" s="150"/>
      <c r="AC112" s="99">
        <v>98862</v>
      </c>
      <c r="AD112" s="99">
        <f t="shared" si="6"/>
        <v>0</v>
      </c>
    </row>
    <row r="113" spans="1:30" s="147" customFormat="1" ht="18" customHeight="1" x14ac:dyDescent="0.2">
      <c r="A113" s="48"/>
      <c r="B113" s="48"/>
      <c r="C113" s="48"/>
      <c r="D113" s="48"/>
      <c r="E113" s="48"/>
      <c r="F113" s="48"/>
      <c r="G113" s="48"/>
      <c r="H113" s="48"/>
      <c r="I113" s="48"/>
      <c r="J113" s="148"/>
      <c r="K113" s="148"/>
      <c r="L113" s="48"/>
      <c r="M113" s="138"/>
      <c r="N113" s="158"/>
      <c r="Q113" s="124"/>
      <c r="R113" s="124"/>
      <c r="S113" s="443"/>
      <c r="T113" s="443"/>
      <c r="U113" s="150"/>
      <c r="AC113" s="99">
        <v>98953</v>
      </c>
      <c r="AD113" s="99">
        <f t="shared" si="6"/>
        <v>0</v>
      </c>
    </row>
    <row r="114" spans="1:30" s="147" customFormat="1" ht="18" customHeight="1" x14ac:dyDescent="0.2">
      <c r="A114" s="48"/>
      <c r="B114" s="48"/>
      <c r="C114" s="48"/>
      <c r="D114" s="48"/>
      <c r="E114" s="48"/>
      <c r="F114" s="48"/>
      <c r="G114" s="48"/>
      <c r="H114" s="48"/>
      <c r="I114" s="48"/>
      <c r="J114" s="148"/>
      <c r="K114" s="148"/>
      <c r="L114" s="48"/>
      <c r="M114" s="138"/>
      <c r="N114" s="158"/>
      <c r="Q114" s="124"/>
      <c r="R114" s="124"/>
      <c r="S114" s="443"/>
      <c r="T114" s="443"/>
      <c r="U114" s="150"/>
      <c r="AC114" s="99">
        <v>100027</v>
      </c>
      <c r="AD114" s="99">
        <f t="shared" si="6"/>
        <v>0</v>
      </c>
    </row>
    <row r="115" spans="1:30" s="147" customFormat="1" ht="18" customHeight="1" x14ac:dyDescent="0.2">
      <c r="A115" s="48"/>
      <c r="B115" s="48"/>
      <c r="C115" s="48"/>
      <c r="D115" s="48"/>
      <c r="E115" s="48"/>
      <c r="F115" s="48"/>
      <c r="G115" s="48"/>
      <c r="H115" s="48"/>
      <c r="I115" s="48"/>
      <c r="J115" s="148"/>
      <c r="K115" s="148"/>
      <c r="L115" s="48"/>
      <c r="M115" s="138"/>
      <c r="N115" s="158"/>
      <c r="Q115" s="124"/>
      <c r="R115" s="124"/>
      <c r="S115" s="443"/>
      <c r="T115" s="443"/>
      <c r="U115" s="150"/>
      <c r="AC115" s="99">
        <v>100414</v>
      </c>
      <c r="AD115" s="99">
        <f t="shared" si="6"/>
        <v>0</v>
      </c>
    </row>
    <row r="116" spans="1:30" s="147" customFormat="1" ht="18" customHeight="1" x14ac:dyDescent="0.2">
      <c r="A116" s="48"/>
      <c r="B116" s="48"/>
      <c r="C116" s="48"/>
      <c r="D116" s="48"/>
      <c r="E116" s="48"/>
      <c r="F116" s="48"/>
      <c r="G116" s="48"/>
      <c r="H116" s="48"/>
      <c r="I116" s="48"/>
      <c r="J116" s="148"/>
      <c r="K116" s="148"/>
      <c r="L116" s="48"/>
      <c r="M116" s="138"/>
      <c r="N116" s="158"/>
      <c r="Q116" s="124"/>
      <c r="R116" s="124"/>
      <c r="S116" s="443"/>
      <c r="T116" s="443"/>
      <c r="U116" s="150"/>
      <c r="AC116" s="99">
        <v>100425</v>
      </c>
      <c r="AD116" s="99">
        <f t="shared" si="6"/>
        <v>0</v>
      </c>
    </row>
    <row r="117" spans="1:30" s="147" customFormat="1" ht="18" customHeight="1" x14ac:dyDescent="0.2">
      <c r="A117" s="48"/>
      <c r="B117" s="48"/>
      <c r="C117" s="48"/>
      <c r="D117" s="48"/>
      <c r="E117" s="48"/>
      <c r="F117" s="48"/>
      <c r="G117" s="48"/>
      <c r="H117" s="48"/>
      <c r="I117" s="48"/>
      <c r="J117" s="148"/>
      <c r="K117" s="148"/>
      <c r="L117" s="48"/>
      <c r="M117" s="138"/>
      <c r="N117" s="158"/>
      <c r="Q117" s="124"/>
      <c r="R117" s="124"/>
      <c r="S117" s="443"/>
      <c r="T117" s="443"/>
      <c r="U117" s="150"/>
      <c r="AC117" s="99">
        <v>100447</v>
      </c>
      <c r="AD117" s="99">
        <f t="shared" si="6"/>
        <v>0</v>
      </c>
    </row>
    <row r="118" spans="1:30" s="147" customFormat="1" ht="18" customHeight="1" x14ac:dyDescent="0.2">
      <c r="A118" s="48"/>
      <c r="B118" s="48"/>
      <c r="C118" s="48"/>
      <c r="D118" s="48"/>
      <c r="E118" s="48"/>
      <c r="F118" s="48"/>
      <c r="G118" s="48"/>
      <c r="H118" s="48"/>
      <c r="I118" s="48"/>
      <c r="J118" s="148"/>
      <c r="K118" s="148"/>
      <c r="L118" s="48"/>
      <c r="M118" s="138"/>
      <c r="N118" s="158"/>
      <c r="Q118" s="124"/>
      <c r="R118" s="124"/>
      <c r="S118" s="443"/>
      <c r="T118" s="443"/>
      <c r="U118" s="150"/>
      <c r="AC118" s="99">
        <v>101144</v>
      </c>
      <c r="AD118" s="99">
        <f t="shared" si="6"/>
        <v>0</v>
      </c>
    </row>
    <row r="119" spans="1:30" s="147" customFormat="1" ht="18" customHeight="1" x14ac:dyDescent="0.2">
      <c r="A119" s="48"/>
      <c r="B119" s="48"/>
      <c r="C119" s="48"/>
      <c r="D119" s="48"/>
      <c r="E119" s="48"/>
      <c r="F119" s="48"/>
      <c r="G119" s="48"/>
      <c r="H119" s="48"/>
      <c r="I119" s="48"/>
      <c r="J119" s="148"/>
      <c r="K119" s="148"/>
      <c r="L119" s="48"/>
      <c r="M119" s="138"/>
      <c r="N119" s="158"/>
      <c r="Q119" s="124"/>
      <c r="R119" s="124"/>
      <c r="S119" s="443"/>
      <c r="T119" s="443"/>
      <c r="U119" s="150"/>
      <c r="AC119" s="99">
        <v>101688</v>
      </c>
      <c r="AD119" s="99">
        <f t="shared" si="6"/>
        <v>0</v>
      </c>
    </row>
    <row r="120" spans="1:30" s="147" customFormat="1" ht="18" customHeight="1" x14ac:dyDescent="0.2">
      <c r="A120" s="48"/>
      <c r="B120" s="48"/>
      <c r="C120" s="48"/>
      <c r="D120" s="48"/>
      <c r="E120" s="48"/>
      <c r="F120" s="48"/>
      <c r="G120" s="48"/>
      <c r="H120" s="48"/>
      <c r="I120" s="48"/>
      <c r="J120" s="148"/>
      <c r="K120" s="148"/>
      <c r="L120" s="48"/>
      <c r="M120" s="138"/>
      <c r="N120" s="158"/>
      <c r="Q120" s="124"/>
      <c r="R120" s="124"/>
      <c r="S120" s="443"/>
      <c r="T120" s="443"/>
      <c r="U120" s="150"/>
      <c r="AC120" s="99">
        <v>101779</v>
      </c>
      <c r="AD120" s="99">
        <f t="shared" si="6"/>
        <v>0</v>
      </c>
    </row>
    <row r="121" spans="1:30" s="147" customFormat="1" ht="18" customHeight="1" x14ac:dyDescent="0.2">
      <c r="A121" s="48"/>
      <c r="B121" s="48"/>
      <c r="C121" s="48"/>
      <c r="D121" s="48"/>
      <c r="E121" s="48"/>
      <c r="F121" s="48"/>
      <c r="G121" s="48"/>
      <c r="H121" s="48"/>
      <c r="I121" s="48"/>
      <c r="J121" s="148"/>
      <c r="K121" s="148"/>
      <c r="L121" s="48"/>
      <c r="M121" s="138"/>
      <c r="N121" s="158"/>
      <c r="Q121" s="124"/>
      <c r="R121" s="124"/>
      <c r="S121" s="443"/>
      <c r="T121" s="443"/>
      <c r="U121" s="150"/>
      <c r="AC121" s="99">
        <v>106423</v>
      </c>
      <c r="AD121" s="99">
        <f t="shared" si="6"/>
        <v>0</v>
      </c>
    </row>
    <row r="122" spans="1:30" s="147" customFormat="1" ht="18" customHeight="1" x14ac:dyDescent="0.2">
      <c r="A122" s="48"/>
      <c r="B122" s="48"/>
      <c r="C122" s="48"/>
      <c r="D122" s="48"/>
      <c r="E122" s="48"/>
      <c r="F122" s="48"/>
      <c r="G122" s="48"/>
      <c r="H122" s="48"/>
      <c r="I122" s="48"/>
      <c r="J122" s="148"/>
      <c r="K122" s="148"/>
      <c r="L122" s="48"/>
      <c r="M122" s="138"/>
      <c r="N122" s="158"/>
      <c r="Q122" s="124"/>
      <c r="R122" s="124"/>
      <c r="S122" s="443"/>
      <c r="T122" s="443"/>
      <c r="U122" s="150"/>
      <c r="AC122" s="99">
        <v>106445</v>
      </c>
      <c r="AD122" s="99">
        <f t="shared" si="6"/>
        <v>0</v>
      </c>
    </row>
    <row r="123" spans="1:30" s="147" customFormat="1" ht="18" customHeight="1" x14ac:dyDescent="0.2">
      <c r="A123" s="48"/>
      <c r="B123" s="48"/>
      <c r="C123" s="48"/>
      <c r="D123" s="48"/>
      <c r="E123" s="48"/>
      <c r="F123" s="48"/>
      <c r="G123" s="48"/>
      <c r="H123" s="48"/>
      <c r="I123" s="48"/>
      <c r="J123" s="148"/>
      <c r="K123" s="148"/>
      <c r="L123" s="48"/>
      <c r="M123" s="138"/>
      <c r="N123" s="158"/>
      <c r="Q123" s="124"/>
      <c r="R123" s="124"/>
      <c r="S123" s="443"/>
      <c r="T123" s="443"/>
      <c r="U123" s="150"/>
      <c r="AC123" s="99">
        <v>106467</v>
      </c>
      <c r="AD123" s="99">
        <f t="shared" si="6"/>
        <v>0</v>
      </c>
    </row>
    <row r="124" spans="1:30" s="147" customFormat="1" ht="18" customHeight="1" x14ac:dyDescent="0.2">
      <c r="A124" s="48"/>
      <c r="B124" s="48"/>
      <c r="C124" s="48"/>
      <c r="D124" s="48"/>
      <c r="E124" s="48"/>
      <c r="F124" s="48"/>
      <c r="G124" s="48"/>
      <c r="H124" s="48"/>
      <c r="I124" s="48"/>
      <c r="J124" s="148"/>
      <c r="K124" s="148"/>
      <c r="L124" s="48"/>
      <c r="M124" s="138"/>
      <c r="N124" s="158"/>
      <c r="Q124" s="124"/>
      <c r="R124" s="124"/>
      <c r="S124" s="443"/>
      <c r="T124" s="443"/>
      <c r="U124" s="150"/>
      <c r="AC124" s="99">
        <v>106503</v>
      </c>
      <c r="AD124" s="99">
        <f t="shared" si="6"/>
        <v>0</v>
      </c>
    </row>
    <row r="125" spans="1:30" s="147" customFormat="1" ht="18" customHeight="1" x14ac:dyDescent="0.2">
      <c r="A125" s="48"/>
      <c r="B125" s="48"/>
      <c r="C125" s="48"/>
      <c r="D125" s="48"/>
      <c r="E125" s="48"/>
      <c r="F125" s="48"/>
      <c r="G125" s="48"/>
      <c r="H125" s="48"/>
      <c r="I125" s="48"/>
      <c r="J125" s="148"/>
      <c r="K125" s="148"/>
      <c r="L125" s="48"/>
      <c r="M125" s="138"/>
      <c r="N125" s="158"/>
      <c r="Q125" s="124"/>
      <c r="R125" s="124"/>
      <c r="S125" s="443"/>
      <c r="T125" s="443"/>
      <c r="U125" s="150"/>
      <c r="AC125" s="99">
        <v>106514</v>
      </c>
      <c r="AD125" s="99">
        <f t="shared" ref="AD125:AD156" si="7">SUMIF($C$29:$C$60,AC125,$L$29:$L$60)</f>
        <v>0</v>
      </c>
    </row>
    <row r="126" spans="1:30" s="147" customFormat="1" ht="18" customHeight="1" x14ac:dyDescent="0.2">
      <c r="A126" s="48"/>
      <c r="B126" s="48"/>
      <c r="C126" s="48"/>
      <c r="D126" s="48"/>
      <c r="E126" s="48"/>
      <c r="F126" s="48"/>
      <c r="G126" s="48"/>
      <c r="H126" s="48"/>
      <c r="I126" s="48"/>
      <c r="J126" s="148"/>
      <c r="K126" s="148"/>
      <c r="L126" s="48"/>
      <c r="M126" s="138"/>
      <c r="N126" s="158"/>
      <c r="Q126" s="124"/>
      <c r="R126" s="124"/>
      <c r="S126" s="443"/>
      <c r="T126" s="443"/>
      <c r="U126" s="150"/>
      <c r="AC126" s="99">
        <v>106887</v>
      </c>
      <c r="AD126" s="99">
        <f t="shared" si="7"/>
        <v>0</v>
      </c>
    </row>
    <row r="127" spans="1:30" s="147" customFormat="1" ht="18" customHeight="1" x14ac:dyDescent="0.2">
      <c r="A127" s="48"/>
      <c r="B127" s="48"/>
      <c r="C127" s="48"/>
      <c r="D127" s="48"/>
      <c r="E127" s="48"/>
      <c r="F127" s="48"/>
      <c r="G127" s="48"/>
      <c r="H127" s="48"/>
      <c r="I127" s="48"/>
      <c r="J127" s="148"/>
      <c r="K127" s="148"/>
      <c r="L127" s="48"/>
      <c r="M127" s="138"/>
      <c r="N127" s="158"/>
      <c r="Q127" s="124"/>
      <c r="R127" s="124"/>
      <c r="S127" s="443"/>
      <c r="T127" s="443"/>
      <c r="U127" s="150"/>
      <c r="AC127" s="99">
        <v>106898</v>
      </c>
      <c r="AD127" s="99">
        <f t="shared" si="7"/>
        <v>0</v>
      </c>
    </row>
    <row r="128" spans="1:30" s="147" customFormat="1" ht="18" customHeight="1" x14ac:dyDescent="0.2">
      <c r="A128" s="48"/>
      <c r="B128" s="48"/>
      <c r="C128" s="48"/>
      <c r="D128" s="48"/>
      <c r="E128" s="48"/>
      <c r="F128" s="48"/>
      <c r="G128" s="48"/>
      <c r="H128" s="48"/>
      <c r="I128" s="48"/>
      <c r="J128" s="148"/>
      <c r="K128" s="148"/>
      <c r="L128" s="48"/>
      <c r="M128" s="138"/>
      <c r="N128" s="158"/>
      <c r="Q128" s="124"/>
      <c r="R128" s="124"/>
      <c r="S128" s="443"/>
      <c r="T128" s="443"/>
      <c r="U128" s="150"/>
      <c r="AC128" s="99">
        <v>106934</v>
      </c>
      <c r="AD128" s="99">
        <f t="shared" si="7"/>
        <v>0</v>
      </c>
    </row>
    <row r="129" spans="1:30" s="147" customFormat="1" ht="18" customHeight="1" x14ac:dyDescent="0.2">
      <c r="A129" s="48"/>
      <c r="B129" s="48"/>
      <c r="C129" s="48"/>
      <c r="D129" s="48"/>
      <c r="E129" s="48"/>
      <c r="F129" s="48"/>
      <c r="G129" s="48"/>
      <c r="H129" s="48"/>
      <c r="I129" s="48"/>
      <c r="J129" s="148"/>
      <c r="K129" s="148"/>
      <c r="L129" s="48"/>
      <c r="M129" s="138"/>
      <c r="N129" s="158"/>
      <c r="Q129" s="124"/>
      <c r="R129" s="124"/>
      <c r="S129" s="443"/>
      <c r="T129" s="443"/>
      <c r="U129" s="150"/>
      <c r="AC129" s="99">
        <v>106990</v>
      </c>
      <c r="AD129" s="99">
        <f t="shared" si="7"/>
        <v>0</v>
      </c>
    </row>
    <row r="130" spans="1:30" s="147" customFormat="1" ht="18" customHeight="1" x14ac:dyDescent="0.2">
      <c r="A130" s="48"/>
      <c r="B130" s="48"/>
      <c r="C130" s="48"/>
      <c r="D130" s="48"/>
      <c r="E130" s="48"/>
      <c r="F130" s="48"/>
      <c r="G130" s="48"/>
      <c r="H130" s="48"/>
      <c r="I130" s="48"/>
      <c r="J130" s="148"/>
      <c r="K130" s="148"/>
      <c r="L130" s="48"/>
      <c r="M130" s="138"/>
      <c r="N130" s="158"/>
      <c r="Q130" s="124"/>
      <c r="R130" s="124"/>
      <c r="S130" s="443"/>
      <c r="T130" s="443"/>
      <c r="U130" s="150"/>
      <c r="AC130" s="99">
        <v>107028</v>
      </c>
      <c r="AD130" s="99">
        <f t="shared" si="7"/>
        <v>0</v>
      </c>
    </row>
    <row r="131" spans="1:30" s="147" customFormat="1" ht="18" customHeight="1" x14ac:dyDescent="0.2">
      <c r="A131" s="48"/>
      <c r="B131" s="48"/>
      <c r="C131" s="48"/>
      <c r="D131" s="48"/>
      <c r="E131" s="48"/>
      <c r="F131" s="48"/>
      <c r="G131" s="48"/>
      <c r="H131" s="48"/>
      <c r="I131" s="48"/>
      <c r="J131" s="148"/>
      <c r="K131" s="148"/>
      <c r="L131" s="48"/>
      <c r="M131" s="138"/>
      <c r="N131" s="158"/>
      <c r="Q131" s="124"/>
      <c r="R131" s="124"/>
      <c r="S131" s="443"/>
      <c r="T131" s="443"/>
      <c r="U131" s="150"/>
      <c r="AC131" s="99">
        <v>107051</v>
      </c>
      <c r="AD131" s="99">
        <f t="shared" si="7"/>
        <v>0</v>
      </c>
    </row>
    <row r="132" spans="1:30" s="147" customFormat="1" ht="18" customHeight="1" x14ac:dyDescent="0.2">
      <c r="A132" s="48"/>
      <c r="B132" s="48"/>
      <c r="C132" s="48"/>
      <c r="D132" s="48"/>
      <c r="E132" s="48"/>
      <c r="F132" s="48"/>
      <c r="G132" s="48"/>
      <c r="H132" s="48"/>
      <c r="I132" s="48"/>
      <c r="J132" s="148"/>
      <c r="K132" s="148"/>
      <c r="L132" s="48"/>
      <c r="M132" s="138"/>
      <c r="N132" s="158"/>
      <c r="Q132" s="124"/>
      <c r="R132" s="124"/>
      <c r="S132" s="443"/>
      <c r="T132" s="443"/>
      <c r="U132" s="150"/>
      <c r="AC132" s="99">
        <v>107062</v>
      </c>
      <c r="AD132" s="99">
        <f t="shared" si="7"/>
        <v>0</v>
      </c>
    </row>
    <row r="133" spans="1:30" s="147" customFormat="1" ht="18" customHeight="1" x14ac:dyDescent="0.2">
      <c r="A133" s="48"/>
      <c r="B133" s="48"/>
      <c r="C133" s="48"/>
      <c r="D133" s="48"/>
      <c r="E133" s="48"/>
      <c r="F133" s="48"/>
      <c r="G133" s="48"/>
      <c r="H133" s="48"/>
      <c r="I133" s="48"/>
      <c r="J133" s="148"/>
      <c r="K133" s="148"/>
      <c r="L133" s="48"/>
      <c r="M133" s="138"/>
      <c r="N133" s="158"/>
      <c r="Q133" s="124"/>
      <c r="R133" s="124"/>
      <c r="S133" s="443"/>
      <c r="T133" s="443"/>
      <c r="U133" s="150"/>
      <c r="AC133" s="99">
        <v>107131</v>
      </c>
      <c r="AD133" s="99">
        <f t="shared" si="7"/>
        <v>0</v>
      </c>
    </row>
    <row r="134" spans="1:30" s="147" customFormat="1" ht="18" customHeight="1" x14ac:dyDescent="0.2">
      <c r="A134" s="48"/>
      <c r="B134" s="48"/>
      <c r="C134" s="48"/>
      <c r="D134" s="48"/>
      <c r="E134" s="48"/>
      <c r="F134" s="48"/>
      <c r="G134" s="48"/>
      <c r="H134" s="48"/>
      <c r="I134" s="48"/>
      <c r="J134" s="148"/>
      <c r="K134" s="148"/>
      <c r="L134" s="48"/>
      <c r="M134" s="138"/>
      <c r="N134" s="158"/>
      <c r="Q134" s="124"/>
      <c r="R134" s="124"/>
      <c r="S134" s="443"/>
      <c r="T134" s="443"/>
      <c r="U134" s="150"/>
      <c r="AC134" s="99">
        <v>107211</v>
      </c>
      <c r="AD134" s="99">
        <f t="shared" si="7"/>
        <v>0</v>
      </c>
    </row>
    <row r="135" spans="1:30" s="147" customFormat="1" ht="18" customHeight="1" x14ac:dyDescent="0.2">
      <c r="A135" s="48"/>
      <c r="B135" s="48"/>
      <c r="C135" s="48"/>
      <c r="D135" s="48"/>
      <c r="E135" s="48"/>
      <c r="F135" s="48"/>
      <c r="G135" s="48"/>
      <c r="H135" s="48"/>
      <c r="I135" s="48"/>
      <c r="J135" s="148"/>
      <c r="K135" s="148"/>
      <c r="L135" s="48"/>
      <c r="M135" s="138"/>
      <c r="N135" s="158"/>
      <c r="Q135" s="124"/>
      <c r="R135" s="124"/>
      <c r="S135" s="443"/>
      <c r="T135" s="443"/>
      <c r="U135" s="150"/>
      <c r="AC135" s="99">
        <v>107302</v>
      </c>
      <c r="AD135" s="99">
        <f t="shared" si="7"/>
        <v>0</v>
      </c>
    </row>
    <row r="136" spans="1:30" s="147" customFormat="1" ht="18" customHeight="1" x14ac:dyDescent="0.2">
      <c r="A136" s="48"/>
      <c r="B136" s="48"/>
      <c r="C136" s="48"/>
      <c r="D136" s="48"/>
      <c r="E136" s="48"/>
      <c r="F136" s="48"/>
      <c r="G136" s="48"/>
      <c r="H136" s="48"/>
      <c r="I136" s="48"/>
      <c r="J136" s="148"/>
      <c r="K136" s="148"/>
      <c r="L136" s="48"/>
      <c r="M136" s="138"/>
      <c r="N136" s="158"/>
      <c r="Q136" s="124"/>
      <c r="R136" s="124"/>
      <c r="S136" s="443"/>
      <c r="T136" s="443"/>
      <c r="U136" s="150"/>
      <c r="AC136" s="99">
        <v>108054</v>
      </c>
      <c r="AD136" s="99">
        <f t="shared" si="7"/>
        <v>0</v>
      </c>
    </row>
    <row r="137" spans="1:30" s="147" customFormat="1" ht="18" customHeight="1" x14ac:dyDescent="0.2">
      <c r="A137" s="48"/>
      <c r="B137" s="48"/>
      <c r="C137" s="48"/>
      <c r="D137" s="48"/>
      <c r="E137" s="48"/>
      <c r="F137" s="48"/>
      <c r="G137" s="48"/>
      <c r="H137" s="48"/>
      <c r="I137" s="48"/>
      <c r="J137" s="148"/>
      <c r="K137" s="148"/>
      <c r="L137" s="48"/>
      <c r="M137" s="138"/>
      <c r="N137" s="158"/>
      <c r="Q137" s="124"/>
      <c r="R137" s="124"/>
      <c r="S137" s="443"/>
      <c r="T137" s="443"/>
      <c r="U137" s="150"/>
      <c r="AC137" s="99">
        <v>108101</v>
      </c>
      <c r="AD137" s="99">
        <f t="shared" si="7"/>
        <v>0</v>
      </c>
    </row>
    <row r="138" spans="1:30" s="147" customFormat="1" ht="18" customHeight="1" x14ac:dyDescent="0.2">
      <c r="A138" s="48"/>
      <c r="B138" s="48"/>
      <c r="C138" s="48"/>
      <c r="D138" s="48"/>
      <c r="E138" s="48"/>
      <c r="F138" s="48"/>
      <c r="G138" s="48"/>
      <c r="H138" s="48"/>
      <c r="I138" s="48"/>
      <c r="J138" s="148"/>
      <c r="K138" s="148"/>
      <c r="L138" s="48"/>
      <c r="M138" s="138"/>
      <c r="N138" s="158"/>
      <c r="Q138" s="124"/>
      <c r="R138" s="124"/>
      <c r="S138" s="443"/>
      <c r="T138" s="443"/>
      <c r="U138" s="150"/>
      <c r="AC138" s="99">
        <v>108316</v>
      </c>
      <c r="AD138" s="99">
        <f t="shared" si="7"/>
        <v>0</v>
      </c>
    </row>
    <row r="139" spans="1:30" s="147" customFormat="1" ht="18" customHeight="1" x14ac:dyDescent="0.2">
      <c r="A139" s="48"/>
      <c r="B139" s="48"/>
      <c r="C139" s="48"/>
      <c r="D139" s="48"/>
      <c r="E139" s="48"/>
      <c r="F139" s="48"/>
      <c r="G139" s="48"/>
      <c r="H139" s="48"/>
      <c r="I139" s="48"/>
      <c r="J139" s="148"/>
      <c r="K139" s="148"/>
      <c r="L139" s="48"/>
      <c r="M139" s="138"/>
      <c r="N139" s="158"/>
      <c r="Q139" s="124"/>
      <c r="R139" s="124"/>
      <c r="S139" s="443"/>
      <c r="T139" s="443"/>
      <c r="U139" s="150"/>
      <c r="AC139" s="99">
        <v>108383</v>
      </c>
      <c r="AD139" s="99">
        <f t="shared" si="7"/>
        <v>0</v>
      </c>
    </row>
    <row r="140" spans="1:30" s="147" customFormat="1" ht="18" customHeight="1" x14ac:dyDescent="0.2">
      <c r="A140" s="48"/>
      <c r="B140" s="48"/>
      <c r="C140" s="48"/>
      <c r="D140" s="48"/>
      <c r="E140" s="48"/>
      <c r="F140" s="48"/>
      <c r="G140" s="48"/>
      <c r="H140" s="48"/>
      <c r="I140" s="48"/>
      <c r="J140" s="148"/>
      <c r="K140" s="148"/>
      <c r="L140" s="48"/>
      <c r="M140" s="138"/>
      <c r="N140" s="158"/>
      <c r="Q140" s="124"/>
      <c r="R140" s="124"/>
      <c r="S140" s="443"/>
      <c r="T140" s="443"/>
      <c r="U140" s="150"/>
      <c r="AC140" s="99">
        <v>108394</v>
      </c>
      <c r="AD140" s="99">
        <f t="shared" si="7"/>
        <v>0</v>
      </c>
    </row>
    <row r="141" spans="1:30" s="147" customFormat="1" ht="18" customHeight="1" x14ac:dyDescent="0.2">
      <c r="A141" s="48"/>
      <c r="B141" s="48"/>
      <c r="C141" s="48"/>
      <c r="D141" s="48"/>
      <c r="E141" s="48"/>
      <c r="F141" s="48"/>
      <c r="G141" s="48"/>
      <c r="H141" s="48"/>
      <c r="I141" s="48"/>
      <c r="J141" s="148"/>
      <c r="K141" s="148"/>
      <c r="L141" s="48"/>
      <c r="M141" s="138"/>
      <c r="N141" s="158"/>
      <c r="Q141" s="124"/>
      <c r="R141" s="124"/>
      <c r="S141" s="443"/>
      <c r="T141" s="443"/>
      <c r="U141" s="150"/>
      <c r="AC141" s="99">
        <v>108883</v>
      </c>
      <c r="AD141" s="99">
        <f t="shared" si="7"/>
        <v>0</v>
      </c>
    </row>
    <row r="142" spans="1:30" s="147" customFormat="1" ht="18" customHeight="1" x14ac:dyDescent="0.2">
      <c r="A142" s="48"/>
      <c r="B142" s="48"/>
      <c r="C142" s="48"/>
      <c r="D142" s="48"/>
      <c r="E142" s="48"/>
      <c r="F142" s="48"/>
      <c r="G142" s="48"/>
      <c r="H142" s="48"/>
      <c r="I142" s="48"/>
      <c r="J142" s="148"/>
      <c r="K142" s="148"/>
      <c r="L142" s="48"/>
      <c r="M142" s="138"/>
      <c r="N142" s="158"/>
      <c r="Q142" s="124"/>
      <c r="R142" s="124"/>
      <c r="S142" s="443"/>
      <c r="T142" s="443"/>
      <c r="U142" s="150"/>
      <c r="AC142" s="99">
        <v>108907</v>
      </c>
      <c r="AD142" s="99">
        <f t="shared" si="7"/>
        <v>0</v>
      </c>
    </row>
    <row r="143" spans="1:30" s="147" customFormat="1" ht="18" customHeight="1" x14ac:dyDescent="0.2">
      <c r="A143" s="48"/>
      <c r="B143" s="48"/>
      <c r="C143" s="48"/>
      <c r="D143" s="48"/>
      <c r="E143" s="48"/>
      <c r="F143" s="48"/>
      <c r="G143" s="48"/>
      <c r="H143" s="48"/>
      <c r="I143" s="48"/>
      <c r="J143" s="148"/>
      <c r="K143" s="148"/>
      <c r="L143" s="48"/>
      <c r="M143" s="138"/>
      <c r="N143" s="158"/>
      <c r="Q143" s="124"/>
      <c r="R143" s="124"/>
      <c r="S143" s="443"/>
      <c r="T143" s="443"/>
      <c r="U143" s="150"/>
      <c r="AC143" s="99">
        <v>108952</v>
      </c>
      <c r="AD143" s="99">
        <f t="shared" si="7"/>
        <v>0</v>
      </c>
    </row>
    <row r="144" spans="1:30" s="147" customFormat="1" ht="18" customHeight="1" x14ac:dyDescent="0.2">
      <c r="A144" s="48"/>
      <c r="B144" s="48"/>
      <c r="C144" s="48"/>
      <c r="D144" s="48"/>
      <c r="E144" s="48"/>
      <c r="F144" s="48"/>
      <c r="G144" s="48"/>
      <c r="H144" s="48"/>
      <c r="I144" s="48"/>
      <c r="J144" s="148"/>
      <c r="K144" s="148"/>
      <c r="L144" s="48"/>
      <c r="M144" s="138"/>
      <c r="N144" s="158"/>
      <c r="Q144" s="124"/>
      <c r="R144" s="124"/>
      <c r="S144" s="443"/>
      <c r="T144" s="443"/>
      <c r="U144" s="150"/>
      <c r="AC144" s="99">
        <v>110543</v>
      </c>
      <c r="AD144" s="99">
        <f t="shared" si="7"/>
        <v>0</v>
      </c>
    </row>
    <row r="145" spans="1:30" s="147" customFormat="1" ht="18" customHeight="1" x14ac:dyDescent="0.2">
      <c r="A145" s="48"/>
      <c r="B145" s="48"/>
      <c r="C145" s="48"/>
      <c r="D145" s="48"/>
      <c r="E145" s="48"/>
      <c r="F145" s="48"/>
      <c r="G145" s="48"/>
      <c r="H145" s="48"/>
      <c r="I145" s="48"/>
      <c r="J145" s="148"/>
      <c r="K145" s="148"/>
      <c r="L145" s="48"/>
      <c r="M145" s="138"/>
      <c r="N145" s="158"/>
      <c r="Q145" s="124"/>
      <c r="R145" s="124"/>
      <c r="S145" s="443"/>
      <c r="T145" s="443"/>
      <c r="U145" s="150"/>
      <c r="AC145" s="99">
        <v>111422</v>
      </c>
      <c r="AD145" s="99">
        <f t="shared" si="7"/>
        <v>0</v>
      </c>
    </row>
    <row r="146" spans="1:30" s="147" customFormat="1" ht="18" customHeight="1" x14ac:dyDescent="0.2">
      <c r="A146" s="48"/>
      <c r="B146" s="48"/>
      <c r="C146" s="48"/>
      <c r="D146" s="48"/>
      <c r="E146" s="48"/>
      <c r="F146" s="48"/>
      <c r="G146" s="48"/>
      <c r="H146" s="48"/>
      <c r="I146" s="48"/>
      <c r="J146" s="148"/>
      <c r="K146" s="148"/>
      <c r="L146" s="48"/>
      <c r="M146" s="138"/>
      <c r="N146" s="158"/>
      <c r="Q146" s="124"/>
      <c r="R146" s="124"/>
      <c r="S146" s="443"/>
      <c r="T146" s="443"/>
      <c r="U146" s="150"/>
      <c r="AC146" s="99">
        <v>111444</v>
      </c>
      <c r="AD146" s="99">
        <f t="shared" si="7"/>
        <v>0</v>
      </c>
    </row>
    <row r="147" spans="1:30" s="147" customFormat="1" ht="18" customHeight="1" x14ac:dyDescent="0.2">
      <c r="A147" s="48"/>
      <c r="B147" s="48"/>
      <c r="C147" s="48"/>
      <c r="D147" s="48"/>
      <c r="E147" s="48"/>
      <c r="F147" s="48"/>
      <c r="G147" s="48"/>
      <c r="H147" s="48"/>
      <c r="I147" s="48"/>
      <c r="J147" s="148"/>
      <c r="K147" s="148"/>
      <c r="L147" s="48"/>
      <c r="M147" s="138"/>
      <c r="N147" s="158"/>
      <c r="Q147" s="124"/>
      <c r="R147" s="124"/>
      <c r="S147" s="443"/>
      <c r="T147" s="443"/>
      <c r="U147" s="150"/>
      <c r="AC147" s="99">
        <v>114261</v>
      </c>
      <c r="AD147" s="99">
        <f t="shared" si="7"/>
        <v>0</v>
      </c>
    </row>
    <row r="148" spans="1:30" s="147" customFormat="1" ht="18" customHeight="1" x14ac:dyDescent="0.2">
      <c r="A148" s="48"/>
      <c r="B148" s="48"/>
      <c r="C148" s="48"/>
      <c r="D148" s="48"/>
      <c r="E148" s="48"/>
      <c r="F148" s="48"/>
      <c r="G148" s="48"/>
      <c r="H148" s="48"/>
      <c r="I148" s="48"/>
      <c r="J148" s="148"/>
      <c r="K148" s="148"/>
      <c r="L148" s="48"/>
      <c r="M148" s="138"/>
      <c r="N148" s="158"/>
      <c r="Q148" s="124"/>
      <c r="R148" s="124"/>
      <c r="S148" s="443"/>
      <c r="T148" s="443"/>
      <c r="U148" s="150"/>
      <c r="AC148" s="99">
        <v>117817</v>
      </c>
      <c r="AD148" s="99">
        <f t="shared" si="7"/>
        <v>0</v>
      </c>
    </row>
    <row r="149" spans="1:30" s="147" customFormat="1" ht="18" customHeight="1" x14ac:dyDescent="0.2">
      <c r="A149" s="48"/>
      <c r="B149" s="48"/>
      <c r="C149" s="48"/>
      <c r="D149" s="48"/>
      <c r="E149" s="48"/>
      <c r="F149" s="48"/>
      <c r="G149" s="48"/>
      <c r="H149" s="48"/>
      <c r="I149" s="48"/>
      <c r="J149" s="148"/>
      <c r="K149" s="148"/>
      <c r="L149" s="48"/>
      <c r="M149" s="138"/>
      <c r="N149" s="158"/>
      <c r="Q149" s="124"/>
      <c r="R149" s="124"/>
      <c r="S149" s="443"/>
      <c r="T149" s="443"/>
      <c r="U149" s="150"/>
      <c r="AC149" s="99">
        <v>118741</v>
      </c>
      <c r="AD149" s="99">
        <f t="shared" si="7"/>
        <v>0</v>
      </c>
    </row>
    <row r="150" spans="1:30" s="147" customFormat="1" ht="18" customHeight="1" x14ac:dyDescent="0.2">
      <c r="A150" s="48"/>
      <c r="B150" s="48"/>
      <c r="C150" s="48"/>
      <c r="D150" s="48"/>
      <c r="E150" s="48"/>
      <c r="F150" s="48"/>
      <c r="G150" s="48"/>
      <c r="H150" s="48"/>
      <c r="I150" s="48"/>
      <c r="J150" s="148"/>
      <c r="K150" s="148"/>
      <c r="L150" s="48"/>
      <c r="M150" s="138"/>
      <c r="N150" s="158"/>
      <c r="Q150" s="124"/>
      <c r="R150" s="124"/>
      <c r="S150" s="443"/>
      <c r="T150" s="443"/>
      <c r="U150" s="150"/>
      <c r="AC150" s="99">
        <v>119904</v>
      </c>
      <c r="AD150" s="99">
        <f t="shared" si="7"/>
        <v>0</v>
      </c>
    </row>
    <row r="151" spans="1:30" s="147" customFormat="1" ht="18" customHeight="1" x14ac:dyDescent="0.2">
      <c r="A151" s="48"/>
      <c r="B151" s="48"/>
      <c r="C151" s="48"/>
      <c r="D151" s="48"/>
      <c r="E151" s="48"/>
      <c r="F151" s="48"/>
      <c r="G151" s="48"/>
      <c r="H151" s="48"/>
      <c r="I151" s="48"/>
      <c r="J151" s="148"/>
      <c r="K151" s="148"/>
      <c r="L151" s="48"/>
      <c r="M151" s="138"/>
      <c r="N151" s="158"/>
      <c r="Q151" s="124"/>
      <c r="R151" s="124"/>
      <c r="S151" s="443"/>
      <c r="T151" s="443"/>
      <c r="U151" s="150"/>
      <c r="AC151" s="99">
        <v>119937</v>
      </c>
      <c r="AD151" s="99">
        <f t="shared" si="7"/>
        <v>0</v>
      </c>
    </row>
    <row r="152" spans="1:30" s="147" customFormat="1" ht="18" customHeight="1" x14ac:dyDescent="0.2">
      <c r="A152" s="48"/>
      <c r="B152" s="48"/>
      <c r="C152" s="48"/>
      <c r="D152" s="48"/>
      <c r="E152" s="48"/>
      <c r="F152" s="48"/>
      <c r="G152" s="48"/>
      <c r="H152" s="48"/>
      <c r="I152" s="48"/>
      <c r="J152" s="148"/>
      <c r="K152" s="148"/>
      <c r="L152" s="48"/>
      <c r="M152" s="138"/>
      <c r="N152" s="158"/>
      <c r="Q152" s="124"/>
      <c r="R152" s="124"/>
      <c r="S152" s="443"/>
      <c r="T152" s="443"/>
      <c r="U152" s="150"/>
      <c r="AC152" s="99">
        <v>120809</v>
      </c>
      <c r="AD152" s="99">
        <f t="shared" si="7"/>
        <v>0</v>
      </c>
    </row>
    <row r="153" spans="1:30" s="147" customFormat="1" ht="18" customHeight="1" x14ac:dyDescent="0.2">
      <c r="A153" s="48"/>
      <c r="B153" s="48"/>
      <c r="C153" s="48"/>
      <c r="D153" s="48"/>
      <c r="E153" s="48"/>
      <c r="F153" s="48"/>
      <c r="G153" s="48"/>
      <c r="H153" s="48"/>
      <c r="I153" s="48"/>
      <c r="J153" s="148"/>
      <c r="K153" s="148"/>
      <c r="L153" s="48"/>
      <c r="M153" s="138"/>
      <c r="N153" s="158"/>
      <c r="Q153" s="124"/>
      <c r="R153" s="124"/>
      <c r="S153" s="443"/>
      <c r="T153" s="443"/>
      <c r="U153" s="150"/>
      <c r="AC153" s="99">
        <v>120821</v>
      </c>
      <c r="AD153" s="99">
        <f t="shared" si="7"/>
        <v>0</v>
      </c>
    </row>
    <row r="154" spans="1:30" s="147" customFormat="1" ht="18" customHeight="1" x14ac:dyDescent="0.2">
      <c r="A154" s="48"/>
      <c r="B154" s="48"/>
      <c r="C154" s="48"/>
      <c r="D154" s="48"/>
      <c r="E154" s="48"/>
      <c r="F154" s="48"/>
      <c r="G154" s="48"/>
      <c r="H154" s="48"/>
      <c r="I154" s="48"/>
      <c r="J154" s="148"/>
      <c r="K154" s="148"/>
      <c r="L154" s="48"/>
      <c r="M154" s="138"/>
      <c r="N154" s="158"/>
      <c r="Q154" s="124"/>
      <c r="R154" s="124"/>
      <c r="S154" s="443"/>
      <c r="T154" s="443"/>
      <c r="U154" s="150"/>
      <c r="AC154" s="99">
        <v>121142</v>
      </c>
      <c r="AD154" s="99">
        <f t="shared" si="7"/>
        <v>0</v>
      </c>
    </row>
    <row r="155" spans="1:30" s="147" customFormat="1" ht="18" customHeight="1" x14ac:dyDescent="0.2">
      <c r="A155" s="48"/>
      <c r="B155" s="48"/>
      <c r="C155" s="48"/>
      <c r="D155" s="48"/>
      <c r="E155" s="48"/>
      <c r="F155" s="48"/>
      <c r="G155" s="48"/>
      <c r="H155" s="48"/>
      <c r="I155" s="48"/>
      <c r="J155" s="148"/>
      <c r="K155" s="148"/>
      <c r="L155" s="48"/>
      <c r="M155" s="138"/>
      <c r="N155" s="158"/>
      <c r="Q155" s="124"/>
      <c r="R155" s="124"/>
      <c r="S155" s="443"/>
      <c r="T155" s="443"/>
      <c r="U155" s="150"/>
      <c r="AC155" s="99">
        <v>121448</v>
      </c>
      <c r="AD155" s="99">
        <f t="shared" si="7"/>
        <v>0</v>
      </c>
    </row>
    <row r="156" spans="1:30" s="147" customFormat="1" ht="18" customHeight="1" x14ac:dyDescent="0.2">
      <c r="A156" s="48"/>
      <c r="B156" s="48"/>
      <c r="C156" s="48"/>
      <c r="D156" s="48"/>
      <c r="E156" s="48"/>
      <c r="F156" s="48"/>
      <c r="G156" s="48"/>
      <c r="H156" s="48"/>
      <c r="I156" s="48"/>
      <c r="J156" s="148"/>
      <c r="K156" s="148"/>
      <c r="L156" s="48"/>
      <c r="M156" s="138"/>
      <c r="N156" s="158"/>
      <c r="Q156" s="124"/>
      <c r="R156" s="124"/>
      <c r="S156" s="443"/>
      <c r="T156" s="443"/>
      <c r="U156" s="150"/>
      <c r="AC156" s="99">
        <v>121697</v>
      </c>
      <c r="AD156" s="99">
        <f t="shared" si="7"/>
        <v>0</v>
      </c>
    </row>
    <row r="157" spans="1:30" s="147" customFormat="1" ht="18" customHeight="1" x14ac:dyDescent="0.2">
      <c r="A157" s="48"/>
      <c r="B157" s="48"/>
      <c r="C157" s="48"/>
      <c r="D157" s="48"/>
      <c r="E157" s="48"/>
      <c r="F157" s="48"/>
      <c r="G157" s="48"/>
      <c r="H157" s="48"/>
      <c r="I157" s="48"/>
      <c r="J157" s="148"/>
      <c r="K157" s="148"/>
      <c r="L157" s="48"/>
      <c r="M157" s="138"/>
      <c r="N157" s="158"/>
      <c r="Q157" s="124"/>
      <c r="R157" s="124"/>
      <c r="S157" s="443"/>
      <c r="T157" s="443"/>
      <c r="U157" s="150"/>
      <c r="AC157" s="99">
        <v>122667</v>
      </c>
      <c r="AD157" s="99">
        <f t="shared" ref="AD157:AD188" si="8">SUMIF($C$29:$C$60,AC157,$L$29:$L$60)</f>
        <v>0</v>
      </c>
    </row>
    <row r="158" spans="1:30" s="147" customFormat="1" ht="18" customHeight="1" x14ac:dyDescent="0.2">
      <c r="A158" s="48"/>
      <c r="B158" s="48"/>
      <c r="C158" s="48"/>
      <c r="D158" s="48"/>
      <c r="E158" s="48"/>
      <c r="F158" s="48"/>
      <c r="G158" s="48"/>
      <c r="H158" s="48"/>
      <c r="I158" s="48"/>
      <c r="J158" s="148"/>
      <c r="K158" s="148"/>
      <c r="L158" s="48"/>
      <c r="M158" s="138"/>
      <c r="N158" s="158"/>
      <c r="Q158" s="124"/>
      <c r="R158" s="124"/>
      <c r="S158" s="443"/>
      <c r="T158" s="443"/>
      <c r="U158" s="150"/>
      <c r="AC158" s="99">
        <v>123319</v>
      </c>
      <c r="AD158" s="99">
        <f t="shared" si="8"/>
        <v>0</v>
      </c>
    </row>
    <row r="159" spans="1:30" s="147" customFormat="1" ht="18" customHeight="1" x14ac:dyDescent="0.2">
      <c r="A159" s="48"/>
      <c r="B159" s="48"/>
      <c r="C159" s="48"/>
      <c r="D159" s="48"/>
      <c r="E159" s="48"/>
      <c r="F159" s="48"/>
      <c r="G159" s="48"/>
      <c r="H159" s="48"/>
      <c r="I159" s="48"/>
      <c r="J159" s="148"/>
      <c r="K159" s="148"/>
      <c r="L159" s="48"/>
      <c r="M159" s="138"/>
      <c r="N159" s="158"/>
      <c r="Q159" s="124"/>
      <c r="R159" s="124"/>
      <c r="S159" s="443"/>
      <c r="T159" s="443"/>
      <c r="U159" s="150"/>
      <c r="AC159" s="99">
        <v>123386</v>
      </c>
      <c r="AD159" s="99">
        <f t="shared" si="8"/>
        <v>0</v>
      </c>
    </row>
    <row r="160" spans="1:30" s="147" customFormat="1" ht="18" customHeight="1" x14ac:dyDescent="0.2">
      <c r="A160" s="48"/>
      <c r="B160" s="48"/>
      <c r="C160" s="48"/>
      <c r="D160" s="48"/>
      <c r="E160" s="48"/>
      <c r="F160" s="48"/>
      <c r="G160" s="48"/>
      <c r="H160" s="48"/>
      <c r="I160" s="48"/>
      <c r="J160" s="148"/>
      <c r="K160" s="148"/>
      <c r="L160" s="48"/>
      <c r="M160" s="138"/>
      <c r="N160" s="158"/>
      <c r="Q160" s="124"/>
      <c r="R160" s="124"/>
      <c r="S160" s="443"/>
      <c r="T160" s="443"/>
      <c r="U160" s="150"/>
      <c r="AC160" s="99">
        <v>123911</v>
      </c>
      <c r="AD160" s="99">
        <f t="shared" si="8"/>
        <v>0</v>
      </c>
    </row>
    <row r="161" spans="1:30" s="147" customFormat="1" ht="18" customHeight="1" x14ac:dyDescent="0.2">
      <c r="A161" s="48"/>
      <c r="B161" s="48"/>
      <c r="C161" s="48"/>
      <c r="D161" s="48"/>
      <c r="E161" s="48"/>
      <c r="F161" s="48"/>
      <c r="G161" s="48"/>
      <c r="H161" s="48"/>
      <c r="I161" s="48"/>
      <c r="J161" s="148"/>
      <c r="K161" s="148"/>
      <c r="L161" s="48"/>
      <c r="M161" s="138"/>
      <c r="N161" s="158"/>
      <c r="Q161" s="124"/>
      <c r="R161" s="124"/>
      <c r="S161" s="443"/>
      <c r="T161" s="443"/>
      <c r="U161" s="150"/>
      <c r="AC161" s="99">
        <v>126998</v>
      </c>
      <c r="AD161" s="99">
        <f t="shared" si="8"/>
        <v>0</v>
      </c>
    </row>
    <row r="162" spans="1:30" s="147" customFormat="1" ht="18" customHeight="1" x14ac:dyDescent="0.2">
      <c r="A162" s="48"/>
      <c r="B162" s="48"/>
      <c r="C162" s="48"/>
      <c r="D162" s="48"/>
      <c r="E162" s="48"/>
      <c r="F162" s="48"/>
      <c r="G162" s="48"/>
      <c r="H162" s="48"/>
      <c r="I162" s="48"/>
      <c r="J162" s="148"/>
      <c r="K162" s="148"/>
      <c r="L162" s="48"/>
      <c r="M162" s="138"/>
      <c r="N162" s="158"/>
      <c r="Q162" s="124"/>
      <c r="R162" s="124"/>
      <c r="S162" s="443"/>
      <c r="T162" s="443"/>
      <c r="U162" s="150"/>
      <c r="AC162" s="99">
        <v>127184</v>
      </c>
      <c r="AD162" s="99">
        <f t="shared" si="8"/>
        <v>0</v>
      </c>
    </row>
    <row r="163" spans="1:30" s="147" customFormat="1" ht="18" customHeight="1" x14ac:dyDescent="0.2">
      <c r="A163" s="48"/>
      <c r="B163" s="48"/>
      <c r="C163" s="48"/>
      <c r="D163" s="48"/>
      <c r="E163" s="48"/>
      <c r="F163" s="48"/>
      <c r="G163" s="48"/>
      <c r="H163" s="48"/>
      <c r="I163" s="48"/>
      <c r="J163" s="148"/>
      <c r="K163" s="148"/>
      <c r="L163" s="48"/>
      <c r="M163" s="138"/>
      <c r="N163" s="158"/>
      <c r="Q163" s="124"/>
      <c r="R163" s="124"/>
      <c r="S163" s="443"/>
      <c r="T163" s="443"/>
      <c r="U163" s="150"/>
      <c r="AC163" s="99">
        <v>131113</v>
      </c>
      <c r="AD163" s="99">
        <f t="shared" si="8"/>
        <v>0</v>
      </c>
    </row>
    <row r="164" spans="1:30" s="147" customFormat="1" ht="18" customHeight="1" x14ac:dyDescent="0.2">
      <c r="A164" s="48"/>
      <c r="B164" s="48"/>
      <c r="C164" s="48"/>
      <c r="D164" s="48"/>
      <c r="E164" s="48"/>
      <c r="F164" s="48"/>
      <c r="G164" s="48"/>
      <c r="H164" s="48"/>
      <c r="I164" s="48"/>
      <c r="J164" s="148"/>
      <c r="K164" s="148"/>
      <c r="L164" s="48"/>
      <c r="M164" s="138"/>
      <c r="N164" s="158"/>
      <c r="Q164" s="124"/>
      <c r="R164" s="124"/>
      <c r="S164" s="443"/>
      <c r="T164" s="443"/>
      <c r="U164" s="150"/>
      <c r="AC164" s="99">
        <v>132649</v>
      </c>
      <c r="AD164" s="99">
        <f t="shared" si="8"/>
        <v>0</v>
      </c>
    </row>
    <row r="165" spans="1:30" s="147" customFormat="1" ht="18" customHeight="1" x14ac:dyDescent="0.2">
      <c r="A165" s="48"/>
      <c r="B165" s="48"/>
      <c r="C165" s="48"/>
      <c r="D165" s="48"/>
      <c r="E165" s="48"/>
      <c r="F165" s="48"/>
      <c r="G165" s="48"/>
      <c r="H165" s="48"/>
      <c r="I165" s="48"/>
      <c r="J165" s="148"/>
      <c r="K165" s="148"/>
      <c r="L165" s="48"/>
      <c r="M165" s="138"/>
      <c r="N165" s="158"/>
      <c r="Q165" s="124"/>
      <c r="R165" s="124"/>
      <c r="S165" s="443"/>
      <c r="T165" s="443"/>
      <c r="U165" s="150"/>
      <c r="AC165" s="99">
        <v>133062</v>
      </c>
      <c r="AD165" s="99">
        <f t="shared" si="8"/>
        <v>0</v>
      </c>
    </row>
    <row r="166" spans="1:30" s="147" customFormat="1" ht="18" customHeight="1" x14ac:dyDescent="0.2">
      <c r="A166" s="48"/>
      <c r="B166" s="48"/>
      <c r="C166" s="48"/>
      <c r="D166" s="48"/>
      <c r="E166" s="48"/>
      <c r="F166" s="48"/>
      <c r="G166" s="48"/>
      <c r="H166" s="48"/>
      <c r="I166" s="48"/>
      <c r="J166" s="148"/>
      <c r="K166" s="148"/>
      <c r="L166" s="48"/>
      <c r="M166" s="138"/>
      <c r="N166" s="158"/>
      <c r="Q166" s="124"/>
      <c r="R166" s="124"/>
      <c r="S166" s="443"/>
      <c r="T166" s="443"/>
      <c r="U166" s="150"/>
      <c r="AC166" s="99">
        <v>133904</v>
      </c>
      <c r="AD166" s="99">
        <f t="shared" si="8"/>
        <v>0</v>
      </c>
    </row>
    <row r="167" spans="1:30" s="147" customFormat="1" ht="18" customHeight="1" x14ac:dyDescent="0.2">
      <c r="A167" s="48"/>
      <c r="B167" s="48"/>
      <c r="C167" s="48"/>
      <c r="D167" s="48"/>
      <c r="E167" s="48"/>
      <c r="F167" s="48"/>
      <c r="G167" s="48"/>
      <c r="H167" s="48"/>
      <c r="I167" s="48"/>
      <c r="J167" s="148"/>
      <c r="K167" s="148"/>
      <c r="L167" s="48"/>
      <c r="M167" s="138"/>
      <c r="N167" s="158"/>
      <c r="Q167" s="124"/>
      <c r="R167" s="124"/>
      <c r="S167" s="443"/>
      <c r="T167" s="443"/>
      <c r="U167" s="150"/>
      <c r="AC167" s="99">
        <v>140885</v>
      </c>
      <c r="AD167" s="99">
        <f t="shared" si="8"/>
        <v>0</v>
      </c>
    </row>
    <row r="168" spans="1:30" s="147" customFormat="1" ht="18" customHeight="1" x14ac:dyDescent="0.2">
      <c r="A168" s="48"/>
      <c r="B168" s="48"/>
      <c r="C168" s="48"/>
      <c r="D168" s="48"/>
      <c r="E168" s="48"/>
      <c r="F168" s="48"/>
      <c r="G168" s="48"/>
      <c r="H168" s="48"/>
      <c r="I168" s="48"/>
      <c r="J168" s="148"/>
      <c r="K168" s="148"/>
      <c r="L168" s="48"/>
      <c r="M168" s="138"/>
      <c r="N168" s="158"/>
      <c r="Q168" s="124"/>
      <c r="R168" s="124"/>
      <c r="S168" s="443"/>
      <c r="T168" s="443"/>
      <c r="U168" s="150"/>
      <c r="AC168" s="99">
        <v>151564</v>
      </c>
      <c r="AD168" s="99">
        <f t="shared" si="8"/>
        <v>0</v>
      </c>
    </row>
    <row r="169" spans="1:30" s="147" customFormat="1" ht="18" customHeight="1" x14ac:dyDescent="0.2">
      <c r="A169" s="48"/>
      <c r="B169" s="48"/>
      <c r="C169" s="48"/>
      <c r="D169" s="48"/>
      <c r="E169" s="48"/>
      <c r="F169" s="48"/>
      <c r="G169" s="48"/>
      <c r="H169" s="48"/>
      <c r="I169" s="48"/>
      <c r="J169" s="148"/>
      <c r="K169" s="148"/>
      <c r="L169" s="48"/>
      <c r="M169" s="138"/>
      <c r="N169" s="158"/>
      <c r="Q169" s="124"/>
      <c r="R169" s="124"/>
      <c r="S169" s="443"/>
      <c r="T169" s="443"/>
      <c r="U169" s="150"/>
      <c r="AC169" s="99">
        <v>156627</v>
      </c>
      <c r="AD169" s="99">
        <f t="shared" si="8"/>
        <v>0</v>
      </c>
    </row>
    <row r="170" spans="1:30" s="147" customFormat="1" ht="18" customHeight="1" x14ac:dyDescent="0.2">
      <c r="A170" s="48"/>
      <c r="B170" s="48"/>
      <c r="C170" s="48"/>
      <c r="D170" s="48"/>
      <c r="E170" s="48"/>
      <c r="F170" s="48"/>
      <c r="G170" s="48"/>
      <c r="H170" s="48"/>
      <c r="I170" s="48"/>
      <c r="J170" s="148"/>
      <c r="K170" s="148"/>
      <c r="L170" s="48"/>
      <c r="M170" s="138"/>
      <c r="N170" s="158"/>
      <c r="Q170" s="124"/>
      <c r="R170" s="124"/>
      <c r="S170" s="443"/>
      <c r="T170" s="443"/>
      <c r="U170" s="150"/>
      <c r="AC170" s="99">
        <v>302012</v>
      </c>
      <c r="AD170" s="99">
        <f t="shared" si="8"/>
        <v>0</v>
      </c>
    </row>
    <row r="171" spans="1:30" s="147" customFormat="1" ht="18" customHeight="1" x14ac:dyDescent="0.2">
      <c r="A171" s="48"/>
      <c r="B171" s="48"/>
      <c r="C171" s="48"/>
      <c r="D171" s="48"/>
      <c r="E171" s="48"/>
      <c r="F171" s="48"/>
      <c r="G171" s="48"/>
      <c r="H171" s="48"/>
      <c r="I171" s="48"/>
      <c r="J171" s="148"/>
      <c r="K171" s="148"/>
      <c r="L171" s="48"/>
      <c r="M171" s="138"/>
      <c r="N171" s="158"/>
      <c r="Q171" s="124"/>
      <c r="R171" s="124"/>
      <c r="S171" s="443"/>
      <c r="T171" s="443"/>
      <c r="U171" s="150"/>
      <c r="AC171" s="99">
        <v>334883</v>
      </c>
      <c r="AD171" s="99">
        <f t="shared" si="8"/>
        <v>0</v>
      </c>
    </row>
    <row r="172" spans="1:30" s="147" customFormat="1" ht="18" customHeight="1" x14ac:dyDescent="0.2">
      <c r="A172" s="48"/>
      <c r="B172" s="48"/>
      <c r="C172" s="48"/>
      <c r="D172" s="48"/>
      <c r="E172" s="48"/>
      <c r="F172" s="48"/>
      <c r="G172" s="48"/>
      <c r="H172" s="48"/>
      <c r="I172" s="48"/>
      <c r="J172" s="148"/>
      <c r="K172" s="148"/>
      <c r="L172" s="48"/>
      <c r="M172" s="138"/>
      <c r="N172" s="158"/>
      <c r="Q172" s="124"/>
      <c r="R172" s="124"/>
      <c r="S172" s="443"/>
      <c r="T172" s="443"/>
      <c r="U172" s="150"/>
      <c r="AC172" s="99">
        <v>463581</v>
      </c>
      <c r="AD172" s="99">
        <f t="shared" si="8"/>
        <v>0</v>
      </c>
    </row>
    <row r="173" spans="1:30" s="147" customFormat="1" ht="18" customHeight="1" x14ac:dyDescent="0.2">
      <c r="A173" s="48"/>
      <c r="B173" s="48"/>
      <c r="C173" s="48"/>
      <c r="D173" s="48"/>
      <c r="E173" s="48"/>
      <c r="F173" s="48"/>
      <c r="G173" s="48"/>
      <c r="H173" s="48"/>
      <c r="I173" s="48"/>
      <c r="J173" s="148"/>
      <c r="K173" s="148"/>
      <c r="L173" s="48"/>
      <c r="M173" s="138"/>
      <c r="N173" s="158"/>
      <c r="Q173" s="124"/>
      <c r="R173" s="124"/>
      <c r="S173" s="443"/>
      <c r="T173" s="443"/>
      <c r="U173" s="150"/>
      <c r="AC173" s="99">
        <v>510156</v>
      </c>
      <c r="AD173" s="99">
        <f t="shared" si="8"/>
        <v>0</v>
      </c>
    </row>
    <row r="174" spans="1:30" s="147" customFormat="1" ht="18" customHeight="1" x14ac:dyDescent="0.2">
      <c r="A174" s="48"/>
      <c r="B174" s="48"/>
      <c r="C174" s="48"/>
      <c r="D174" s="48"/>
      <c r="E174" s="48"/>
      <c r="F174" s="48"/>
      <c r="G174" s="48"/>
      <c r="H174" s="48"/>
      <c r="I174" s="48"/>
      <c r="J174" s="148"/>
      <c r="K174" s="148"/>
      <c r="L174" s="48"/>
      <c r="M174" s="138"/>
      <c r="N174" s="158"/>
      <c r="Q174" s="124"/>
      <c r="R174" s="124"/>
      <c r="S174" s="443"/>
      <c r="T174" s="443"/>
      <c r="U174" s="150"/>
      <c r="AC174" s="99">
        <v>532274</v>
      </c>
      <c r="AD174" s="99">
        <f t="shared" si="8"/>
        <v>0</v>
      </c>
    </row>
    <row r="175" spans="1:30" s="147" customFormat="1" ht="18" customHeight="1" x14ac:dyDescent="0.2">
      <c r="A175" s="48"/>
      <c r="B175" s="48"/>
      <c r="C175" s="48"/>
      <c r="D175" s="48"/>
      <c r="E175" s="48"/>
      <c r="F175" s="48"/>
      <c r="G175" s="48"/>
      <c r="H175" s="48"/>
      <c r="I175" s="48"/>
      <c r="J175" s="148"/>
      <c r="K175" s="148"/>
      <c r="L175" s="48"/>
      <c r="M175" s="138"/>
      <c r="N175" s="158"/>
      <c r="Q175" s="124"/>
      <c r="R175" s="124"/>
      <c r="S175" s="443"/>
      <c r="T175" s="443"/>
      <c r="U175" s="150"/>
      <c r="AC175" s="99">
        <v>534521</v>
      </c>
      <c r="AD175" s="99">
        <f t="shared" si="8"/>
        <v>0</v>
      </c>
    </row>
    <row r="176" spans="1:30" s="147" customFormat="1" ht="18" customHeight="1" x14ac:dyDescent="0.2">
      <c r="A176" s="48"/>
      <c r="B176" s="48"/>
      <c r="C176" s="48"/>
      <c r="D176" s="48"/>
      <c r="E176" s="48"/>
      <c r="F176" s="48"/>
      <c r="G176" s="48"/>
      <c r="H176" s="48"/>
      <c r="I176" s="48"/>
      <c r="J176" s="148"/>
      <c r="K176" s="148"/>
      <c r="L176" s="48"/>
      <c r="M176" s="138"/>
      <c r="N176" s="158"/>
      <c r="Q176" s="124"/>
      <c r="R176" s="124"/>
      <c r="S176" s="443"/>
      <c r="T176" s="443"/>
      <c r="U176" s="150"/>
      <c r="AC176" s="99">
        <v>540841</v>
      </c>
      <c r="AD176" s="99">
        <f t="shared" si="8"/>
        <v>0</v>
      </c>
    </row>
    <row r="177" spans="1:30" s="147" customFormat="1" ht="18" customHeight="1" x14ac:dyDescent="0.2">
      <c r="A177" s="48"/>
      <c r="B177" s="48"/>
      <c r="C177" s="48"/>
      <c r="D177" s="48"/>
      <c r="E177" s="48"/>
      <c r="F177" s="48"/>
      <c r="G177" s="48"/>
      <c r="H177" s="48"/>
      <c r="I177" s="48"/>
      <c r="J177" s="148"/>
      <c r="K177" s="148"/>
      <c r="L177" s="48"/>
      <c r="M177" s="138"/>
      <c r="N177" s="158"/>
      <c r="Q177" s="124"/>
      <c r="R177" s="124"/>
      <c r="S177" s="443"/>
      <c r="T177" s="443"/>
      <c r="U177" s="150"/>
      <c r="AC177" s="99">
        <v>542756</v>
      </c>
      <c r="AD177" s="99">
        <f t="shared" si="8"/>
        <v>0</v>
      </c>
    </row>
    <row r="178" spans="1:30" s="147" customFormat="1" ht="18" customHeight="1" x14ac:dyDescent="0.2">
      <c r="A178" s="48"/>
      <c r="B178" s="48"/>
      <c r="C178" s="48"/>
      <c r="D178" s="48"/>
      <c r="E178" s="48"/>
      <c r="F178" s="48"/>
      <c r="G178" s="48"/>
      <c r="H178" s="48"/>
      <c r="I178" s="48"/>
      <c r="J178" s="148"/>
      <c r="K178" s="148"/>
      <c r="L178" s="48"/>
      <c r="M178" s="138"/>
      <c r="N178" s="158"/>
      <c r="Q178" s="124"/>
      <c r="R178" s="124"/>
      <c r="S178" s="443"/>
      <c r="T178" s="443"/>
      <c r="U178" s="150"/>
      <c r="AC178" s="99">
        <v>542881</v>
      </c>
      <c r="AD178" s="99">
        <f t="shared" si="8"/>
        <v>0</v>
      </c>
    </row>
    <row r="179" spans="1:30" s="147" customFormat="1" ht="18" customHeight="1" x14ac:dyDescent="0.2">
      <c r="A179" s="48"/>
      <c r="B179" s="48"/>
      <c r="C179" s="48"/>
      <c r="D179" s="48"/>
      <c r="E179" s="48"/>
      <c r="F179" s="48"/>
      <c r="G179" s="48"/>
      <c r="H179" s="48"/>
      <c r="I179" s="48"/>
      <c r="J179" s="148"/>
      <c r="K179" s="148"/>
      <c r="L179" s="48"/>
      <c r="M179" s="138"/>
      <c r="N179" s="158"/>
      <c r="Q179" s="124"/>
      <c r="R179" s="124"/>
      <c r="S179" s="443"/>
      <c r="T179" s="443"/>
      <c r="U179" s="150"/>
      <c r="AC179" s="99">
        <v>584849</v>
      </c>
      <c r="AD179" s="99">
        <f t="shared" si="8"/>
        <v>0</v>
      </c>
    </row>
    <row r="180" spans="1:30" s="147" customFormat="1" ht="18" customHeight="1" x14ac:dyDescent="0.2">
      <c r="A180" s="48"/>
      <c r="B180" s="48"/>
      <c r="C180" s="48"/>
      <c r="D180" s="48"/>
      <c r="E180" s="48"/>
      <c r="F180" s="48"/>
      <c r="G180" s="48"/>
      <c r="H180" s="48"/>
      <c r="I180" s="48"/>
      <c r="J180" s="148"/>
      <c r="K180" s="148"/>
      <c r="L180" s="48"/>
      <c r="M180" s="138"/>
      <c r="N180" s="158"/>
      <c r="Q180" s="124"/>
      <c r="R180" s="124"/>
      <c r="S180" s="443"/>
      <c r="T180" s="443"/>
      <c r="U180" s="150"/>
      <c r="AC180" s="99">
        <v>593602</v>
      </c>
      <c r="AD180" s="99">
        <f t="shared" si="8"/>
        <v>0</v>
      </c>
    </row>
    <row r="181" spans="1:30" s="147" customFormat="1" ht="18" customHeight="1" x14ac:dyDescent="0.2">
      <c r="A181" s="48"/>
      <c r="B181" s="48"/>
      <c r="C181" s="48"/>
      <c r="D181" s="48"/>
      <c r="E181" s="48"/>
      <c r="F181" s="48"/>
      <c r="G181" s="48"/>
      <c r="H181" s="48"/>
      <c r="I181" s="48"/>
      <c r="J181" s="148"/>
      <c r="K181" s="148"/>
      <c r="L181" s="48"/>
      <c r="M181" s="138"/>
      <c r="N181" s="158"/>
      <c r="Q181" s="124"/>
      <c r="R181" s="124"/>
      <c r="S181" s="443"/>
      <c r="T181" s="443"/>
      <c r="U181" s="150"/>
      <c r="AC181" s="99">
        <v>624839</v>
      </c>
      <c r="AD181" s="99">
        <f t="shared" si="8"/>
        <v>0</v>
      </c>
    </row>
    <row r="182" spans="1:30" s="147" customFormat="1" ht="18" customHeight="1" x14ac:dyDescent="0.2">
      <c r="A182" s="48"/>
      <c r="B182" s="48"/>
      <c r="C182" s="48"/>
      <c r="D182" s="48"/>
      <c r="E182" s="48"/>
      <c r="F182" s="48"/>
      <c r="G182" s="48"/>
      <c r="H182" s="48"/>
      <c r="I182" s="48"/>
      <c r="J182" s="148"/>
      <c r="K182" s="148"/>
      <c r="L182" s="48"/>
      <c r="M182" s="138"/>
      <c r="N182" s="158"/>
      <c r="Q182" s="124"/>
      <c r="R182" s="124"/>
      <c r="S182" s="443"/>
      <c r="T182" s="443"/>
      <c r="U182" s="150"/>
      <c r="AC182" s="99">
        <v>680319</v>
      </c>
      <c r="AD182" s="99">
        <f t="shared" si="8"/>
        <v>0</v>
      </c>
    </row>
    <row r="183" spans="1:30" s="147" customFormat="1" ht="18" customHeight="1" x14ac:dyDescent="0.2">
      <c r="A183" s="48"/>
      <c r="B183" s="48"/>
      <c r="C183" s="48"/>
      <c r="D183" s="48"/>
      <c r="E183" s="48"/>
      <c r="F183" s="48"/>
      <c r="G183" s="48"/>
      <c r="H183" s="48"/>
      <c r="I183" s="48"/>
      <c r="J183" s="148"/>
      <c r="K183" s="148"/>
      <c r="L183" s="48"/>
      <c r="M183" s="138"/>
      <c r="N183" s="158"/>
      <c r="Q183" s="124"/>
      <c r="R183" s="124"/>
      <c r="S183" s="443"/>
      <c r="T183" s="443"/>
      <c r="U183" s="150"/>
      <c r="AC183" s="99">
        <v>684935</v>
      </c>
      <c r="AD183" s="99">
        <f t="shared" si="8"/>
        <v>0</v>
      </c>
    </row>
    <row r="184" spans="1:30" s="147" customFormat="1" ht="18" customHeight="1" x14ac:dyDescent="0.2">
      <c r="A184" s="48"/>
      <c r="B184" s="48"/>
      <c r="C184" s="48"/>
      <c r="D184" s="48"/>
      <c r="E184" s="48"/>
      <c r="F184" s="48"/>
      <c r="G184" s="48"/>
      <c r="H184" s="48"/>
      <c r="I184" s="48"/>
      <c r="J184" s="148"/>
      <c r="K184" s="148"/>
      <c r="L184" s="48"/>
      <c r="M184" s="138"/>
      <c r="N184" s="158"/>
      <c r="Q184" s="124"/>
      <c r="R184" s="124"/>
      <c r="S184" s="443"/>
      <c r="T184" s="443"/>
      <c r="U184" s="150"/>
      <c r="AC184" s="99">
        <v>822060</v>
      </c>
      <c r="AD184" s="99">
        <f t="shared" si="8"/>
        <v>0</v>
      </c>
    </row>
    <row r="185" spans="1:30" s="147" customFormat="1" ht="18" customHeight="1" x14ac:dyDescent="0.2">
      <c r="A185" s="48"/>
      <c r="B185" s="48"/>
      <c r="C185" s="48"/>
      <c r="D185" s="48"/>
      <c r="E185" s="48"/>
      <c r="F185" s="48"/>
      <c r="G185" s="48"/>
      <c r="H185" s="48"/>
      <c r="I185" s="48"/>
      <c r="J185" s="148"/>
      <c r="K185" s="148"/>
      <c r="L185" s="48"/>
      <c r="M185" s="138"/>
      <c r="N185" s="158"/>
      <c r="Q185" s="124"/>
      <c r="R185" s="124"/>
      <c r="S185" s="443"/>
      <c r="T185" s="443"/>
      <c r="U185" s="150"/>
      <c r="AC185" s="99">
        <v>1120714</v>
      </c>
      <c r="AD185" s="99">
        <f t="shared" si="8"/>
        <v>0</v>
      </c>
    </row>
    <row r="186" spans="1:30" s="147" customFormat="1" ht="18" customHeight="1" x14ac:dyDescent="0.2">
      <c r="A186" s="48"/>
      <c r="B186" s="48"/>
      <c r="C186" s="48"/>
      <c r="D186" s="48"/>
      <c r="E186" s="48"/>
      <c r="F186" s="48"/>
      <c r="G186" s="48"/>
      <c r="H186" s="48"/>
      <c r="I186" s="48"/>
      <c r="J186" s="148"/>
      <c r="K186" s="148"/>
      <c r="L186" s="48"/>
      <c r="M186" s="138"/>
      <c r="N186" s="158"/>
      <c r="Q186" s="124"/>
      <c r="R186" s="124"/>
      <c r="S186" s="443"/>
      <c r="T186" s="443"/>
      <c r="U186" s="150"/>
      <c r="AC186" s="99">
        <v>1319773</v>
      </c>
      <c r="AD186" s="99">
        <f t="shared" si="8"/>
        <v>0</v>
      </c>
    </row>
    <row r="187" spans="1:30" s="147" customFormat="1" ht="18" customHeight="1" x14ac:dyDescent="0.2">
      <c r="A187" s="48"/>
      <c r="B187" s="48"/>
      <c r="C187" s="48"/>
      <c r="D187" s="48"/>
      <c r="E187" s="48"/>
      <c r="F187" s="48"/>
      <c r="G187" s="48"/>
      <c r="H187" s="48"/>
      <c r="I187" s="48"/>
      <c r="J187" s="148"/>
      <c r="K187" s="148"/>
      <c r="L187" s="48"/>
      <c r="M187" s="138"/>
      <c r="N187" s="158"/>
      <c r="Q187" s="124"/>
      <c r="R187" s="124"/>
      <c r="S187" s="443"/>
      <c r="T187" s="443"/>
      <c r="U187" s="150"/>
      <c r="AC187" s="99">
        <v>1330207</v>
      </c>
      <c r="AD187" s="99">
        <f t="shared" si="8"/>
        <v>0</v>
      </c>
    </row>
    <row r="188" spans="1:30" s="147" customFormat="1" ht="18" customHeight="1" x14ac:dyDescent="0.2">
      <c r="A188" s="48"/>
      <c r="B188" s="48"/>
      <c r="C188" s="48"/>
      <c r="D188" s="48"/>
      <c r="E188" s="48"/>
      <c r="F188" s="48"/>
      <c r="G188" s="48"/>
      <c r="H188" s="48"/>
      <c r="I188" s="48"/>
      <c r="J188" s="148"/>
      <c r="K188" s="148"/>
      <c r="L188" s="48"/>
      <c r="M188" s="138"/>
      <c r="N188" s="158"/>
      <c r="Q188" s="124"/>
      <c r="R188" s="124"/>
      <c r="S188" s="443"/>
      <c r="T188" s="443"/>
      <c r="U188" s="150"/>
      <c r="AC188" s="99">
        <v>1332214</v>
      </c>
      <c r="AD188" s="99">
        <f t="shared" si="8"/>
        <v>0</v>
      </c>
    </row>
    <row r="189" spans="1:30" s="147" customFormat="1" ht="18" customHeight="1" x14ac:dyDescent="0.2">
      <c r="A189" s="48"/>
      <c r="B189" s="48"/>
      <c r="C189" s="48"/>
      <c r="D189" s="48"/>
      <c r="E189" s="48"/>
      <c r="F189" s="48"/>
      <c r="G189" s="48"/>
      <c r="H189" s="48"/>
      <c r="I189" s="48"/>
      <c r="J189" s="148"/>
      <c r="K189" s="148"/>
      <c r="L189" s="48"/>
      <c r="M189" s="138"/>
      <c r="N189" s="158"/>
      <c r="Q189" s="124"/>
      <c r="R189" s="124"/>
      <c r="S189" s="443"/>
      <c r="T189" s="443"/>
      <c r="U189" s="150"/>
      <c r="AC189" s="99">
        <v>1336363</v>
      </c>
      <c r="AD189" s="99">
        <f t="shared" ref="AD189:AD211" si="9">SUMIF($C$29:$C$60,AC189,$L$29:$L$60)</f>
        <v>0</v>
      </c>
    </row>
    <row r="190" spans="1:30" s="147" customFormat="1" ht="18" customHeight="1" x14ac:dyDescent="0.2">
      <c r="A190" s="48"/>
      <c r="B190" s="48"/>
      <c r="C190" s="48"/>
      <c r="D190" s="48"/>
      <c r="E190" s="48"/>
      <c r="F190" s="48"/>
      <c r="G190" s="48"/>
      <c r="H190" s="48"/>
      <c r="I190" s="48"/>
      <c r="J190" s="148"/>
      <c r="K190" s="148"/>
      <c r="L190" s="48"/>
      <c r="M190" s="138"/>
      <c r="N190" s="158"/>
      <c r="Q190" s="124"/>
      <c r="R190" s="124"/>
      <c r="S190" s="443"/>
      <c r="T190" s="443"/>
      <c r="U190" s="150"/>
      <c r="AC190" s="99">
        <v>1582098</v>
      </c>
      <c r="AD190" s="99">
        <f t="shared" si="9"/>
        <v>0</v>
      </c>
    </row>
    <row r="191" spans="1:30" s="147" customFormat="1" ht="18" customHeight="1" x14ac:dyDescent="0.2">
      <c r="A191" s="48"/>
      <c r="B191" s="48"/>
      <c r="C191" s="48"/>
      <c r="D191" s="48"/>
      <c r="E191" s="48"/>
      <c r="F191" s="48"/>
      <c r="G191" s="48"/>
      <c r="H191" s="48"/>
      <c r="I191" s="48"/>
      <c r="J191" s="148"/>
      <c r="K191" s="148"/>
      <c r="L191" s="48"/>
      <c r="M191" s="138"/>
      <c r="N191" s="158"/>
      <c r="Q191" s="124"/>
      <c r="R191" s="124"/>
      <c r="S191" s="443"/>
      <c r="T191" s="443"/>
      <c r="U191" s="150"/>
      <c r="AC191" s="99">
        <v>1634044</v>
      </c>
      <c r="AD191" s="99">
        <f t="shared" si="9"/>
        <v>0</v>
      </c>
    </row>
    <row r="192" spans="1:30" s="147" customFormat="1" ht="18" customHeight="1" x14ac:dyDescent="0.2">
      <c r="A192" s="48"/>
      <c r="B192" s="48"/>
      <c r="C192" s="48"/>
      <c r="D192" s="48"/>
      <c r="E192" s="48"/>
      <c r="F192" s="48"/>
      <c r="G192" s="48"/>
      <c r="H192" s="48"/>
      <c r="I192" s="48"/>
      <c r="J192" s="148"/>
      <c r="K192" s="148"/>
      <c r="L192" s="48"/>
      <c r="M192" s="138"/>
      <c r="N192" s="158"/>
      <c r="Q192" s="124"/>
      <c r="R192" s="124"/>
      <c r="S192" s="443"/>
      <c r="T192" s="443"/>
      <c r="U192" s="150"/>
      <c r="AC192" s="99">
        <v>1746016</v>
      </c>
      <c r="AD192" s="99">
        <f t="shared" si="9"/>
        <v>0</v>
      </c>
    </row>
    <row r="193" spans="1:30" s="147" customFormat="1" ht="18" customHeight="1" x14ac:dyDescent="0.2">
      <c r="A193" s="48"/>
      <c r="B193" s="48"/>
      <c r="C193" s="48"/>
      <c r="D193" s="48"/>
      <c r="E193" s="48"/>
      <c r="F193" s="48"/>
      <c r="G193" s="48"/>
      <c r="H193" s="48"/>
      <c r="I193" s="48"/>
      <c r="J193" s="148"/>
      <c r="K193" s="148"/>
      <c r="L193" s="48"/>
      <c r="M193" s="138"/>
      <c r="N193" s="158"/>
      <c r="Q193" s="124"/>
      <c r="R193" s="124"/>
      <c r="S193" s="443"/>
      <c r="T193" s="443"/>
      <c r="U193" s="150"/>
      <c r="AC193" s="99">
        <v>3547044</v>
      </c>
      <c r="AD193" s="99">
        <f t="shared" si="9"/>
        <v>0</v>
      </c>
    </row>
    <row r="194" spans="1:30" s="147" customFormat="1" ht="18" customHeight="1" x14ac:dyDescent="0.2">
      <c r="A194" s="48"/>
      <c r="B194" s="48"/>
      <c r="C194" s="48"/>
      <c r="D194" s="48"/>
      <c r="E194" s="48"/>
      <c r="F194" s="48"/>
      <c r="G194" s="48"/>
      <c r="H194" s="48"/>
      <c r="I194" s="48"/>
      <c r="J194" s="148"/>
      <c r="K194" s="148"/>
      <c r="L194" s="48"/>
      <c r="M194" s="138"/>
      <c r="N194" s="158"/>
      <c r="Q194" s="124"/>
      <c r="R194" s="124"/>
      <c r="S194" s="443"/>
      <c r="T194" s="443"/>
      <c r="U194" s="150"/>
      <c r="AC194" s="99">
        <v>7439921</v>
      </c>
      <c r="AD194" s="99">
        <f t="shared" si="9"/>
        <v>0</v>
      </c>
    </row>
    <row r="195" spans="1:30" s="147" customFormat="1" ht="18" customHeight="1" x14ac:dyDescent="0.2">
      <c r="A195" s="48"/>
      <c r="B195" s="48"/>
      <c r="C195" s="48"/>
      <c r="D195" s="48"/>
      <c r="E195" s="48"/>
      <c r="F195" s="48"/>
      <c r="G195" s="48"/>
      <c r="H195" s="48"/>
      <c r="I195" s="48"/>
      <c r="J195" s="148"/>
      <c r="K195" s="148"/>
      <c r="L195" s="48"/>
      <c r="M195" s="138"/>
      <c r="N195" s="158"/>
      <c r="Q195" s="124"/>
      <c r="R195" s="124"/>
      <c r="S195" s="443"/>
      <c r="T195" s="443"/>
      <c r="U195" s="150"/>
      <c r="AC195" s="99">
        <v>7439965</v>
      </c>
      <c r="AD195" s="99">
        <f t="shared" si="9"/>
        <v>0</v>
      </c>
    </row>
    <row r="196" spans="1:30" s="147" customFormat="1" ht="18" customHeight="1" x14ac:dyDescent="0.2">
      <c r="A196" s="48"/>
      <c r="B196" s="48"/>
      <c r="C196" s="48"/>
      <c r="D196" s="48"/>
      <c r="E196" s="48"/>
      <c r="F196" s="48"/>
      <c r="G196" s="48"/>
      <c r="H196" s="48"/>
      <c r="I196" s="48"/>
      <c r="J196" s="148"/>
      <c r="K196" s="148"/>
      <c r="L196" s="48"/>
      <c r="M196" s="138"/>
      <c r="N196" s="158"/>
      <c r="Q196" s="124"/>
      <c r="R196" s="124"/>
      <c r="S196" s="443"/>
      <c r="T196" s="443"/>
      <c r="U196" s="150"/>
      <c r="AC196" s="99">
        <v>7439976</v>
      </c>
      <c r="AD196" s="99">
        <f t="shared" si="9"/>
        <v>0</v>
      </c>
    </row>
    <row r="197" spans="1:30" s="147" customFormat="1" ht="18" customHeight="1" x14ac:dyDescent="0.2">
      <c r="A197" s="48"/>
      <c r="B197" s="48"/>
      <c r="C197" s="48"/>
      <c r="D197" s="48"/>
      <c r="E197" s="48"/>
      <c r="F197" s="48"/>
      <c r="G197" s="48"/>
      <c r="H197" s="48"/>
      <c r="I197" s="48"/>
      <c r="J197" s="148"/>
      <c r="K197" s="148"/>
      <c r="L197" s="48"/>
      <c r="M197" s="138"/>
      <c r="N197" s="158"/>
      <c r="Q197" s="124"/>
      <c r="R197" s="124"/>
      <c r="S197" s="443"/>
      <c r="T197" s="443"/>
      <c r="U197" s="150"/>
      <c r="AC197" s="99">
        <v>7440020</v>
      </c>
      <c r="AD197" s="99">
        <f t="shared" si="9"/>
        <v>0</v>
      </c>
    </row>
    <row r="198" spans="1:30" s="147" customFormat="1" ht="18" customHeight="1" x14ac:dyDescent="0.2">
      <c r="A198" s="48"/>
      <c r="B198" s="48"/>
      <c r="C198" s="48"/>
      <c r="D198" s="48"/>
      <c r="E198" s="48"/>
      <c r="F198" s="48"/>
      <c r="G198" s="48"/>
      <c r="H198" s="48"/>
      <c r="I198" s="48"/>
      <c r="J198" s="148"/>
      <c r="K198" s="148"/>
      <c r="L198" s="48"/>
      <c r="M198" s="138"/>
      <c r="N198" s="158"/>
      <c r="Q198" s="124"/>
      <c r="R198" s="124"/>
      <c r="S198" s="443"/>
      <c r="T198" s="443"/>
      <c r="U198" s="150"/>
      <c r="AC198" s="99">
        <v>7440360</v>
      </c>
      <c r="AD198" s="99">
        <f t="shared" si="9"/>
        <v>0</v>
      </c>
    </row>
    <row r="199" spans="1:30" s="147" customFormat="1" ht="18" customHeight="1" x14ac:dyDescent="0.2">
      <c r="A199" s="48"/>
      <c r="B199" s="48"/>
      <c r="C199" s="48"/>
      <c r="D199" s="48"/>
      <c r="E199" s="48"/>
      <c r="F199" s="48"/>
      <c r="G199" s="48"/>
      <c r="H199" s="48"/>
      <c r="I199" s="48"/>
      <c r="J199" s="148"/>
      <c r="K199" s="148"/>
      <c r="L199" s="48"/>
      <c r="M199" s="138"/>
      <c r="N199" s="158"/>
      <c r="Q199" s="124"/>
      <c r="R199" s="124"/>
      <c r="S199" s="443"/>
      <c r="T199" s="443"/>
      <c r="U199" s="150"/>
      <c r="AC199" s="99">
        <v>7440382</v>
      </c>
      <c r="AD199" s="99">
        <f t="shared" si="9"/>
        <v>0</v>
      </c>
    </row>
    <row r="200" spans="1:30" s="147" customFormat="1" ht="18" customHeight="1" x14ac:dyDescent="0.2">
      <c r="A200" s="48"/>
      <c r="B200" s="48"/>
      <c r="C200" s="48"/>
      <c r="D200" s="48"/>
      <c r="E200" s="48"/>
      <c r="F200" s="48"/>
      <c r="G200" s="48"/>
      <c r="H200" s="48"/>
      <c r="I200" s="48"/>
      <c r="J200" s="148"/>
      <c r="K200" s="148"/>
      <c r="L200" s="48"/>
      <c r="M200" s="138"/>
      <c r="N200" s="158"/>
      <c r="Q200" s="124"/>
      <c r="R200" s="124"/>
      <c r="S200" s="443"/>
      <c r="T200" s="443"/>
      <c r="U200" s="150"/>
      <c r="AC200" s="99">
        <v>7440417</v>
      </c>
      <c r="AD200" s="99">
        <f t="shared" si="9"/>
        <v>0</v>
      </c>
    </row>
    <row r="201" spans="1:30" s="147" customFormat="1" ht="18" customHeight="1" x14ac:dyDescent="0.2">
      <c r="A201" s="48"/>
      <c r="B201" s="48"/>
      <c r="C201" s="48"/>
      <c r="D201" s="48"/>
      <c r="E201" s="48"/>
      <c r="F201" s="48"/>
      <c r="G201" s="48"/>
      <c r="H201" s="48"/>
      <c r="I201" s="48"/>
      <c r="J201" s="148"/>
      <c r="K201" s="148"/>
      <c r="L201" s="48"/>
      <c r="M201" s="138"/>
      <c r="N201" s="158"/>
      <c r="Q201" s="124"/>
      <c r="R201" s="124"/>
      <c r="S201" s="443"/>
      <c r="T201" s="443"/>
      <c r="U201" s="150"/>
      <c r="AC201" s="99">
        <v>7440439</v>
      </c>
      <c r="AD201" s="99">
        <f t="shared" si="9"/>
        <v>0</v>
      </c>
    </row>
    <row r="202" spans="1:30" s="147" customFormat="1" ht="18" customHeight="1" x14ac:dyDescent="0.2">
      <c r="A202" s="48"/>
      <c r="B202" s="48"/>
      <c r="C202" s="48"/>
      <c r="D202" s="48"/>
      <c r="E202" s="48"/>
      <c r="F202" s="48"/>
      <c r="G202" s="48"/>
      <c r="H202" s="48"/>
      <c r="I202" s="48"/>
      <c r="J202" s="148"/>
      <c r="K202" s="148"/>
      <c r="L202" s="48"/>
      <c r="M202" s="138"/>
      <c r="N202" s="158"/>
      <c r="Q202" s="124"/>
      <c r="R202" s="124"/>
      <c r="S202" s="443"/>
      <c r="T202" s="443"/>
      <c r="U202" s="150"/>
      <c r="AC202" s="99">
        <v>7440473</v>
      </c>
      <c r="AD202" s="99">
        <f t="shared" si="9"/>
        <v>0</v>
      </c>
    </row>
    <row r="203" spans="1:30" s="147" customFormat="1" ht="18" customHeight="1" x14ac:dyDescent="0.2">
      <c r="A203" s="48"/>
      <c r="B203" s="48"/>
      <c r="C203" s="48"/>
      <c r="D203" s="48"/>
      <c r="E203" s="48"/>
      <c r="F203" s="48"/>
      <c r="G203" s="48"/>
      <c r="H203" s="48"/>
      <c r="I203" s="48"/>
      <c r="J203" s="148"/>
      <c r="K203" s="148"/>
      <c r="L203" s="48"/>
      <c r="M203" s="138"/>
      <c r="N203" s="158"/>
      <c r="Q203" s="124"/>
      <c r="R203" s="124"/>
      <c r="S203" s="443"/>
      <c r="T203" s="443"/>
      <c r="U203" s="150"/>
      <c r="AC203" s="99">
        <v>7440484</v>
      </c>
      <c r="AD203" s="99">
        <f t="shared" si="9"/>
        <v>0</v>
      </c>
    </row>
    <row r="204" spans="1:30" s="147" customFormat="1" ht="18" customHeight="1" x14ac:dyDescent="0.2">
      <c r="A204" s="48"/>
      <c r="B204" s="48"/>
      <c r="C204" s="48"/>
      <c r="D204" s="48"/>
      <c r="E204" s="48"/>
      <c r="F204" s="48"/>
      <c r="G204" s="48"/>
      <c r="H204" s="48"/>
      <c r="I204" s="48"/>
      <c r="J204" s="148"/>
      <c r="K204" s="148"/>
      <c r="L204" s="48"/>
      <c r="M204" s="138"/>
      <c r="N204" s="158"/>
      <c r="Q204" s="124"/>
      <c r="R204" s="124"/>
      <c r="S204" s="443"/>
      <c r="T204" s="443"/>
      <c r="U204" s="150"/>
      <c r="AC204" s="99">
        <v>7550450</v>
      </c>
      <c r="AD204" s="99">
        <f t="shared" si="9"/>
        <v>0</v>
      </c>
    </row>
    <row r="205" spans="1:30" s="147" customFormat="1" ht="18" customHeight="1" x14ac:dyDescent="0.2">
      <c r="A205" s="48"/>
      <c r="B205" s="48"/>
      <c r="C205" s="48"/>
      <c r="D205" s="48"/>
      <c r="E205" s="48"/>
      <c r="F205" s="48"/>
      <c r="G205" s="48"/>
      <c r="H205" s="48"/>
      <c r="I205" s="48"/>
      <c r="J205" s="148"/>
      <c r="K205" s="148"/>
      <c r="L205" s="48"/>
      <c r="M205" s="138"/>
      <c r="N205" s="158"/>
      <c r="Q205" s="124"/>
      <c r="R205" s="124"/>
      <c r="S205" s="443"/>
      <c r="T205" s="443"/>
      <c r="U205" s="150"/>
      <c r="AC205" s="99">
        <v>7647010</v>
      </c>
      <c r="AD205" s="99">
        <f t="shared" si="9"/>
        <v>0</v>
      </c>
    </row>
    <row r="206" spans="1:30" s="147" customFormat="1" ht="18" customHeight="1" x14ac:dyDescent="0.2">
      <c r="A206" s="48"/>
      <c r="B206" s="48"/>
      <c r="C206" s="48"/>
      <c r="D206" s="48"/>
      <c r="E206" s="48"/>
      <c r="F206" s="48"/>
      <c r="G206" s="48"/>
      <c r="H206" s="48"/>
      <c r="I206" s="48"/>
      <c r="J206" s="148"/>
      <c r="K206" s="148"/>
      <c r="L206" s="48"/>
      <c r="M206" s="138"/>
      <c r="N206" s="158"/>
      <c r="Q206" s="124"/>
      <c r="R206" s="124"/>
      <c r="S206" s="443"/>
      <c r="T206" s="443"/>
      <c r="U206" s="150"/>
      <c r="AC206" s="99">
        <v>7664393</v>
      </c>
      <c r="AD206" s="99">
        <f t="shared" si="9"/>
        <v>0</v>
      </c>
    </row>
    <row r="207" spans="1:30" s="147" customFormat="1" ht="18" customHeight="1" x14ac:dyDescent="0.2">
      <c r="A207" s="48"/>
      <c r="B207" s="48"/>
      <c r="C207" s="48"/>
      <c r="D207" s="48"/>
      <c r="E207" s="48"/>
      <c r="F207" s="48"/>
      <c r="G207" s="48"/>
      <c r="H207" s="48"/>
      <c r="I207" s="48"/>
      <c r="J207" s="148"/>
      <c r="K207" s="148"/>
      <c r="L207" s="48"/>
      <c r="M207" s="138"/>
      <c r="N207" s="158"/>
      <c r="Q207" s="124"/>
      <c r="R207" s="124"/>
      <c r="S207" s="443"/>
      <c r="T207" s="443"/>
      <c r="U207" s="150"/>
      <c r="AC207" s="99">
        <v>7723140</v>
      </c>
      <c r="AD207" s="99">
        <f t="shared" si="9"/>
        <v>0</v>
      </c>
    </row>
    <row r="208" spans="1:30" s="147" customFormat="1" ht="18" customHeight="1" x14ac:dyDescent="0.2">
      <c r="A208" s="48"/>
      <c r="B208" s="48"/>
      <c r="C208" s="48"/>
      <c r="D208" s="48"/>
      <c r="E208" s="48"/>
      <c r="F208" s="48"/>
      <c r="G208" s="48"/>
      <c r="H208" s="48"/>
      <c r="I208" s="48"/>
      <c r="J208" s="148"/>
      <c r="K208" s="148"/>
      <c r="L208" s="48"/>
      <c r="M208" s="138"/>
      <c r="N208" s="158"/>
      <c r="Q208" s="124"/>
      <c r="R208" s="124"/>
      <c r="S208" s="443"/>
      <c r="T208" s="443"/>
      <c r="U208" s="150"/>
      <c r="AC208" s="99">
        <v>7782492</v>
      </c>
      <c r="AD208" s="99">
        <f t="shared" si="9"/>
        <v>0</v>
      </c>
    </row>
    <row r="209" spans="1:30" s="147" customFormat="1" ht="18" customHeight="1" x14ac:dyDescent="0.2">
      <c r="A209" s="48"/>
      <c r="B209" s="48"/>
      <c r="C209" s="48"/>
      <c r="D209" s="48"/>
      <c r="E209" s="48"/>
      <c r="F209" s="48"/>
      <c r="G209" s="48"/>
      <c r="H209" s="48"/>
      <c r="I209" s="48"/>
      <c r="J209" s="148"/>
      <c r="K209" s="148"/>
      <c r="L209" s="48"/>
      <c r="M209" s="138"/>
      <c r="N209" s="158"/>
      <c r="Q209" s="124"/>
      <c r="R209" s="124"/>
      <c r="S209" s="443"/>
      <c r="T209" s="443"/>
      <c r="U209" s="150"/>
      <c r="AC209" s="99">
        <v>7782505</v>
      </c>
      <c r="AD209" s="99">
        <f t="shared" si="9"/>
        <v>0</v>
      </c>
    </row>
    <row r="210" spans="1:30" s="147" customFormat="1" ht="18" customHeight="1" x14ac:dyDescent="0.2">
      <c r="A210" s="48"/>
      <c r="B210" s="48"/>
      <c r="C210" s="48"/>
      <c r="D210" s="48"/>
      <c r="E210" s="48"/>
      <c r="F210" s="48"/>
      <c r="G210" s="48"/>
      <c r="H210" s="48"/>
      <c r="I210" s="48"/>
      <c r="J210" s="148"/>
      <c r="K210" s="148"/>
      <c r="L210" s="48"/>
      <c r="M210" s="138"/>
      <c r="N210" s="158"/>
      <c r="Q210" s="124"/>
      <c r="R210" s="124"/>
      <c r="S210" s="443"/>
      <c r="T210" s="443"/>
      <c r="U210" s="150"/>
      <c r="AC210" s="99">
        <v>7803512</v>
      </c>
      <c r="AD210" s="99">
        <f t="shared" si="9"/>
        <v>0</v>
      </c>
    </row>
    <row r="211" spans="1:30" s="147" customFormat="1" ht="18" customHeight="1" x14ac:dyDescent="0.2">
      <c r="A211" s="48"/>
      <c r="B211" s="48"/>
      <c r="C211" s="48"/>
      <c r="D211" s="48"/>
      <c r="E211" s="48"/>
      <c r="F211" s="48"/>
      <c r="G211" s="48"/>
      <c r="H211" s="48"/>
      <c r="I211" s="48"/>
      <c r="J211" s="148"/>
      <c r="K211" s="148"/>
      <c r="L211" s="48"/>
      <c r="M211" s="138"/>
      <c r="N211" s="158"/>
      <c r="Q211" s="124"/>
      <c r="R211" s="124"/>
      <c r="S211" s="443"/>
      <c r="T211" s="443"/>
      <c r="U211" s="150"/>
      <c r="AC211" s="99">
        <v>8001352</v>
      </c>
      <c r="AD211" s="99">
        <f t="shared" si="9"/>
        <v>0</v>
      </c>
    </row>
    <row r="212" spans="1:30" s="147" customFormat="1" ht="18" customHeight="1" x14ac:dyDescent="0.25">
      <c r="A212" s="48"/>
      <c r="B212" s="48"/>
      <c r="C212" s="48"/>
      <c r="D212" s="48"/>
      <c r="E212" s="48"/>
      <c r="F212" s="48"/>
      <c r="G212" s="48"/>
      <c r="H212" s="48"/>
      <c r="I212" s="48"/>
      <c r="J212" s="148"/>
      <c r="K212" s="148"/>
      <c r="L212" s="48"/>
      <c r="M212" s="138"/>
      <c r="N212" s="158"/>
      <c r="Q212" s="124"/>
      <c r="R212" s="124"/>
      <c r="S212" s="443"/>
      <c r="T212" s="443"/>
      <c r="U212" s="150"/>
    </row>
    <row r="213" spans="1:30" s="147" customFormat="1" ht="18" customHeight="1" x14ac:dyDescent="0.25">
      <c r="A213" s="48"/>
      <c r="B213" s="48"/>
      <c r="C213" s="48"/>
      <c r="D213" s="48"/>
      <c r="E213" s="48"/>
      <c r="F213" s="48"/>
      <c r="G213" s="48"/>
      <c r="H213" s="48"/>
      <c r="I213" s="48"/>
      <c r="J213" s="148"/>
      <c r="K213" s="148"/>
      <c r="L213" s="48"/>
      <c r="M213" s="138"/>
      <c r="N213" s="158"/>
      <c r="Q213" s="124"/>
      <c r="R213" s="124"/>
      <c r="S213" s="443"/>
      <c r="T213" s="443"/>
      <c r="U213" s="150"/>
    </row>
    <row r="214" spans="1:30" s="147" customFormat="1" ht="18" customHeight="1" x14ac:dyDescent="0.25">
      <c r="A214" s="48"/>
      <c r="B214" s="48"/>
      <c r="C214" s="48"/>
      <c r="D214" s="48"/>
      <c r="E214" s="48"/>
      <c r="F214" s="48"/>
      <c r="G214" s="48"/>
      <c r="H214" s="48"/>
      <c r="I214" s="48"/>
      <c r="J214" s="148"/>
      <c r="K214" s="148"/>
      <c r="L214" s="48"/>
      <c r="M214" s="138"/>
      <c r="N214" s="158"/>
      <c r="Q214" s="124"/>
      <c r="R214" s="124"/>
      <c r="S214" s="443"/>
      <c r="T214" s="443"/>
      <c r="U214" s="150"/>
    </row>
    <row r="215" spans="1:30" s="147" customFormat="1" ht="18" customHeight="1" x14ac:dyDescent="0.25">
      <c r="A215" s="48"/>
      <c r="B215" s="48"/>
      <c r="C215" s="48"/>
      <c r="D215" s="48"/>
      <c r="E215" s="48"/>
      <c r="F215" s="48"/>
      <c r="G215" s="48"/>
      <c r="H215" s="48"/>
      <c r="I215" s="48"/>
      <c r="J215" s="148"/>
      <c r="K215" s="148"/>
      <c r="L215" s="48"/>
      <c r="M215" s="138"/>
      <c r="N215" s="158"/>
      <c r="Q215" s="124"/>
      <c r="R215" s="124"/>
      <c r="S215" s="443"/>
      <c r="T215" s="443"/>
      <c r="U215" s="150"/>
    </row>
    <row r="216" spans="1:30" s="147" customFormat="1" ht="18" customHeight="1" x14ac:dyDescent="0.25">
      <c r="A216" s="48"/>
      <c r="B216" s="48"/>
      <c r="C216" s="48"/>
      <c r="D216" s="48"/>
      <c r="E216" s="48"/>
      <c r="F216" s="48"/>
      <c r="G216" s="48"/>
      <c r="H216" s="48"/>
      <c r="I216" s="48"/>
      <c r="J216" s="148"/>
      <c r="K216" s="148"/>
      <c r="L216" s="48"/>
      <c r="M216" s="138"/>
      <c r="N216" s="158"/>
      <c r="Q216" s="124"/>
      <c r="R216" s="124"/>
      <c r="S216" s="443"/>
      <c r="T216" s="443"/>
      <c r="U216" s="150"/>
    </row>
    <row r="217" spans="1:30" s="147" customFormat="1" ht="18" customHeight="1" x14ac:dyDescent="0.25">
      <c r="A217" s="48"/>
      <c r="B217" s="48"/>
      <c r="C217" s="48"/>
      <c r="D217" s="48"/>
      <c r="E217" s="48"/>
      <c r="F217" s="48"/>
      <c r="G217" s="48"/>
      <c r="H217" s="48"/>
      <c r="I217" s="48"/>
      <c r="J217" s="148"/>
      <c r="K217" s="148"/>
      <c r="L217" s="48"/>
      <c r="M217" s="138"/>
      <c r="N217" s="158"/>
      <c r="Q217" s="124"/>
      <c r="R217" s="124"/>
      <c r="S217" s="443"/>
      <c r="T217" s="443"/>
      <c r="U217" s="150"/>
    </row>
    <row r="218" spans="1:30" s="147" customFormat="1" ht="18" customHeight="1" x14ac:dyDescent="0.25">
      <c r="A218" s="48"/>
      <c r="B218" s="48"/>
      <c r="C218" s="48"/>
      <c r="D218" s="48"/>
      <c r="E218" s="48"/>
      <c r="F218" s="48"/>
      <c r="G218" s="48"/>
      <c r="H218" s="48"/>
      <c r="I218" s="48"/>
      <c r="J218" s="148"/>
      <c r="K218" s="148"/>
      <c r="L218" s="48"/>
      <c r="M218" s="138"/>
      <c r="N218" s="158"/>
      <c r="Q218" s="124"/>
      <c r="R218" s="124"/>
      <c r="S218" s="443"/>
      <c r="T218" s="443"/>
      <c r="U218" s="150"/>
    </row>
    <row r="219" spans="1:30" s="147" customFormat="1" ht="18" customHeight="1" x14ac:dyDescent="0.25">
      <c r="A219" s="48"/>
      <c r="B219" s="48"/>
      <c r="C219" s="48"/>
      <c r="D219" s="48"/>
      <c r="E219" s="48"/>
      <c r="F219" s="48"/>
      <c r="G219" s="48"/>
      <c r="H219" s="48"/>
      <c r="I219" s="48"/>
      <c r="J219" s="148"/>
      <c r="K219" s="148"/>
      <c r="L219" s="48"/>
      <c r="M219" s="138"/>
      <c r="N219" s="158"/>
      <c r="Q219" s="124"/>
      <c r="R219" s="124"/>
      <c r="S219" s="443"/>
      <c r="T219" s="443"/>
      <c r="U219" s="150"/>
    </row>
    <row r="220" spans="1:30" s="147" customFormat="1" ht="18" customHeight="1" x14ac:dyDescent="0.25">
      <c r="A220" s="48"/>
      <c r="B220" s="48"/>
      <c r="C220" s="48"/>
      <c r="D220" s="48"/>
      <c r="E220" s="48"/>
      <c r="F220" s="48"/>
      <c r="G220" s="48"/>
      <c r="H220" s="48"/>
      <c r="I220" s="48"/>
      <c r="J220" s="148"/>
      <c r="K220" s="148"/>
      <c r="L220" s="48"/>
      <c r="M220" s="138"/>
      <c r="N220" s="158"/>
      <c r="Q220" s="124"/>
      <c r="R220" s="124"/>
      <c r="S220" s="443"/>
      <c r="T220" s="443"/>
      <c r="U220" s="150"/>
    </row>
    <row r="221" spans="1:30" s="147" customFormat="1" ht="18" customHeight="1" x14ac:dyDescent="0.25">
      <c r="A221" s="48"/>
      <c r="B221" s="48"/>
      <c r="C221" s="48"/>
      <c r="D221" s="48"/>
      <c r="E221" s="48"/>
      <c r="F221" s="48"/>
      <c r="G221" s="48"/>
      <c r="H221" s="48"/>
      <c r="I221" s="48"/>
      <c r="J221" s="148"/>
      <c r="K221" s="148"/>
      <c r="L221" s="48"/>
      <c r="M221" s="138"/>
      <c r="N221" s="158"/>
      <c r="Q221" s="124"/>
      <c r="R221" s="124"/>
      <c r="S221" s="443"/>
      <c r="T221" s="443"/>
      <c r="U221" s="150"/>
    </row>
    <row r="222" spans="1:30" s="147" customFormat="1" ht="18" customHeight="1" x14ac:dyDescent="0.25">
      <c r="A222" s="48"/>
      <c r="B222" s="48"/>
      <c r="C222" s="48"/>
      <c r="D222" s="48"/>
      <c r="E222" s="48"/>
      <c r="F222" s="48"/>
      <c r="G222" s="48"/>
      <c r="H222" s="48"/>
      <c r="I222" s="48"/>
      <c r="J222" s="148"/>
      <c r="K222" s="148"/>
      <c r="L222" s="48"/>
      <c r="M222" s="138"/>
      <c r="N222" s="158"/>
      <c r="Q222" s="124"/>
      <c r="R222" s="124"/>
      <c r="S222" s="443"/>
      <c r="T222" s="443"/>
      <c r="U222" s="150"/>
    </row>
    <row r="223" spans="1:30" s="147" customFormat="1" ht="18" customHeight="1" x14ac:dyDescent="0.25">
      <c r="A223" s="48"/>
      <c r="B223" s="48"/>
      <c r="C223" s="48"/>
      <c r="D223" s="48"/>
      <c r="E223" s="48"/>
      <c r="F223" s="48"/>
      <c r="G223" s="48"/>
      <c r="H223" s="48"/>
      <c r="I223" s="48"/>
      <c r="J223" s="148"/>
      <c r="K223" s="148"/>
      <c r="L223" s="48"/>
      <c r="M223" s="138"/>
      <c r="N223" s="158"/>
      <c r="Q223" s="124"/>
      <c r="R223" s="124"/>
      <c r="S223" s="443"/>
      <c r="T223" s="443"/>
      <c r="U223" s="150"/>
    </row>
    <row r="224" spans="1:30" s="147" customFormat="1" ht="18" customHeight="1" x14ac:dyDescent="0.25">
      <c r="A224" s="48"/>
      <c r="B224" s="48"/>
      <c r="C224" s="48"/>
      <c r="D224" s="48"/>
      <c r="E224" s="48"/>
      <c r="F224" s="48"/>
      <c r="G224" s="48"/>
      <c r="H224" s="48"/>
      <c r="I224" s="48"/>
      <c r="J224" s="148"/>
      <c r="K224" s="148"/>
      <c r="L224" s="48"/>
      <c r="M224" s="138"/>
      <c r="N224" s="158"/>
      <c r="Q224" s="124"/>
      <c r="R224" s="124"/>
      <c r="S224" s="443"/>
      <c r="T224" s="443"/>
      <c r="U224" s="150"/>
    </row>
    <row r="225" spans="1:21" s="147" customFormat="1" ht="18" customHeight="1" x14ac:dyDescent="0.25">
      <c r="A225" s="48"/>
      <c r="B225" s="48"/>
      <c r="C225" s="48"/>
      <c r="D225" s="48"/>
      <c r="E225" s="48"/>
      <c r="F225" s="48"/>
      <c r="G225" s="48"/>
      <c r="H225" s="48"/>
      <c r="I225" s="48"/>
      <c r="J225" s="148"/>
      <c r="K225" s="148"/>
      <c r="L225" s="48"/>
      <c r="M225" s="138"/>
      <c r="N225" s="158"/>
      <c r="Q225" s="124"/>
      <c r="R225" s="124"/>
      <c r="S225" s="443"/>
      <c r="T225" s="443"/>
      <c r="U225" s="150"/>
    </row>
    <row r="226" spans="1:21" s="147" customFormat="1" ht="18" customHeight="1" x14ac:dyDescent="0.25">
      <c r="A226" s="48"/>
      <c r="B226" s="48"/>
      <c r="C226" s="48"/>
      <c r="D226" s="48"/>
      <c r="E226" s="48"/>
      <c r="F226" s="48"/>
      <c r="G226" s="48"/>
      <c r="H226" s="48"/>
      <c r="I226" s="48"/>
      <c r="J226" s="148"/>
      <c r="K226" s="148"/>
      <c r="L226" s="48"/>
      <c r="M226" s="138"/>
      <c r="N226" s="158"/>
      <c r="Q226" s="124"/>
      <c r="R226" s="124"/>
      <c r="S226" s="443"/>
      <c r="T226" s="443"/>
      <c r="U226" s="150"/>
    </row>
    <row r="227" spans="1:21" s="147" customFormat="1" ht="18" customHeight="1" x14ac:dyDescent="0.25">
      <c r="A227" s="48"/>
      <c r="B227" s="48"/>
      <c r="C227" s="48"/>
      <c r="D227" s="48"/>
      <c r="E227" s="48"/>
      <c r="F227" s="48"/>
      <c r="G227" s="48"/>
      <c r="H227" s="48"/>
      <c r="I227" s="48"/>
      <c r="J227" s="148"/>
      <c r="K227" s="148"/>
      <c r="L227" s="48"/>
      <c r="M227" s="138"/>
      <c r="N227" s="158"/>
      <c r="Q227" s="124"/>
      <c r="R227" s="124"/>
      <c r="S227" s="443"/>
      <c r="T227" s="443"/>
      <c r="U227" s="150"/>
    </row>
    <row r="228" spans="1:21" s="147" customFormat="1" ht="18" customHeight="1" x14ac:dyDescent="0.25">
      <c r="A228" s="48"/>
      <c r="B228" s="48"/>
      <c r="C228" s="48"/>
      <c r="D228" s="48"/>
      <c r="E228" s="48"/>
      <c r="F228" s="48"/>
      <c r="G228" s="48"/>
      <c r="H228" s="48"/>
      <c r="I228" s="48"/>
      <c r="J228" s="148"/>
      <c r="K228" s="148"/>
      <c r="L228" s="48"/>
      <c r="M228" s="138"/>
      <c r="N228" s="158"/>
      <c r="Q228" s="124"/>
      <c r="R228" s="124"/>
      <c r="S228" s="443"/>
      <c r="T228" s="443"/>
      <c r="U228" s="150"/>
    </row>
    <row r="229" spans="1:21" s="147" customFormat="1" ht="18" customHeight="1" x14ac:dyDescent="0.25">
      <c r="A229" s="48"/>
      <c r="B229" s="48"/>
      <c r="C229" s="48"/>
      <c r="D229" s="48"/>
      <c r="E229" s="48"/>
      <c r="F229" s="48"/>
      <c r="G229" s="48"/>
      <c r="H229" s="48"/>
      <c r="I229" s="48"/>
      <c r="J229" s="148"/>
      <c r="K229" s="148"/>
      <c r="L229" s="48"/>
      <c r="M229" s="138"/>
      <c r="N229" s="158"/>
      <c r="Q229" s="124"/>
      <c r="R229" s="124"/>
      <c r="S229" s="443"/>
      <c r="T229" s="443"/>
      <c r="U229" s="150"/>
    </row>
    <row r="230" spans="1:21" s="147" customFormat="1" ht="18" customHeight="1" x14ac:dyDescent="0.25">
      <c r="A230" s="48"/>
      <c r="B230" s="48"/>
      <c r="C230" s="48"/>
      <c r="D230" s="48"/>
      <c r="E230" s="48"/>
      <c r="F230" s="48"/>
      <c r="G230" s="48"/>
      <c r="H230" s="48"/>
      <c r="I230" s="48"/>
      <c r="J230" s="148"/>
      <c r="K230" s="148"/>
      <c r="L230" s="48"/>
      <c r="M230" s="138"/>
      <c r="N230" s="158"/>
      <c r="Q230" s="124"/>
      <c r="R230" s="124"/>
      <c r="S230" s="443"/>
      <c r="T230" s="443"/>
      <c r="U230" s="150"/>
    </row>
    <row r="231" spans="1:21" s="147" customFormat="1" ht="18" customHeight="1" x14ac:dyDescent="0.25">
      <c r="A231" s="48"/>
      <c r="B231" s="48"/>
      <c r="C231" s="48"/>
      <c r="D231" s="48"/>
      <c r="E231" s="48"/>
      <c r="F231" s="48"/>
      <c r="G231" s="48"/>
      <c r="H231" s="48"/>
      <c r="I231" s="48"/>
      <c r="J231" s="148"/>
      <c r="K231" s="148"/>
      <c r="L231" s="48"/>
      <c r="M231" s="138"/>
      <c r="N231" s="158"/>
      <c r="Q231" s="124"/>
      <c r="R231" s="124"/>
      <c r="S231" s="443"/>
      <c r="T231" s="443"/>
      <c r="U231" s="150"/>
    </row>
    <row r="232" spans="1:21" s="147" customFormat="1" ht="18" customHeight="1" x14ac:dyDescent="0.25">
      <c r="A232" s="48"/>
      <c r="B232" s="48"/>
      <c r="C232" s="48"/>
      <c r="D232" s="48"/>
      <c r="E232" s="48"/>
      <c r="F232" s="48"/>
      <c r="G232" s="48"/>
      <c r="H232" s="48"/>
      <c r="I232" s="48"/>
      <c r="J232" s="148"/>
      <c r="K232" s="148"/>
      <c r="L232" s="48"/>
      <c r="M232" s="138"/>
      <c r="N232" s="158"/>
      <c r="Q232" s="124"/>
      <c r="R232" s="124"/>
      <c r="S232" s="443"/>
      <c r="T232" s="443"/>
      <c r="U232" s="150"/>
    </row>
    <row r="233" spans="1:21" s="147" customFormat="1" ht="18" customHeight="1" x14ac:dyDescent="0.25">
      <c r="A233" s="48"/>
      <c r="B233" s="48"/>
      <c r="C233" s="48"/>
      <c r="D233" s="48"/>
      <c r="E233" s="48"/>
      <c r="F233" s="48"/>
      <c r="G233" s="48"/>
      <c r="H233" s="48"/>
      <c r="I233" s="48"/>
      <c r="J233" s="148"/>
      <c r="K233" s="148"/>
      <c r="L233" s="48"/>
      <c r="M233" s="138"/>
      <c r="N233" s="158"/>
      <c r="Q233" s="124"/>
      <c r="R233" s="124"/>
      <c r="S233" s="443"/>
      <c r="T233" s="443"/>
      <c r="U233" s="150"/>
    </row>
    <row r="234" spans="1:21" s="147" customFormat="1" ht="18" customHeight="1" x14ac:dyDescent="0.25">
      <c r="A234" s="48"/>
      <c r="B234" s="48"/>
      <c r="C234" s="48"/>
      <c r="D234" s="48"/>
      <c r="E234" s="48"/>
      <c r="F234" s="48"/>
      <c r="G234" s="48"/>
      <c r="H234" s="48"/>
      <c r="I234" s="48"/>
      <c r="J234" s="148"/>
      <c r="K234" s="148"/>
      <c r="L234" s="48"/>
      <c r="M234" s="138"/>
      <c r="N234" s="158"/>
      <c r="Q234" s="124"/>
      <c r="R234" s="124"/>
      <c r="S234" s="443"/>
      <c r="T234" s="443"/>
      <c r="U234" s="150"/>
    </row>
    <row r="235" spans="1:21" s="147" customFormat="1" ht="18" customHeight="1" x14ac:dyDescent="0.25">
      <c r="A235" s="48"/>
      <c r="B235" s="48"/>
      <c r="C235" s="48"/>
      <c r="D235" s="48"/>
      <c r="E235" s="48"/>
      <c r="F235" s="48"/>
      <c r="G235" s="48"/>
      <c r="H235" s="48"/>
      <c r="I235" s="48"/>
      <c r="J235" s="148"/>
      <c r="K235" s="148"/>
      <c r="L235" s="48"/>
      <c r="M235" s="138"/>
      <c r="N235" s="158"/>
      <c r="Q235" s="124"/>
      <c r="R235" s="124"/>
      <c r="S235" s="443"/>
      <c r="T235" s="443"/>
      <c r="U235" s="150"/>
    </row>
    <row r="236" spans="1:21" s="147" customFormat="1" ht="18" customHeight="1" x14ac:dyDescent="0.25">
      <c r="A236" s="48"/>
      <c r="B236" s="48"/>
      <c r="C236" s="48"/>
      <c r="D236" s="48"/>
      <c r="E236" s="48"/>
      <c r="F236" s="48"/>
      <c r="G236" s="48"/>
      <c r="H236" s="48"/>
      <c r="I236" s="48"/>
      <c r="J236" s="148"/>
      <c r="K236" s="148"/>
      <c r="L236" s="48"/>
      <c r="M236" s="138"/>
      <c r="N236" s="158"/>
      <c r="Q236" s="124"/>
      <c r="R236" s="124"/>
      <c r="S236" s="443"/>
      <c r="T236" s="443"/>
      <c r="U236" s="150"/>
    </row>
    <row r="237" spans="1:21" s="147" customFormat="1" ht="18" customHeight="1" x14ac:dyDescent="0.25">
      <c r="A237" s="48"/>
      <c r="B237" s="48"/>
      <c r="C237" s="48"/>
      <c r="D237" s="48"/>
      <c r="E237" s="48"/>
      <c r="F237" s="48"/>
      <c r="G237" s="48"/>
      <c r="H237" s="48"/>
      <c r="I237" s="48"/>
      <c r="J237" s="148"/>
      <c r="K237" s="148"/>
      <c r="L237" s="48"/>
      <c r="M237" s="138"/>
      <c r="N237" s="158"/>
      <c r="Q237" s="124"/>
      <c r="R237" s="124"/>
      <c r="S237" s="443"/>
      <c r="T237" s="443"/>
      <c r="U237" s="150"/>
    </row>
    <row r="238" spans="1:21" s="147" customFormat="1" ht="18" customHeight="1" x14ac:dyDescent="0.25">
      <c r="A238" s="48"/>
      <c r="B238" s="48"/>
      <c r="C238" s="48"/>
      <c r="D238" s="48"/>
      <c r="E238" s="48"/>
      <c r="F238" s="48"/>
      <c r="G238" s="48"/>
      <c r="H238" s="48"/>
      <c r="I238" s="48"/>
      <c r="J238" s="148"/>
      <c r="K238" s="148"/>
      <c r="L238" s="48"/>
      <c r="M238" s="138"/>
      <c r="N238" s="158"/>
      <c r="Q238" s="124"/>
      <c r="R238" s="124"/>
      <c r="S238" s="443"/>
      <c r="T238" s="443"/>
      <c r="U238" s="150"/>
    </row>
    <row r="239" spans="1:21" s="147" customFormat="1" ht="18" customHeight="1" x14ac:dyDescent="0.25">
      <c r="A239" s="48"/>
      <c r="B239" s="48"/>
      <c r="C239" s="48"/>
      <c r="D239" s="48"/>
      <c r="E239" s="48"/>
      <c r="F239" s="48"/>
      <c r="G239" s="48"/>
      <c r="H239" s="48"/>
      <c r="I239" s="48"/>
      <c r="J239" s="148"/>
      <c r="K239" s="148"/>
      <c r="L239" s="48"/>
      <c r="M239" s="138"/>
      <c r="N239" s="158"/>
      <c r="Q239" s="124"/>
      <c r="R239" s="124"/>
      <c r="S239" s="443"/>
      <c r="T239" s="443"/>
      <c r="U239" s="150"/>
    </row>
    <row r="240" spans="1:21" s="147" customFormat="1" ht="18" customHeight="1" x14ac:dyDescent="0.25">
      <c r="A240" s="48"/>
      <c r="B240" s="48"/>
      <c r="C240" s="48"/>
      <c r="D240" s="48"/>
      <c r="E240" s="48"/>
      <c r="F240" s="48"/>
      <c r="G240" s="48"/>
      <c r="H240" s="48"/>
      <c r="I240" s="48"/>
      <c r="J240" s="148"/>
      <c r="K240" s="148"/>
      <c r="L240" s="48"/>
      <c r="M240" s="138"/>
      <c r="N240" s="158"/>
      <c r="Q240" s="124"/>
      <c r="R240" s="124"/>
      <c r="S240" s="443"/>
      <c r="T240" s="443"/>
      <c r="U240" s="150"/>
    </row>
    <row r="241" spans="1:21" s="147" customFormat="1" ht="18" customHeight="1" x14ac:dyDescent="0.25">
      <c r="A241" s="48"/>
      <c r="B241" s="48"/>
      <c r="C241" s="48"/>
      <c r="D241" s="48"/>
      <c r="E241" s="48"/>
      <c r="F241" s="48"/>
      <c r="G241" s="48"/>
      <c r="H241" s="48"/>
      <c r="I241" s="48"/>
      <c r="J241" s="148"/>
      <c r="K241" s="148"/>
      <c r="L241" s="48"/>
      <c r="M241" s="138"/>
      <c r="N241" s="158"/>
      <c r="Q241" s="124"/>
      <c r="R241" s="124"/>
      <c r="S241" s="443"/>
      <c r="T241" s="443"/>
      <c r="U241" s="150"/>
    </row>
    <row r="242" spans="1:21" s="147" customFormat="1" ht="18" customHeight="1" x14ac:dyDescent="0.25">
      <c r="A242" s="48"/>
      <c r="B242" s="48"/>
      <c r="C242" s="48"/>
      <c r="D242" s="48"/>
      <c r="E242" s="48"/>
      <c r="F242" s="48"/>
      <c r="G242" s="48"/>
      <c r="H242" s="48"/>
      <c r="I242" s="48"/>
      <c r="J242" s="148"/>
      <c r="K242" s="148"/>
      <c r="L242" s="48"/>
      <c r="M242" s="138"/>
      <c r="N242" s="158"/>
      <c r="Q242" s="124"/>
      <c r="R242" s="124"/>
      <c r="S242" s="443"/>
      <c r="T242" s="443"/>
      <c r="U242" s="150"/>
    </row>
    <row r="243" spans="1:21" s="147" customFormat="1" ht="18" customHeight="1" x14ac:dyDescent="0.25">
      <c r="A243" s="48"/>
      <c r="B243" s="48"/>
      <c r="C243" s="48"/>
      <c r="D243" s="48"/>
      <c r="E243" s="48"/>
      <c r="F243" s="48"/>
      <c r="G243" s="48"/>
      <c r="H243" s="48"/>
      <c r="I243" s="48"/>
      <c r="J243" s="148"/>
      <c r="K243" s="148"/>
      <c r="L243" s="48"/>
      <c r="M243" s="138"/>
      <c r="N243" s="158"/>
      <c r="Q243" s="124"/>
      <c r="R243" s="124"/>
      <c r="S243" s="443"/>
      <c r="T243" s="443"/>
      <c r="U243" s="150"/>
    </row>
    <row r="244" spans="1:21" s="147" customFormat="1" ht="18" customHeight="1" x14ac:dyDescent="0.25">
      <c r="A244" s="48"/>
      <c r="B244" s="48"/>
      <c r="C244" s="48"/>
      <c r="D244" s="48"/>
      <c r="E244" s="48"/>
      <c r="F244" s="48"/>
      <c r="G244" s="48"/>
      <c r="H244" s="48"/>
      <c r="I244" s="48"/>
      <c r="J244" s="148"/>
      <c r="K244" s="148"/>
      <c r="L244" s="48"/>
      <c r="M244" s="138"/>
      <c r="N244" s="158"/>
      <c r="Q244" s="124"/>
      <c r="R244" s="124"/>
      <c r="S244" s="443"/>
      <c r="T244" s="443"/>
      <c r="U244" s="150"/>
    </row>
    <row r="245" spans="1:21" s="147" customFormat="1" ht="18" customHeight="1" x14ac:dyDescent="0.25">
      <c r="A245" s="48"/>
      <c r="B245" s="48"/>
      <c r="C245" s="48"/>
      <c r="D245" s="48"/>
      <c r="E245" s="48"/>
      <c r="F245" s="48"/>
      <c r="G245" s="48"/>
      <c r="H245" s="48"/>
      <c r="I245" s="48"/>
      <c r="J245" s="148"/>
      <c r="K245" s="148"/>
      <c r="L245" s="48"/>
      <c r="M245" s="138"/>
      <c r="N245" s="158"/>
      <c r="Q245" s="124"/>
      <c r="R245" s="124"/>
      <c r="S245" s="443"/>
      <c r="T245" s="443"/>
      <c r="U245" s="150"/>
    </row>
    <row r="246" spans="1:21" s="147" customFormat="1" ht="18" customHeight="1" x14ac:dyDescent="0.25">
      <c r="A246" s="48"/>
      <c r="B246" s="48"/>
      <c r="C246" s="48"/>
      <c r="D246" s="48"/>
      <c r="E246" s="48"/>
      <c r="F246" s="48"/>
      <c r="G246" s="48"/>
      <c r="H246" s="48"/>
      <c r="I246" s="48"/>
      <c r="J246" s="148"/>
      <c r="K246" s="148"/>
      <c r="L246" s="48"/>
      <c r="M246" s="138"/>
      <c r="N246" s="158"/>
      <c r="Q246" s="124"/>
      <c r="R246" s="124"/>
      <c r="S246" s="443"/>
      <c r="T246" s="443"/>
      <c r="U246" s="150"/>
    </row>
    <row r="247" spans="1:21" s="147" customFormat="1" ht="18" customHeight="1" x14ac:dyDescent="0.25">
      <c r="A247" s="48"/>
      <c r="B247" s="48"/>
      <c r="C247" s="48"/>
      <c r="D247" s="48"/>
      <c r="E247" s="48"/>
      <c r="F247" s="48"/>
      <c r="G247" s="48"/>
      <c r="H247" s="48"/>
      <c r="I247" s="48"/>
      <c r="J247" s="148"/>
      <c r="K247" s="148"/>
      <c r="L247" s="48"/>
      <c r="M247" s="138"/>
      <c r="N247" s="158"/>
      <c r="Q247" s="124"/>
      <c r="R247" s="124"/>
      <c r="S247" s="443"/>
      <c r="T247" s="443"/>
      <c r="U247" s="150"/>
    </row>
    <row r="248" spans="1:21" s="147" customFormat="1" ht="18" customHeight="1" x14ac:dyDescent="0.25">
      <c r="A248" s="48"/>
      <c r="B248" s="48"/>
      <c r="C248" s="48"/>
      <c r="D248" s="48"/>
      <c r="E248" s="48"/>
      <c r="F248" s="48"/>
      <c r="G248" s="48"/>
      <c r="H248" s="48"/>
      <c r="I248" s="48"/>
      <c r="J248" s="148"/>
      <c r="K248" s="148"/>
      <c r="L248" s="48"/>
      <c r="M248" s="138"/>
      <c r="N248" s="158"/>
      <c r="Q248" s="124"/>
      <c r="R248" s="124"/>
      <c r="S248" s="443"/>
      <c r="T248" s="443"/>
      <c r="U248" s="150"/>
    </row>
    <row r="249" spans="1:21" s="147" customFormat="1" ht="18" customHeight="1" x14ac:dyDescent="0.25">
      <c r="A249" s="48"/>
      <c r="B249" s="48"/>
      <c r="C249" s="48"/>
      <c r="D249" s="48"/>
      <c r="E249" s="48"/>
      <c r="F249" s="48"/>
      <c r="G249" s="48"/>
      <c r="H249" s="48"/>
      <c r="I249" s="48"/>
      <c r="J249" s="148"/>
      <c r="K249" s="148"/>
      <c r="L249" s="48"/>
      <c r="M249" s="138"/>
      <c r="N249" s="158"/>
      <c r="Q249" s="124"/>
      <c r="R249" s="124"/>
      <c r="S249" s="443"/>
      <c r="T249" s="443"/>
      <c r="U249" s="150"/>
    </row>
    <row r="250" spans="1:21" s="147" customFormat="1" ht="18" customHeight="1" x14ac:dyDescent="0.25">
      <c r="A250" s="48"/>
      <c r="B250" s="48"/>
      <c r="C250" s="48"/>
      <c r="D250" s="48"/>
      <c r="E250" s="48"/>
      <c r="F250" s="48"/>
      <c r="G250" s="48"/>
      <c r="H250" s="48"/>
      <c r="I250" s="48"/>
      <c r="J250" s="148"/>
      <c r="K250" s="148"/>
      <c r="L250" s="48"/>
      <c r="M250" s="138"/>
      <c r="N250" s="158"/>
      <c r="Q250" s="124"/>
      <c r="R250" s="124"/>
      <c r="S250" s="443"/>
      <c r="T250" s="443"/>
      <c r="U250" s="150"/>
    </row>
    <row r="251" spans="1:21" s="147" customFormat="1" ht="18" customHeight="1" x14ac:dyDescent="0.25">
      <c r="A251" s="48"/>
      <c r="B251" s="48"/>
      <c r="C251" s="48"/>
      <c r="D251" s="48"/>
      <c r="E251" s="48"/>
      <c r="F251" s="48"/>
      <c r="G251" s="48"/>
      <c r="H251" s="48"/>
      <c r="I251" s="48"/>
      <c r="J251" s="148"/>
      <c r="K251" s="148"/>
      <c r="L251" s="48"/>
      <c r="M251" s="138"/>
      <c r="N251" s="158"/>
      <c r="Q251" s="124"/>
      <c r="R251" s="124"/>
      <c r="S251" s="443"/>
      <c r="T251" s="443"/>
      <c r="U251" s="150"/>
    </row>
    <row r="252" spans="1:21" s="147" customFormat="1" ht="18" customHeight="1" x14ac:dyDescent="0.25">
      <c r="A252" s="48"/>
      <c r="B252" s="48"/>
      <c r="C252" s="48"/>
      <c r="D252" s="48"/>
      <c r="E252" s="48"/>
      <c r="F252" s="48"/>
      <c r="G252" s="48"/>
      <c r="H252" s="48"/>
      <c r="I252" s="48"/>
      <c r="J252" s="148"/>
      <c r="K252" s="148"/>
      <c r="L252" s="48"/>
      <c r="M252" s="138"/>
      <c r="N252" s="158"/>
      <c r="Q252" s="124"/>
      <c r="R252" s="124"/>
      <c r="S252" s="443"/>
      <c r="T252" s="443"/>
      <c r="U252" s="150"/>
    </row>
    <row r="253" spans="1:21" s="147" customFormat="1" ht="18" customHeight="1" x14ac:dyDescent="0.25">
      <c r="A253" s="48"/>
      <c r="B253" s="48"/>
      <c r="C253" s="48"/>
      <c r="D253" s="48"/>
      <c r="E253" s="48"/>
      <c r="F253" s="48"/>
      <c r="G253" s="48"/>
      <c r="H253" s="48"/>
      <c r="I253" s="48"/>
      <c r="J253" s="148"/>
      <c r="K253" s="148"/>
      <c r="L253" s="48"/>
      <c r="M253" s="138"/>
      <c r="N253" s="158"/>
      <c r="Q253" s="124"/>
      <c r="R253" s="124"/>
      <c r="S253" s="443"/>
      <c r="T253" s="443"/>
      <c r="U253" s="150"/>
    </row>
    <row r="254" spans="1:21" s="147" customFormat="1" ht="18" customHeight="1" x14ac:dyDescent="0.25">
      <c r="A254" s="48"/>
      <c r="B254" s="48"/>
      <c r="C254" s="48"/>
      <c r="D254" s="48"/>
      <c r="E254" s="48"/>
      <c r="F254" s="48"/>
      <c r="G254" s="48"/>
      <c r="H254" s="48"/>
      <c r="I254" s="48"/>
      <c r="J254" s="148"/>
      <c r="K254" s="148"/>
      <c r="L254" s="48"/>
      <c r="M254" s="138"/>
      <c r="N254" s="158"/>
      <c r="Q254" s="124"/>
      <c r="R254" s="124"/>
      <c r="S254" s="443"/>
      <c r="T254" s="443"/>
      <c r="U254" s="150"/>
    </row>
    <row r="255" spans="1:21" s="147" customFormat="1" ht="18" customHeight="1" x14ac:dyDescent="0.25">
      <c r="A255" s="48"/>
      <c r="B255" s="48"/>
      <c r="C255" s="48"/>
      <c r="D255" s="48"/>
      <c r="E255" s="48"/>
      <c r="F255" s="48"/>
      <c r="G255" s="48"/>
      <c r="H255" s="48"/>
      <c r="I255" s="48"/>
      <c r="J255" s="148"/>
      <c r="K255" s="148"/>
      <c r="L255" s="48"/>
      <c r="M255" s="138"/>
      <c r="N255" s="158"/>
      <c r="Q255" s="124"/>
      <c r="R255" s="124"/>
      <c r="S255" s="443"/>
      <c r="T255" s="443"/>
      <c r="U255" s="150"/>
    </row>
    <row r="256" spans="1:21" s="147" customFormat="1" ht="18" customHeight="1" x14ac:dyDescent="0.25">
      <c r="A256" s="48"/>
      <c r="B256" s="48"/>
      <c r="C256" s="48"/>
      <c r="D256" s="48"/>
      <c r="E256" s="48"/>
      <c r="F256" s="48"/>
      <c r="G256" s="48"/>
      <c r="H256" s="48"/>
      <c r="I256" s="48"/>
      <c r="J256" s="148"/>
      <c r="K256" s="148"/>
      <c r="L256" s="48"/>
      <c r="M256" s="138"/>
      <c r="N256" s="158"/>
      <c r="Q256" s="124"/>
      <c r="R256" s="124"/>
      <c r="S256" s="443"/>
      <c r="T256" s="443"/>
      <c r="U256" s="150"/>
    </row>
    <row r="257" spans="1:21" s="147" customFormat="1" ht="18" customHeight="1" x14ac:dyDescent="0.25">
      <c r="A257" s="48"/>
      <c r="B257" s="48"/>
      <c r="C257" s="48"/>
      <c r="D257" s="48"/>
      <c r="E257" s="48"/>
      <c r="F257" s="48"/>
      <c r="G257" s="48"/>
      <c r="H257" s="48"/>
      <c r="I257" s="48"/>
      <c r="J257" s="148"/>
      <c r="K257" s="148"/>
      <c r="L257" s="48"/>
      <c r="M257" s="138"/>
      <c r="N257" s="158"/>
      <c r="Q257" s="124"/>
      <c r="R257" s="124"/>
      <c r="S257" s="443"/>
      <c r="T257" s="443"/>
      <c r="U257" s="150"/>
    </row>
    <row r="258" spans="1:21" s="147" customFormat="1" ht="18" customHeight="1" x14ac:dyDescent="0.25">
      <c r="A258" s="48"/>
      <c r="B258" s="48"/>
      <c r="C258" s="48"/>
      <c r="D258" s="48"/>
      <c r="E258" s="48"/>
      <c r="F258" s="48"/>
      <c r="G258" s="48"/>
      <c r="H258" s="48"/>
      <c r="I258" s="48"/>
      <c r="J258" s="148"/>
      <c r="K258" s="148"/>
      <c r="L258" s="48"/>
      <c r="M258" s="138"/>
      <c r="N258" s="158"/>
      <c r="Q258" s="124"/>
      <c r="R258" s="124"/>
      <c r="S258" s="443"/>
      <c r="T258" s="443"/>
      <c r="U258" s="150"/>
    </row>
    <row r="259" spans="1:21" s="147" customFormat="1" ht="18" customHeight="1" x14ac:dyDescent="0.25">
      <c r="A259" s="48"/>
      <c r="B259" s="48"/>
      <c r="C259" s="48"/>
      <c r="D259" s="48"/>
      <c r="E259" s="48"/>
      <c r="F259" s="48"/>
      <c r="G259" s="48"/>
      <c r="H259" s="48"/>
      <c r="I259" s="48"/>
      <c r="J259" s="148"/>
      <c r="K259" s="148"/>
      <c r="L259" s="48"/>
      <c r="M259" s="138"/>
      <c r="N259" s="158"/>
      <c r="Q259" s="124"/>
      <c r="R259" s="124"/>
      <c r="S259" s="443"/>
      <c r="T259" s="443"/>
      <c r="U259" s="150"/>
    </row>
    <row r="260" spans="1:21" s="147" customFormat="1" ht="18" customHeight="1" x14ac:dyDescent="0.25">
      <c r="A260" s="48"/>
      <c r="B260" s="48"/>
      <c r="C260" s="48"/>
      <c r="D260" s="48"/>
      <c r="E260" s="48"/>
      <c r="F260" s="48"/>
      <c r="G260" s="48"/>
      <c r="H260" s="48"/>
      <c r="I260" s="48"/>
      <c r="J260" s="148"/>
      <c r="K260" s="148"/>
      <c r="L260" s="48"/>
      <c r="M260" s="138"/>
      <c r="N260" s="158"/>
      <c r="Q260" s="124"/>
      <c r="R260" s="124"/>
      <c r="S260" s="443"/>
      <c r="T260" s="443"/>
      <c r="U260" s="150"/>
    </row>
    <row r="261" spans="1:21" s="147" customFormat="1" ht="18" customHeight="1" x14ac:dyDescent="0.25">
      <c r="A261" s="48"/>
      <c r="B261" s="48"/>
      <c r="C261" s="48"/>
      <c r="D261" s="48"/>
      <c r="E261" s="48"/>
      <c r="F261" s="48"/>
      <c r="G261" s="48"/>
      <c r="H261" s="48"/>
      <c r="I261" s="48"/>
      <c r="J261" s="148"/>
      <c r="K261" s="148"/>
      <c r="L261" s="48"/>
      <c r="M261" s="138"/>
      <c r="N261" s="158"/>
      <c r="Q261" s="124"/>
      <c r="R261" s="124"/>
      <c r="S261" s="443"/>
      <c r="T261" s="443"/>
      <c r="U261" s="150"/>
    </row>
    <row r="262" spans="1:21" s="147" customFormat="1" ht="18" customHeight="1" x14ac:dyDescent="0.25">
      <c r="A262" s="48"/>
      <c r="B262" s="48"/>
      <c r="C262" s="48"/>
      <c r="D262" s="48"/>
      <c r="E262" s="48"/>
      <c r="F262" s="48"/>
      <c r="G262" s="48"/>
      <c r="H262" s="48"/>
      <c r="I262" s="48"/>
      <c r="J262" s="148"/>
      <c r="K262" s="148"/>
      <c r="L262" s="48"/>
      <c r="M262" s="138"/>
      <c r="N262" s="158"/>
      <c r="Q262" s="124"/>
      <c r="R262" s="124"/>
      <c r="S262" s="443"/>
      <c r="T262" s="443"/>
      <c r="U262" s="150"/>
    </row>
    <row r="263" spans="1:21" s="147" customFormat="1" ht="18" customHeight="1" x14ac:dyDescent="0.25">
      <c r="A263" s="48"/>
      <c r="B263" s="48"/>
      <c r="C263" s="48"/>
      <c r="D263" s="48"/>
      <c r="E263" s="48"/>
      <c r="F263" s="48"/>
      <c r="G263" s="48"/>
      <c r="H263" s="48"/>
      <c r="I263" s="48"/>
      <c r="J263" s="148"/>
      <c r="K263" s="148"/>
      <c r="L263" s="48"/>
      <c r="M263" s="138"/>
      <c r="N263" s="158"/>
      <c r="Q263" s="124"/>
      <c r="R263" s="124"/>
      <c r="S263" s="443"/>
      <c r="T263" s="443"/>
      <c r="U263" s="150"/>
    </row>
    <row r="264" spans="1:21" s="147" customFormat="1" ht="18" customHeight="1" x14ac:dyDescent="0.25">
      <c r="A264" s="48"/>
      <c r="B264" s="48"/>
      <c r="C264" s="48"/>
      <c r="D264" s="48"/>
      <c r="E264" s="48"/>
      <c r="F264" s="48"/>
      <c r="G264" s="48"/>
      <c r="H264" s="48"/>
      <c r="I264" s="48"/>
      <c r="J264" s="148"/>
      <c r="K264" s="148"/>
      <c r="L264" s="48"/>
      <c r="M264" s="138"/>
      <c r="N264" s="158"/>
      <c r="Q264" s="124"/>
      <c r="R264" s="124"/>
      <c r="S264" s="443"/>
      <c r="T264" s="443"/>
      <c r="U264" s="150"/>
    </row>
    <row r="265" spans="1:21" s="147" customFormat="1" ht="18" customHeight="1" x14ac:dyDescent="0.25">
      <c r="A265" s="48"/>
      <c r="B265" s="48"/>
      <c r="C265" s="48"/>
      <c r="D265" s="48"/>
      <c r="E265" s="48"/>
      <c r="F265" s="48"/>
      <c r="G265" s="48"/>
      <c r="H265" s="48"/>
      <c r="I265" s="48"/>
      <c r="J265" s="148"/>
      <c r="K265" s="148"/>
      <c r="L265" s="48"/>
      <c r="M265" s="138"/>
      <c r="N265" s="158"/>
      <c r="Q265" s="124"/>
      <c r="R265" s="124"/>
      <c r="S265" s="443"/>
      <c r="T265" s="443"/>
      <c r="U265" s="150"/>
    </row>
    <row r="266" spans="1:21" s="147" customFormat="1" ht="18" customHeight="1" x14ac:dyDescent="0.25">
      <c r="A266" s="48"/>
      <c r="B266" s="48"/>
      <c r="C266" s="48"/>
      <c r="D266" s="48"/>
      <c r="E266" s="48"/>
      <c r="F266" s="48"/>
      <c r="G266" s="48"/>
      <c r="H266" s="48"/>
      <c r="I266" s="48"/>
      <c r="J266" s="148"/>
      <c r="K266" s="148"/>
      <c r="L266" s="48"/>
      <c r="M266" s="138"/>
      <c r="N266" s="158"/>
      <c r="Q266" s="124"/>
      <c r="R266" s="124"/>
      <c r="S266" s="443"/>
      <c r="T266" s="443"/>
      <c r="U266" s="150"/>
    </row>
    <row r="267" spans="1:21" s="147" customFormat="1" ht="18" customHeight="1" x14ac:dyDescent="0.25">
      <c r="A267" s="48"/>
      <c r="B267" s="48"/>
      <c r="C267" s="48"/>
      <c r="D267" s="48"/>
      <c r="E267" s="48"/>
      <c r="F267" s="48"/>
      <c r="G267" s="48"/>
      <c r="H267" s="48"/>
      <c r="I267" s="48"/>
      <c r="J267" s="148"/>
      <c r="K267" s="148"/>
      <c r="L267" s="48"/>
      <c r="M267" s="138"/>
      <c r="N267" s="158"/>
      <c r="Q267" s="124"/>
      <c r="R267" s="124"/>
      <c r="S267" s="443"/>
      <c r="T267" s="443"/>
      <c r="U267" s="150"/>
    </row>
    <row r="268" spans="1:21" s="147" customFormat="1" ht="18" customHeight="1" x14ac:dyDescent="0.25">
      <c r="A268" s="48"/>
      <c r="B268" s="48"/>
      <c r="C268" s="48"/>
      <c r="D268" s="48"/>
      <c r="E268" s="48"/>
      <c r="F268" s="48"/>
      <c r="G268" s="48"/>
      <c r="H268" s="48"/>
      <c r="I268" s="48"/>
      <c r="J268" s="148"/>
      <c r="K268" s="148"/>
      <c r="L268" s="48"/>
      <c r="M268" s="138"/>
      <c r="N268" s="158"/>
      <c r="Q268" s="124"/>
      <c r="R268" s="124"/>
      <c r="S268" s="443"/>
      <c r="T268" s="443"/>
      <c r="U268" s="150"/>
    </row>
    <row r="269" spans="1:21" s="147" customFormat="1" ht="18" customHeight="1" x14ac:dyDescent="0.25">
      <c r="A269" s="48"/>
      <c r="B269" s="48"/>
      <c r="C269" s="48"/>
      <c r="D269" s="48"/>
      <c r="E269" s="48"/>
      <c r="F269" s="48"/>
      <c r="G269" s="48"/>
      <c r="H269" s="48"/>
      <c r="I269" s="48"/>
      <c r="J269" s="148"/>
      <c r="K269" s="148"/>
      <c r="L269" s="48"/>
      <c r="M269" s="138"/>
      <c r="N269" s="158"/>
      <c r="Q269" s="124"/>
      <c r="R269" s="124"/>
      <c r="S269" s="443"/>
      <c r="T269" s="443"/>
      <c r="U269" s="150"/>
    </row>
    <row r="270" spans="1:21" s="147" customFormat="1" ht="18" customHeight="1" x14ac:dyDescent="0.25">
      <c r="A270" s="48"/>
      <c r="B270" s="48"/>
      <c r="C270" s="48"/>
      <c r="D270" s="48"/>
      <c r="E270" s="48"/>
      <c r="F270" s="48"/>
      <c r="G270" s="48"/>
      <c r="H270" s="48"/>
      <c r="I270" s="48"/>
      <c r="J270" s="148"/>
      <c r="K270" s="148"/>
      <c r="L270" s="48"/>
      <c r="M270" s="138"/>
      <c r="N270" s="158"/>
      <c r="Q270" s="124"/>
      <c r="R270" s="124"/>
      <c r="S270" s="443"/>
      <c r="T270" s="443"/>
      <c r="U270" s="150"/>
    </row>
    <row r="271" spans="1:21" s="147" customFormat="1" ht="18" customHeight="1" x14ac:dyDescent="0.25">
      <c r="A271" s="48"/>
      <c r="B271" s="48"/>
      <c r="C271" s="48"/>
      <c r="D271" s="48"/>
      <c r="E271" s="48"/>
      <c r="F271" s="48"/>
      <c r="G271" s="48"/>
      <c r="H271" s="48"/>
      <c r="I271" s="48"/>
      <c r="J271" s="148"/>
      <c r="K271" s="148"/>
      <c r="L271" s="48"/>
      <c r="M271" s="138"/>
      <c r="N271" s="158"/>
      <c r="Q271" s="124"/>
      <c r="R271" s="124"/>
      <c r="S271" s="443"/>
      <c r="T271" s="443"/>
      <c r="U271" s="150"/>
    </row>
    <row r="272" spans="1:21" s="147" customFormat="1" ht="18" customHeight="1" x14ac:dyDescent="0.25">
      <c r="A272" s="48"/>
      <c r="B272" s="48"/>
      <c r="C272" s="48"/>
      <c r="D272" s="48"/>
      <c r="E272" s="48"/>
      <c r="F272" s="48"/>
      <c r="G272" s="48"/>
      <c r="H272" s="48"/>
      <c r="I272" s="48"/>
      <c r="J272" s="148"/>
      <c r="K272" s="148"/>
      <c r="L272" s="48"/>
      <c r="M272" s="138"/>
      <c r="N272" s="158"/>
      <c r="Q272" s="124"/>
      <c r="R272" s="124"/>
      <c r="S272" s="443"/>
      <c r="T272" s="443"/>
      <c r="U272" s="150"/>
    </row>
    <row r="273" spans="1:21" s="147" customFormat="1" ht="18" customHeight="1" x14ac:dyDescent="0.25">
      <c r="A273" s="48"/>
      <c r="B273" s="48"/>
      <c r="C273" s="48"/>
      <c r="D273" s="48"/>
      <c r="E273" s="48"/>
      <c r="F273" s="48"/>
      <c r="G273" s="48"/>
      <c r="H273" s="48"/>
      <c r="I273" s="48"/>
      <c r="J273" s="148"/>
      <c r="K273" s="148"/>
      <c r="L273" s="48"/>
      <c r="M273" s="138"/>
      <c r="N273" s="158"/>
      <c r="Q273" s="124"/>
      <c r="R273" s="124"/>
      <c r="S273" s="443"/>
      <c r="T273" s="443"/>
      <c r="U273" s="150"/>
    </row>
    <row r="274" spans="1:21" s="147" customFormat="1" ht="18" customHeight="1" x14ac:dyDescent="0.25">
      <c r="A274" s="48"/>
      <c r="B274" s="48"/>
      <c r="C274" s="48"/>
      <c r="D274" s="48"/>
      <c r="E274" s="48"/>
      <c r="F274" s="48"/>
      <c r="G274" s="48"/>
      <c r="H274" s="48"/>
      <c r="I274" s="48"/>
      <c r="J274" s="148"/>
      <c r="K274" s="148"/>
      <c r="L274" s="48"/>
      <c r="M274" s="138"/>
      <c r="N274" s="158"/>
      <c r="Q274" s="124"/>
      <c r="R274" s="124"/>
      <c r="S274" s="443"/>
      <c r="T274" s="443"/>
      <c r="U274" s="150"/>
    </row>
    <row r="275" spans="1:21" s="147" customFormat="1" ht="18" customHeight="1" x14ac:dyDescent="0.25">
      <c r="A275" s="48"/>
      <c r="B275" s="48"/>
      <c r="C275" s="48"/>
      <c r="D275" s="48"/>
      <c r="E275" s="48"/>
      <c r="F275" s="48"/>
      <c r="G275" s="48"/>
      <c r="H275" s="48"/>
      <c r="I275" s="48"/>
      <c r="J275" s="148"/>
      <c r="K275" s="148"/>
      <c r="L275" s="48"/>
      <c r="M275" s="138"/>
      <c r="N275" s="158"/>
      <c r="Q275" s="124"/>
      <c r="R275" s="124"/>
      <c r="S275" s="443"/>
      <c r="T275" s="443"/>
      <c r="U275" s="150"/>
    </row>
    <row r="276" spans="1:21" s="147" customFormat="1" ht="18" customHeight="1" x14ac:dyDescent="0.25">
      <c r="A276" s="48"/>
      <c r="B276" s="48"/>
      <c r="C276" s="48"/>
      <c r="D276" s="48"/>
      <c r="E276" s="48"/>
      <c r="F276" s="48"/>
      <c r="G276" s="48"/>
      <c r="H276" s="48"/>
      <c r="I276" s="48"/>
      <c r="J276" s="148"/>
      <c r="K276" s="148"/>
      <c r="L276" s="48"/>
      <c r="M276" s="138"/>
      <c r="N276" s="158"/>
      <c r="Q276" s="124"/>
      <c r="R276" s="124"/>
      <c r="S276" s="443"/>
      <c r="T276" s="443"/>
      <c r="U276" s="150"/>
    </row>
    <row r="277" spans="1:21" s="147" customFormat="1" ht="18" customHeight="1" x14ac:dyDescent="0.25">
      <c r="A277" s="48"/>
      <c r="B277" s="48"/>
      <c r="C277" s="48"/>
      <c r="D277" s="48"/>
      <c r="E277" s="48"/>
      <c r="F277" s="48"/>
      <c r="G277" s="48"/>
      <c r="H277" s="48"/>
      <c r="I277" s="48"/>
      <c r="J277" s="148"/>
      <c r="K277" s="148"/>
      <c r="L277" s="48"/>
      <c r="M277" s="138"/>
      <c r="N277" s="158"/>
      <c r="Q277" s="124"/>
      <c r="R277" s="124"/>
      <c r="S277" s="443"/>
      <c r="T277" s="443"/>
      <c r="U277" s="150"/>
    </row>
    <row r="278" spans="1:21" s="147" customFormat="1" ht="18" customHeight="1" x14ac:dyDescent="0.25">
      <c r="A278" s="48"/>
      <c r="B278" s="48"/>
      <c r="C278" s="48"/>
      <c r="D278" s="48"/>
      <c r="E278" s="48"/>
      <c r="F278" s="48"/>
      <c r="G278" s="48"/>
      <c r="H278" s="48"/>
      <c r="I278" s="48"/>
      <c r="J278" s="148"/>
      <c r="K278" s="148"/>
      <c r="L278" s="48"/>
      <c r="M278" s="138"/>
      <c r="N278" s="158"/>
      <c r="Q278" s="124"/>
      <c r="R278" s="124"/>
      <c r="S278" s="443"/>
      <c r="T278" s="443"/>
      <c r="U278" s="150"/>
    </row>
  </sheetData>
  <sheetProtection algorithmName="SHA-512" hashValue="Br4C1VQi1TGxTFMS5nmFOEHyih7dzMcqovjpbJczerSQIG1g4atsOMNraMc/CQ1jZfdYgaecLzE0kTnDktwvCg==" saltValue="tOX8OwZToP2CdsgzzjXbDA==" spinCount="100000" sheet="1" objects="1" scenarios="1"/>
  <mergeCells count="31">
    <mergeCell ref="A1:L1"/>
    <mergeCell ref="H27:H28"/>
    <mergeCell ref="I27:I28"/>
    <mergeCell ref="J27:J28"/>
    <mergeCell ref="A27:A28"/>
    <mergeCell ref="B27:B28"/>
    <mergeCell ref="C27:C28"/>
    <mergeCell ref="G27:G28"/>
    <mergeCell ref="D27:D28"/>
    <mergeCell ref="A11:A12"/>
    <mergeCell ref="B11:B12"/>
    <mergeCell ref="C11:C12"/>
    <mergeCell ref="G11:G12"/>
    <mergeCell ref="H11:H12"/>
    <mergeCell ref="I11:I12"/>
    <mergeCell ref="B7:L7"/>
    <mergeCell ref="B6:L6"/>
    <mergeCell ref="B5:L5"/>
    <mergeCell ref="B4:L4"/>
    <mergeCell ref="B3:L3"/>
    <mergeCell ref="A2:L2"/>
    <mergeCell ref="A26:L26"/>
    <mergeCell ref="A25:L25"/>
    <mergeCell ref="A24:L24"/>
    <mergeCell ref="A23:L23"/>
    <mergeCell ref="A22:L22"/>
    <mergeCell ref="A21:L21"/>
    <mergeCell ref="D11:D12"/>
    <mergeCell ref="J11:J12"/>
    <mergeCell ref="B9:L9"/>
    <mergeCell ref="B8:L8"/>
  </mergeCells>
  <conditionalFormatting sqref="D29:K60">
    <cfRule type="expression" dxfId="44" priority="1">
      <formula>AND($A29="",NOT($B29=""),NOT($C29=""))</formula>
    </cfRule>
  </conditionalFormatting>
  <conditionalFormatting sqref="I29:J60 E29:F60">
    <cfRule type="expression" dxfId="43" priority="4">
      <formula>AND(NOT($A29=""),NOT($B29=""),NOT($C29=""),ISBLANK(E29))</formula>
    </cfRule>
  </conditionalFormatting>
  <conditionalFormatting sqref="I29:J60">
    <cfRule type="expression" dxfId="42" priority="2">
      <formula>E29="NO"</formula>
    </cfRule>
  </conditionalFormatting>
  <dataValidations count="5">
    <dataValidation type="list" showInputMessage="1" showErrorMessage="1" errorTitle="Error." error="Must select a control device!" promptTitle="Control Device" prompt="If you agreed to control emissions, indicate the type of control device used." sqref="J13:J19" xr:uid="{00000000-0002-0000-1200-000000000000}">
      <formula1>$Z$29:$Z$31</formula1>
    </dataValidation>
    <dataValidation type="list" showInputMessage="1" showErrorMessage="1" errorTitle="Error." error="Must select either &quot;Yes&quot; or &quot;No&quot;!" promptTitle="Throughput Limit" prompt="Indicate whether you agreed to limit throughput of this material in Table 6-A." sqref="E13:F19" xr:uid="{00000000-0002-0000-1200-000001000000}">
      <formula1>$W$29:$W$30</formula1>
    </dataValidation>
    <dataValidation type="list" errorStyle="warning" showInputMessage="1" showErrorMessage="1" errorTitle="Error." error="Must select either &quot;Yes&quot; or &quot;No&quot;!" promptTitle="Throughput Limit" prompt="Indicate whether you agreed to limit throughput of this material in Table 6-A." sqref="E29:F60" xr:uid="{00000000-0002-0000-1200-000002000000}">
      <formula1>$W$29:$W$30</formula1>
    </dataValidation>
    <dataValidation type="list" errorStyle="warning" showInputMessage="1" showErrorMessage="1" errorTitle="Error." error="Must select a control device!" promptTitle="Control Device" prompt="If you agreed to control emissions, indicate the type of control device used." sqref="J29:J60" xr:uid="{00000000-0002-0000-1200-000003000000}">
      <formula1>$Z$29:$Z$31</formula1>
    </dataValidation>
    <dataValidation type="list" showDropDown="1" showInputMessage="1" showErrorMessage="1" errorTitle="Invalid CAS #" error="The CAS # you entered does not match the CAS # for any listed HAP.  Check the number you entered." sqref="C29:D60" xr:uid="{00000000-0002-0000-1200-000004000000}">
      <formula1>$G$4:$G$60</formula1>
    </dataValidation>
  </dataValidations>
  <printOptions horizontalCentered="1"/>
  <pageMargins left="0.5" right="0.5" top="0.5" bottom="0.5" header="0.3" footer="0.3"/>
  <pageSetup scale="73" fitToHeight="0" orientation="landscape" r:id="rId1"/>
  <headerFooter>
    <oddFooter>&amp;LRev. 2/2014&amp;C&amp;A&amp;RPage &amp;P</oddFooter>
  </headerFooter>
  <drawing r:id="rId2"/>
  <extLst>
    <ext xmlns:x14="http://schemas.microsoft.com/office/spreadsheetml/2009/9/main" uri="{CCE6A557-97BC-4b89-ADB6-D9C93CAAB3DF}">
      <x14:dataValidations xmlns:xm="http://schemas.microsoft.com/office/excel/2006/main" count="1">
        <x14:dataValidation type="list" showDropDown="1" showInputMessage="1" showErrorMessage="1" errorTitle="Invalid CAS #" error="The CAS # you entered does not match the CAS # for any listed HAP.  Check the number you entered." xr:uid="{00000000-0002-0000-1200-000005000000}">
          <x14:formula1>
            <xm:f>'HAP CAS &amp; Names'!$F$4:$F$186</xm:f>
          </x14:formula1>
          <xm:sqref>C13:C19 D14:D15 D17:D19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2060"/>
    <pageSetUpPr fitToPage="1"/>
  </sheetPr>
  <dimension ref="A1:Y90"/>
  <sheetViews>
    <sheetView showGridLines="0" zoomScaleNormal="100" workbookViewId="0">
      <selection sqref="A1:F6"/>
    </sheetView>
  </sheetViews>
  <sheetFormatPr defaultRowHeight="18" customHeight="1" x14ac:dyDescent="0.25"/>
  <cols>
    <col min="1" max="1" width="28" style="50" customWidth="1"/>
    <col min="2" max="6" width="16.28515625" style="48" customWidth="1"/>
    <col min="7" max="7" width="5" style="48" customWidth="1"/>
    <col min="8" max="13" width="11.7109375" style="48" customWidth="1"/>
    <col min="14" max="14" width="9.42578125" style="48" bestFit="1" customWidth="1"/>
    <col min="15" max="16384" width="9.140625" style="48"/>
  </cols>
  <sheetData>
    <row r="1" spans="1:19" s="47" customFormat="1" ht="24.95" customHeight="1" x14ac:dyDescent="0.25">
      <c r="A1" s="870"/>
      <c r="B1" s="870"/>
      <c r="C1" s="870"/>
      <c r="D1" s="870"/>
      <c r="E1" s="870"/>
      <c r="F1" s="870"/>
    </row>
    <row r="2" spans="1:19" s="47" customFormat="1" ht="18.95" customHeight="1" x14ac:dyDescent="0.25">
      <c r="A2" s="870"/>
      <c r="B2" s="870"/>
      <c r="C2" s="870"/>
      <c r="D2" s="870"/>
      <c r="E2" s="870"/>
      <c r="F2" s="870"/>
      <c r="G2" s="48"/>
      <c r="H2" s="48"/>
      <c r="I2" s="48"/>
      <c r="J2" s="48"/>
      <c r="K2" s="48"/>
      <c r="L2" s="48"/>
    </row>
    <row r="3" spans="1:19" s="47" customFormat="1" ht="18.95" customHeight="1" x14ac:dyDescent="0.25">
      <c r="A3" s="870"/>
      <c r="B3" s="870"/>
      <c r="C3" s="870"/>
      <c r="D3" s="870"/>
      <c r="E3" s="870"/>
      <c r="F3" s="870"/>
      <c r="G3" s="48"/>
      <c r="H3" s="48"/>
      <c r="I3" s="48"/>
      <c r="J3" s="48"/>
      <c r="K3" s="48"/>
      <c r="L3" s="48"/>
    </row>
    <row r="4" spans="1:19" s="47" customFormat="1" ht="18.95" customHeight="1" x14ac:dyDescent="0.25">
      <c r="A4" s="870"/>
      <c r="B4" s="870"/>
      <c r="C4" s="870"/>
      <c r="D4" s="870"/>
      <c r="E4" s="870"/>
      <c r="F4" s="870"/>
      <c r="G4" s="48"/>
      <c r="H4" s="48"/>
      <c r="I4" s="48"/>
      <c r="J4" s="48"/>
      <c r="K4" s="48"/>
      <c r="L4" s="48"/>
    </row>
    <row r="5" spans="1:19" s="47" customFormat="1" ht="18.95" customHeight="1" x14ac:dyDescent="0.25">
      <c r="A5" s="870"/>
      <c r="B5" s="870"/>
      <c r="C5" s="870"/>
      <c r="D5" s="870"/>
      <c r="E5" s="870"/>
      <c r="F5" s="870"/>
      <c r="G5" s="48"/>
      <c r="H5" s="48"/>
      <c r="I5" s="48"/>
      <c r="J5" s="48"/>
      <c r="K5" s="48"/>
      <c r="L5" s="48"/>
    </row>
    <row r="6" spans="1:19" s="47" customFormat="1" ht="15.95" customHeight="1" x14ac:dyDescent="0.25">
      <c r="A6" s="870"/>
      <c r="B6" s="870"/>
      <c r="C6" s="870"/>
      <c r="D6" s="870"/>
      <c r="E6" s="870"/>
      <c r="F6" s="870"/>
      <c r="G6" s="48"/>
      <c r="H6" s="48"/>
      <c r="I6" s="48"/>
      <c r="J6" s="48"/>
      <c r="K6" s="48"/>
      <c r="L6" s="48"/>
    </row>
    <row r="7" spans="1:19" ht="17.100000000000001" customHeight="1" x14ac:dyDescent="0.25">
      <c r="A7" s="884" t="s">
        <v>1375</v>
      </c>
      <c r="B7" s="886" t="s">
        <v>1920</v>
      </c>
      <c r="C7" s="886"/>
      <c r="D7" s="886" t="s">
        <v>1921</v>
      </c>
      <c r="E7" s="886"/>
      <c r="F7" s="886"/>
    </row>
    <row r="8" spans="1:19" ht="17.100000000000001" customHeight="1" x14ac:dyDescent="0.25">
      <c r="A8" s="884"/>
      <c r="B8" s="886" t="s">
        <v>1811</v>
      </c>
      <c r="C8" s="886"/>
      <c r="D8" s="886" t="s">
        <v>1922</v>
      </c>
      <c r="E8" s="886"/>
      <c r="F8" s="886"/>
      <c r="N8" s="81" t="b">
        <v>0</v>
      </c>
      <c r="O8" s="81" t="b">
        <v>0</v>
      </c>
      <c r="P8" s="81" t="b">
        <v>0</v>
      </c>
      <c r="Q8" s="81" t="b">
        <v>0</v>
      </c>
      <c r="S8" s="125" t="b">
        <f>IF(AND(N8=FALSE,O8=FALSE,P8=FALSE,Q8=FALSE),FALSE,TRUE)</f>
        <v>0</v>
      </c>
    </row>
    <row r="9" spans="1:19" ht="18" customHeight="1" thickBot="1" x14ac:dyDescent="0.3">
      <c r="A9" s="885" t="s">
        <v>1418</v>
      </c>
      <c r="B9" s="885"/>
      <c r="C9" s="885"/>
      <c r="D9" s="885"/>
      <c r="E9" s="885"/>
      <c r="F9" s="885"/>
    </row>
    <row r="10" spans="1:19" ht="24.95" customHeight="1" thickBot="1" x14ac:dyDescent="0.3">
      <c r="A10" s="800" t="s">
        <v>1712</v>
      </c>
      <c r="B10" s="801"/>
      <c r="C10" s="801"/>
      <c r="D10" s="801"/>
      <c r="E10" s="801"/>
      <c r="F10" s="802"/>
    </row>
    <row r="11" spans="1:19" ht="20.100000000000001" customHeight="1" x14ac:dyDescent="0.25">
      <c r="A11" s="35" t="s">
        <v>1364</v>
      </c>
      <c r="B11" s="871"/>
      <c r="C11" s="871"/>
      <c r="D11" s="871"/>
      <c r="E11" s="871"/>
      <c r="F11" s="872"/>
    </row>
    <row r="12" spans="1:19" ht="20.100000000000001" customHeight="1" x14ac:dyDescent="0.25">
      <c r="A12" s="36" t="s">
        <v>1368</v>
      </c>
      <c r="B12" s="863"/>
      <c r="C12" s="863"/>
      <c r="D12" s="863"/>
      <c r="E12" s="863"/>
      <c r="F12" s="864"/>
    </row>
    <row r="13" spans="1:19" ht="20.100000000000001" customHeight="1" x14ac:dyDescent="0.25">
      <c r="A13" s="36" t="s">
        <v>1365</v>
      </c>
      <c r="B13" s="43"/>
      <c r="C13" s="34" t="s">
        <v>1366</v>
      </c>
      <c r="D13" s="44"/>
      <c r="E13" s="34" t="s">
        <v>1367</v>
      </c>
      <c r="F13" s="45"/>
    </row>
    <row r="14" spans="1:19" ht="15" customHeight="1" x14ac:dyDescent="0.25">
      <c r="A14" s="792" t="s">
        <v>1369</v>
      </c>
      <c r="B14" s="243" t="s">
        <v>1791</v>
      </c>
      <c r="C14" s="891" t="str">
        <f>IF(AND(N14=TRUE,O14=TRUE),"Too many boxes checked.",IF(N14=TRUE,"If so, name the state where incorporated:",""))</f>
        <v/>
      </c>
      <c r="D14" s="891"/>
      <c r="E14" s="887"/>
      <c r="F14" s="888"/>
      <c r="N14" s="82" t="b">
        <v>0</v>
      </c>
      <c r="O14" s="82" t="b">
        <v>0</v>
      </c>
    </row>
    <row r="15" spans="1:19" ht="15" customHeight="1" thickBot="1" x14ac:dyDescent="0.3">
      <c r="A15" s="893"/>
      <c r="B15" s="244" t="s">
        <v>1792</v>
      </c>
      <c r="C15" s="892"/>
      <c r="D15" s="892"/>
      <c r="E15" s="889"/>
      <c r="F15" s="890"/>
    </row>
    <row r="16" spans="1:19" ht="24.95" customHeight="1" thickBot="1" x14ac:dyDescent="0.3">
      <c r="A16" s="800" t="s">
        <v>1713</v>
      </c>
      <c r="B16" s="801"/>
      <c r="C16" s="801"/>
      <c r="D16" s="801"/>
      <c r="E16" s="801"/>
      <c r="F16" s="802"/>
      <c r="N16" s="125" t="b">
        <f>IF(AND($S$8=TRUE,NOT(ISBLANK(B11)),NOT(ISBLANK(B12)),NOT(ISBLANK(B13)),NOT(ISBLANK(D13)),NOT(ISBLANK(F13)),OR(AND(N14=TRUE,O14=FALSE,NOT(ISBLANK(E14))),AND(N14=FALSE,O14=TRUE))),TRUE,FALSE)</f>
        <v>0</v>
      </c>
      <c r="O16" s="932" t="s">
        <v>1754</v>
      </c>
      <c r="P16" s="933"/>
      <c r="Q16" s="933"/>
      <c r="R16" s="933"/>
      <c r="S16" s="934"/>
    </row>
    <row r="17" spans="1:21" ht="20.100000000000001" customHeight="1" thickBot="1" x14ac:dyDescent="0.3">
      <c r="A17" s="35" t="s">
        <v>292</v>
      </c>
      <c r="B17" s="871"/>
      <c r="C17" s="871"/>
      <c r="D17" s="871"/>
      <c r="E17" s="871"/>
      <c r="F17" s="872"/>
    </row>
    <row r="18" spans="1:21" ht="20.100000000000001" customHeight="1" thickBot="1" x14ac:dyDescent="0.3">
      <c r="A18" s="36" t="s">
        <v>293</v>
      </c>
      <c r="B18" s="882"/>
      <c r="C18" s="882"/>
      <c r="D18" s="882"/>
      <c r="E18" s="882"/>
      <c r="F18" s="883"/>
      <c r="G18" s="179" t="s">
        <v>1768</v>
      </c>
      <c r="H18" s="826" t="s">
        <v>1769</v>
      </c>
      <c r="I18" s="827"/>
      <c r="J18" s="827"/>
      <c r="K18" s="827"/>
      <c r="L18" s="828"/>
    </row>
    <row r="19" spans="1:21" ht="20.100000000000001" customHeight="1" thickBot="1" x14ac:dyDescent="0.3">
      <c r="A19" s="36" t="s">
        <v>294</v>
      </c>
      <c r="B19" s="863"/>
      <c r="C19" s="863"/>
      <c r="D19" s="863"/>
      <c r="E19" s="863"/>
      <c r="F19" s="864"/>
    </row>
    <row r="20" spans="1:21" ht="20.100000000000001" customHeight="1" x14ac:dyDescent="0.25">
      <c r="A20" s="36" t="s">
        <v>295</v>
      </c>
      <c r="B20" s="46"/>
      <c r="C20" s="34" t="s">
        <v>296</v>
      </c>
      <c r="D20" s="33" t="s">
        <v>1786</v>
      </c>
      <c r="E20" s="34" t="s">
        <v>297</v>
      </c>
      <c r="F20" s="45"/>
      <c r="H20" s="923" t="s">
        <v>2234</v>
      </c>
      <c r="I20" s="924"/>
      <c r="J20" s="924"/>
      <c r="K20" s="924"/>
      <c r="L20" s="925"/>
    </row>
    <row r="21" spans="1:21" ht="27" customHeight="1" x14ac:dyDescent="0.25">
      <c r="A21" s="879" t="s">
        <v>298</v>
      </c>
      <c r="B21" s="447">
        <v>424510</v>
      </c>
      <c r="C21" s="876" t="str">
        <f>IF(ISBLANK(B21),"",IF(B21&gt;999999,"Invalid Entry",IFERROR(VLOOKUP(B21,'2012NAICS'!$A$3:$B$1067,2),"Invalid Entry")))</f>
        <v xml:space="preserve">Grain and Field Bean Merchant Wholesalers </v>
      </c>
      <c r="D21" s="877"/>
      <c r="E21" s="877"/>
      <c r="F21" s="878"/>
      <c r="G21" s="897" t="s">
        <v>1390</v>
      </c>
      <c r="H21" s="926"/>
      <c r="I21" s="927"/>
      <c r="J21" s="927"/>
      <c r="K21" s="927"/>
      <c r="L21" s="928"/>
    </row>
    <row r="22" spans="1:21" ht="27" customHeight="1" thickBot="1" x14ac:dyDescent="0.3">
      <c r="A22" s="880"/>
      <c r="B22" s="447">
        <v>493130</v>
      </c>
      <c r="C22" s="835" t="str">
        <f>IF(ISBLANK(B22),"",IF(B22&gt;999999,"Invalid Entry",IFERROR(VLOOKUP(B22,'2012NAICS'!$A$3:$B$1067,2),"Invalid Entry")))</f>
        <v>Farm Product Warehousing and Storage</v>
      </c>
      <c r="D22" s="836"/>
      <c r="E22" s="836"/>
      <c r="F22" s="837"/>
      <c r="G22" s="897"/>
      <c r="H22" s="929"/>
      <c r="I22" s="930"/>
      <c r="J22" s="930"/>
      <c r="K22" s="930"/>
      <c r="L22" s="931"/>
    </row>
    <row r="23" spans="1:21" ht="27" customHeight="1" thickBot="1" x14ac:dyDescent="0.3">
      <c r="A23" s="881"/>
      <c r="B23" s="448">
        <v>311211</v>
      </c>
      <c r="C23" s="873" t="str">
        <f>IF(ISBLANK(B23),"",IF(B23&gt;999999,"Invalid Entry",IFERROR(VLOOKUP(B23,'2012NAICS'!$A$3:$B$1067,2),"Invalid Entry")))</f>
        <v xml:space="preserve">Flour Milling </v>
      </c>
      <c r="D23" s="874"/>
      <c r="E23" s="874"/>
      <c r="F23" s="875"/>
      <c r="G23" s="897"/>
      <c r="H23" s="894" t="s">
        <v>1416</v>
      </c>
      <c r="I23" s="895"/>
      <c r="J23" s="895"/>
      <c r="K23" s="895"/>
      <c r="L23" s="896"/>
      <c r="N23" s="125" t="b">
        <f>IF(AND(N16=TRUE,NOT(ISBLANK(B17)),NOT(ISBLANK(B18)),NOT(ISBLANK(B19)),NOT(ISBLANK(B20)),NOT(ISBLANK(F20)),NOT(ISBLANK(B21))),TRUE,FALSE)</f>
        <v>0</v>
      </c>
    </row>
    <row r="24" spans="1:21" ht="15" customHeight="1" x14ac:dyDescent="0.25">
      <c r="A24" s="792" t="s">
        <v>1377</v>
      </c>
      <c r="B24" s="243" t="s">
        <v>1791</v>
      </c>
      <c r="C24" s="865" t="str">
        <f>IF(AND(N24=TRUE,O24=TRUE),"Too many boxes checked.",IF(N24=TRUE,"If so, which state(s)?",""))</f>
        <v/>
      </c>
      <c r="D24" s="807" t="str">
        <f>IF(AND($N24=FALSE,$O24=TRUE),"","         Iowa")</f>
        <v xml:space="preserve">         Iowa</v>
      </c>
      <c r="E24" s="807" t="str">
        <f>IF(AND($N24=FALSE,$O24=TRUE),"","         Kansas")</f>
        <v xml:space="preserve">         Kansas</v>
      </c>
      <c r="F24" s="808" t="str">
        <f>IF(AND($N24=FALSE,$O24=TRUE),"","         Missouri")</f>
        <v xml:space="preserve">         Missouri</v>
      </c>
      <c r="H24" s="914" t="s">
        <v>1923</v>
      </c>
      <c r="I24" s="915"/>
      <c r="J24" s="915"/>
      <c r="K24" s="915"/>
      <c r="L24" s="916"/>
      <c r="N24" s="82" t="b">
        <v>0</v>
      </c>
      <c r="O24" s="82" t="b">
        <v>0</v>
      </c>
      <c r="Q24" s="82" t="b">
        <v>0</v>
      </c>
      <c r="R24" s="82" t="b">
        <v>0</v>
      </c>
      <c r="S24" s="82" t="b">
        <v>0</v>
      </c>
      <c r="U24" s="125" t="b">
        <f>IF(AND(N24=TRUE,O24=TRUE),FALSE,IF(O24=TRUE,TRUE,IF(AND(N24=TRUE,OR(Q24=TRUE,R24=TRUE,S24=TRUE)),TRUE,FALSE)))</f>
        <v>0</v>
      </c>
    </row>
    <row r="25" spans="1:21" ht="15" customHeight="1" x14ac:dyDescent="0.25">
      <c r="A25" s="793"/>
      <c r="B25" s="245" t="s">
        <v>1792</v>
      </c>
      <c r="C25" s="866"/>
      <c r="D25" s="810"/>
      <c r="E25" s="810"/>
      <c r="F25" s="811"/>
      <c r="H25" s="917"/>
      <c r="I25" s="918"/>
      <c r="J25" s="918"/>
      <c r="K25" s="918"/>
      <c r="L25" s="919"/>
    </row>
    <row r="26" spans="1:21" ht="15" customHeight="1" x14ac:dyDescent="0.25">
      <c r="A26" s="794" t="s">
        <v>1363</v>
      </c>
      <c r="B26" s="243" t="s">
        <v>1791</v>
      </c>
      <c r="C26" s="796" t="str">
        <f>IF(AND(N26=TRUE,O26=TRUE),"Too many boxes checked.",IF(AND(N26=FALSE,O26=TRUE),"",IF(N26=TRUE,"If yes, provide the following information:","")))</f>
        <v/>
      </c>
      <c r="D26" s="796"/>
      <c r="E26" s="796"/>
      <c r="F26" s="797"/>
      <c r="H26" s="917"/>
      <c r="I26" s="918"/>
      <c r="J26" s="918"/>
      <c r="K26" s="918"/>
      <c r="L26" s="919"/>
      <c r="N26" s="82" t="b">
        <v>0</v>
      </c>
      <c r="O26" s="82" t="b">
        <v>0</v>
      </c>
    </row>
    <row r="27" spans="1:21" ht="15" customHeight="1" x14ac:dyDescent="0.25">
      <c r="A27" s="795"/>
      <c r="B27" s="245" t="s">
        <v>1792</v>
      </c>
      <c r="C27" s="798"/>
      <c r="D27" s="798"/>
      <c r="E27" s="798"/>
      <c r="F27" s="799"/>
      <c r="H27" s="917"/>
      <c r="I27" s="918"/>
      <c r="J27" s="918"/>
      <c r="K27" s="918"/>
      <c r="L27" s="919"/>
    </row>
    <row r="28" spans="1:21" ht="20.100000000000001" customHeight="1" x14ac:dyDescent="0.25">
      <c r="A28" s="36" t="str">
        <f>IF(AND(N26=FALSE,O26=TRUE),"","Property Owner Name:")</f>
        <v>Property Owner Name:</v>
      </c>
      <c r="B28" s="953"/>
      <c r="C28" s="953"/>
      <c r="D28" s="953"/>
      <c r="E28" s="953"/>
      <c r="F28" s="954"/>
      <c r="H28" s="917"/>
      <c r="I28" s="918"/>
      <c r="J28" s="918"/>
      <c r="K28" s="918"/>
      <c r="L28" s="919"/>
    </row>
    <row r="29" spans="1:21" ht="20.100000000000001" customHeight="1" x14ac:dyDescent="0.25">
      <c r="A29" s="36" t="str">
        <f>IF(AND(N26=FALSE,O26=TRUE),"","Property Owner Address:")</f>
        <v>Property Owner Address:</v>
      </c>
      <c r="B29" s="863"/>
      <c r="C29" s="863"/>
      <c r="D29" s="863"/>
      <c r="E29" s="863"/>
      <c r="F29" s="864"/>
      <c r="H29" s="917"/>
      <c r="I29" s="918"/>
      <c r="J29" s="918"/>
      <c r="K29" s="918"/>
      <c r="L29" s="919"/>
    </row>
    <row r="30" spans="1:21" ht="20.100000000000001" customHeight="1" thickBot="1" x14ac:dyDescent="0.3">
      <c r="A30" s="36" t="str">
        <f>IF(AND(N26=FALSE,O26=TRUE),"","Property Owner City:")</f>
        <v>Property Owner City:</v>
      </c>
      <c r="B30" s="43"/>
      <c r="C30" s="34" t="str">
        <f>IF(AND(N26=FALSE,O26=TRUE),"","State:")</f>
        <v>State:</v>
      </c>
      <c r="D30" s="44"/>
      <c r="E30" s="34" t="str">
        <f>IF(AND(N26=FALSE,O26=TRUE),"","ZIP:")</f>
        <v>ZIP:</v>
      </c>
      <c r="F30" s="45"/>
      <c r="H30" s="917"/>
      <c r="I30" s="918"/>
      <c r="J30" s="918"/>
      <c r="K30" s="918"/>
      <c r="L30" s="919"/>
    </row>
    <row r="31" spans="1:21" ht="24.95" customHeight="1" thickBot="1" x14ac:dyDescent="0.3">
      <c r="A31" s="800" t="s">
        <v>1714</v>
      </c>
      <c r="B31" s="801"/>
      <c r="C31" s="801"/>
      <c r="D31" s="801"/>
      <c r="E31" s="801"/>
      <c r="F31" s="802"/>
      <c r="H31" s="917"/>
      <c r="I31" s="918"/>
      <c r="J31" s="918"/>
      <c r="K31" s="918"/>
      <c r="L31" s="919"/>
      <c r="N31" s="125" t="b">
        <f>IF(AND(N16=TRUE,N23=TRUE,U24=TRUE,N26=TRUE,O26=FALSE,NOT(ISBLANK(B28)),NOT(ISBLANK(B29)),NOT(ISBLANK(B30)),NOT(ISBLANK(D30)),NOT(ISBLANK(F30))),TRUE,IF(AND(N16=TRUE,N26=FALSE,O26=TRUE,U24=TRUE),TRUE,FALSE))</f>
        <v>0</v>
      </c>
      <c r="O31" s="932" t="s">
        <v>1757</v>
      </c>
      <c r="P31" s="933"/>
      <c r="Q31" s="933"/>
      <c r="R31" s="933"/>
      <c r="S31" s="934"/>
    </row>
    <row r="32" spans="1:21" ht="20.100000000000001" customHeight="1" thickBot="1" x14ac:dyDescent="0.3">
      <c r="A32" s="36" t="s">
        <v>1370</v>
      </c>
      <c r="B32" s="842"/>
      <c r="C32" s="843"/>
      <c r="D32" s="843"/>
      <c r="E32" s="843"/>
      <c r="F32" s="844"/>
      <c r="H32" s="920"/>
      <c r="I32" s="921"/>
      <c r="J32" s="921"/>
      <c r="K32" s="921"/>
      <c r="L32" s="922"/>
    </row>
    <row r="33" spans="1:19" ht="27.95" customHeight="1" x14ac:dyDescent="0.25">
      <c r="A33" s="37" t="s">
        <v>1374</v>
      </c>
      <c r="B33" s="845"/>
      <c r="C33" s="846"/>
      <c r="D33" s="846"/>
      <c r="E33" s="846"/>
      <c r="F33" s="847"/>
    </row>
    <row r="34" spans="1:19" ht="20.100000000000001" customHeight="1" x14ac:dyDescent="0.25">
      <c r="A34" s="36" t="s">
        <v>1372</v>
      </c>
      <c r="B34" s="840"/>
      <c r="C34" s="841"/>
      <c r="D34" s="34" t="s">
        <v>1371</v>
      </c>
      <c r="E34" s="838"/>
      <c r="F34" s="839"/>
    </row>
    <row r="35" spans="1:19" ht="27.95" customHeight="1" x14ac:dyDescent="0.25">
      <c r="A35" s="37" t="s">
        <v>1439</v>
      </c>
      <c r="B35" s="840"/>
      <c r="C35" s="841"/>
      <c r="D35" s="83" t="s">
        <v>1440</v>
      </c>
      <c r="E35" s="803"/>
      <c r="F35" s="804"/>
      <c r="N35" s="125" t="b">
        <f>IF(AND(N31=TRUE,NOT(ISBLANK(B32)),NOT(ISBLANK(B33)),NOT(ISBLANK(B34)),NOT(ISBLANK(E34))),TRUE,FALSE)</f>
        <v>0</v>
      </c>
      <c r="O35" s="932" t="s">
        <v>1755</v>
      </c>
      <c r="P35" s="933"/>
      <c r="Q35" s="933"/>
      <c r="R35" s="933"/>
      <c r="S35" s="934"/>
    </row>
    <row r="36" spans="1:19" ht="21.95" customHeight="1" x14ac:dyDescent="0.25">
      <c r="A36" s="861" t="s">
        <v>1373</v>
      </c>
      <c r="B36" s="854" t="s">
        <v>1793</v>
      </c>
      <c r="C36" s="854"/>
      <c r="D36" s="857" t="str">
        <f>IF(AND(N36=TRUE,O36=TRUE),"Too many boxes checked.",IF(O36=TRUE,"If other, provide the following information:",""))</f>
        <v/>
      </c>
      <c r="E36" s="857"/>
      <c r="F36" s="858"/>
      <c r="N36" s="82" t="b">
        <v>0</v>
      </c>
      <c r="O36" s="82" t="b">
        <v>0</v>
      </c>
    </row>
    <row r="37" spans="1:19" ht="21.95" customHeight="1" x14ac:dyDescent="0.25">
      <c r="A37" s="862"/>
      <c r="B37" s="805" t="s">
        <v>1794</v>
      </c>
      <c r="C37" s="806"/>
      <c r="D37" s="859"/>
      <c r="E37" s="859"/>
      <c r="F37" s="860"/>
    </row>
    <row r="38" spans="1:19" ht="20.100000000000001" customHeight="1" x14ac:dyDescent="0.25">
      <c r="A38" s="36" t="str">
        <f>IF(AND(N36=TRUE,O36=FALSE),"","Primary Contact Person:")</f>
        <v>Primary Contact Person:</v>
      </c>
      <c r="B38" s="845"/>
      <c r="C38" s="846"/>
      <c r="D38" s="846"/>
      <c r="E38" s="846"/>
      <c r="F38" s="847"/>
    </row>
    <row r="39" spans="1:19" ht="27.95" customHeight="1" x14ac:dyDescent="0.25">
      <c r="A39" s="37" t="str">
        <f>IF(AND(N36=TRUE,O36=FALSE),"","Primary Contact Person Company: (if different)")</f>
        <v>Primary Contact Person Company: (if different)</v>
      </c>
      <c r="B39" s="845"/>
      <c r="C39" s="846"/>
      <c r="D39" s="846"/>
      <c r="E39" s="846"/>
      <c r="F39" s="847"/>
    </row>
    <row r="40" spans="1:19" ht="20.100000000000001" customHeight="1" x14ac:dyDescent="0.25">
      <c r="A40" s="36" t="str">
        <f>IF(AND(N36=TRUE,O36=FALSE),"","Phone Number:")</f>
        <v>Phone Number:</v>
      </c>
      <c r="B40" s="840"/>
      <c r="C40" s="841"/>
      <c r="D40" s="34" t="str">
        <f>IF(AND(N36=TRUE,O36=FALSE),"","E-Mail:")</f>
        <v>E-Mail:</v>
      </c>
      <c r="E40" s="951"/>
      <c r="F40" s="952"/>
    </row>
    <row r="41" spans="1:19" ht="27.95" customHeight="1" thickBot="1" x14ac:dyDescent="0.3">
      <c r="A41" s="37" t="str">
        <f>IF(AND(N36=TRUE,O36=FALSE),"","Alternate Phone Number: (optional)")</f>
        <v>Alternate Phone Number: (optional)</v>
      </c>
      <c r="B41" s="840"/>
      <c r="C41" s="841"/>
      <c r="D41" s="83" t="str">
        <f>IF(AND(N36=TRUE,O36=FALSE),"","Fax Number: (optional)")</f>
        <v>Fax Number: (optional)</v>
      </c>
      <c r="E41" s="803"/>
      <c r="F41" s="804"/>
      <c r="N41" s="125" t="b">
        <f>IF(OR(AND(N31=TRUE,O36=TRUE,N36=FALSE,NOT(ISBLANK(B38)),NOT(ISBLANK(B40)),NOT(ISBLANK(E40))),AND(N36=TRUE,O36=FALSE)),TRUE,FALSE)</f>
        <v>0</v>
      </c>
      <c r="O41" s="932" t="s">
        <v>1756</v>
      </c>
      <c r="P41" s="933"/>
      <c r="Q41" s="933"/>
      <c r="R41" s="933"/>
      <c r="S41" s="934"/>
    </row>
    <row r="42" spans="1:19" ht="24.95" customHeight="1" thickBot="1" x14ac:dyDescent="0.3">
      <c r="A42" s="800" t="s">
        <v>1715</v>
      </c>
      <c r="B42" s="801"/>
      <c r="C42" s="801"/>
      <c r="D42" s="801"/>
      <c r="E42" s="801"/>
      <c r="F42" s="802"/>
      <c r="N42" s="125" t="b">
        <f>IF(AND(N31=TRUE,N35=TRUE,N41=TRUE),TRUE,FALSE)</f>
        <v>0</v>
      </c>
      <c r="O42" s="932" t="s">
        <v>1758</v>
      </c>
      <c r="P42" s="933"/>
      <c r="Q42" s="933"/>
      <c r="R42" s="933"/>
      <c r="S42" s="934"/>
    </row>
    <row r="43" spans="1:19" ht="20.100000000000001" customHeight="1" x14ac:dyDescent="0.25">
      <c r="A43" s="851" t="s">
        <v>1376</v>
      </c>
      <c r="B43" s="852"/>
      <c r="C43" s="852"/>
      <c r="D43" s="853"/>
      <c r="E43" s="239" t="s">
        <v>1791</v>
      </c>
      <c r="F43" s="240" t="s">
        <v>1792</v>
      </c>
      <c r="G43" s="898" t="str">
        <f>IF(AND(N43=TRUE,O43=TRUE),"Too many boxes checked.","")</f>
        <v/>
      </c>
      <c r="H43" s="899"/>
      <c r="I43" s="899"/>
      <c r="J43" s="899"/>
      <c r="N43" s="82" t="b">
        <v>0</v>
      </c>
      <c r="O43" s="82" t="b">
        <v>0</v>
      </c>
    </row>
    <row r="44" spans="1:19" ht="20.100000000000001" customHeight="1" x14ac:dyDescent="0.25">
      <c r="A44" s="813" t="str">
        <f>IF(AND(N43=FALSE,O43=TRUE),"","If so, what type of operating permit does the facility hold?")</f>
        <v>If so, what type of operating permit does the facility hold?</v>
      </c>
      <c r="B44" s="815"/>
      <c r="C44" s="809" t="str">
        <f>IF(AND(N43=FALSE,O43=TRUE),"","       Class I (Title V) - Major Source")</f>
        <v xml:space="preserve">       Class I (Title V) - Major Source</v>
      </c>
      <c r="D44" s="807"/>
      <c r="E44" s="807" t="str">
        <f>IF(AND(N43=FALSE,O43=TRUE),"","       Class II - Minor Source")</f>
        <v xml:space="preserve">       Class II - Minor Source</v>
      </c>
      <c r="F44" s="808"/>
      <c r="G44" s="898" t="str">
        <f>IF(OR(AND(N44=TRUE,O44=TRUE),AND(N44=TRUE,P44=TRUE),AND(O44=TRUE,P44=TRUE)),"Too many boxes checked.","")</f>
        <v/>
      </c>
      <c r="H44" s="899"/>
      <c r="I44" s="899"/>
      <c r="J44" s="899"/>
      <c r="N44" s="82" t="b">
        <v>0</v>
      </c>
      <c r="O44" s="82" t="b">
        <v>0</v>
      </c>
      <c r="P44" s="82" t="b">
        <v>0</v>
      </c>
    </row>
    <row r="45" spans="1:19" ht="20.100000000000001" customHeight="1" x14ac:dyDescent="0.25">
      <c r="A45" s="848"/>
      <c r="B45" s="850"/>
      <c r="C45" s="812" t="str">
        <f>IF(AND(N43=FALSE,O43=TRUE),"","       Class II - Synthetic Minor Source")</f>
        <v xml:space="preserve">       Class II - Synthetic Minor Source</v>
      </c>
      <c r="D45" s="810"/>
      <c r="E45" s="810"/>
      <c r="F45" s="811"/>
      <c r="G45" s="898" t="str">
        <f>IF(AND(N45=TRUE,O45=TRUE),"Too many boxes checked.","")</f>
        <v/>
      </c>
      <c r="H45" s="899"/>
      <c r="I45" s="899"/>
      <c r="J45" s="899"/>
      <c r="N45" s="125" t="b">
        <f>IF(AND(N41=TRUE,N43=TRUE,O43=FALSE,OR(AND(N44=TRUE,O44=FALSE,P44=FALSE),AND(N44=FALSE,O44=TRUE,P44=FALSE),AND(N44=FALSE,O44=FALSE,P44=TRUE))),TRUE,IF(AND(N41=TRUE,N43=FALSE,O43=TRUE),TRUE,FALSE))</f>
        <v>0</v>
      </c>
      <c r="O45" s="932" t="s">
        <v>1759</v>
      </c>
      <c r="P45" s="933"/>
      <c r="Q45" s="933"/>
      <c r="R45" s="933"/>
      <c r="S45" s="934"/>
    </row>
    <row r="46" spans="1:19" ht="20.100000000000001" customHeight="1" x14ac:dyDescent="0.25">
      <c r="A46" s="976" t="str">
        <f>IF(AND(N43=FALSE,O43=TRUE),"","What is the expiration date of the operating permit you currently hold?")</f>
        <v>What is the expiration date of the operating permit you currently hold?</v>
      </c>
      <c r="B46" s="977"/>
      <c r="C46" s="977"/>
      <c r="D46" s="978"/>
      <c r="E46" s="979"/>
      <c r="F46" s="980"/>
      <c r="N46" s="125" t="b">
        <f>IF(AND(N45=TRUE,NOT(ISBLANK(E46))),TRUE,FALSE)</f>
        <v>0</v>
      </c>
      <c r="O46" s="932" t="s">
        <v>1760</v>
      </c>
      <c r="P46" s="933"/>
      <c r="Q46" s="933"/>
      <c r="R46" s="933"/>
      <c r="S46" s="934"/>
    </row>
    <row r="47" spans="1:19" ht="30" customHeight="1" x14ac:dyDescent="0.25">
      <c r="A47" s="813" t="s">
        <v>1378</v>
      </c>
      <c r="B47" s="814"/>
      <c r="C47" s="814"/>
      <c r="D47" s="815"/>
      <c r="E47" s="241" t="s">
        <v>1791</v>
      </c>
      <c r="F47" s="242" t="s">
        <v>1792</v>
      </c>
      <c r="G47" s="898" t="str">
        <f>IF(AND(N47=TRUE,O47=TRUE),"Too many boxes checked.","")</f>
        <v/>
      </c>
      <c r="H47" s="899"/>
      <c r="I47" s="899"/>
      <c r="J47" s="899"/>
      <c r="N47" s="82" t="b">
        <v>0</v>
      </c>
      <c r="O47" s="82" t="b">
        <v>0</v>
      </c>
    </row>
    <row r="48" spans="1:19" ht="17.100000000000001" customHeight="1" x14ac:dyDescent="0.25">
      <c r="A48" s="813" t="str">
        <f>IF(AND(N47=FALSE,O47=TRUE),"","If so, list the numbers for all currently effective construction permits.  Do not include superceded permits.")</f>
        <v>If so, list the numbers for all currently effective construction permits.  Do not include superceded permits.</v>
      </c>
      <c r="B48" s="814"/>
      <c r="C48" s="815"/>
      <c r="D48" s="39"/>
      <c r="E48" s="39"/>
      <c r="F48" s="40"/>
      <c r="N48" s="125" t="b">
        <f>IF(OR(AND(N47=FALSE,O47=TRUE),AND(N47=TRUE,O47=FALSE,NOT(ISBLANK(D48)))),TRUE,FALSE)</f>
        <v>0</v>
      </c>
      <c r="O48" s="932" t="s">
        <v>1761</v>
      </c>
      <c r="P48" s="933"/>
      <c r="Q48" s="933"/>
      <c r="R48" s="933"/>
      <c r="S48" s="934"/>
    </row>
    <row r="49" spans="1:24" ht="17.100000000000001" customHeight="1" x14ac:dyDescent="0.25">
      <c r="A49" s="848"/>
      <c r="B49" s="849"/>
      <c r="C49" s="850"/>
      <c r="D49" s="41"/>
      <c r="E49" s="41"/>
      <c r="F49" s="42"/>
    </row>
    <row r="50" spans="1:24" ht="20.100000000000001" customHeight="1" x14ac:dyDescent="0.25">
      <c r="A50" s="813" t="s">
        <v>1379</v>
      </c>
      <c r="B50" s="814"/>
      <c r="C50" s="809" t="s">
        <v>1925</v>
      </c>
      <c r="D50" s="807"/>
      <c r="E50" s="807" t="s">
        <v>1926</v>
      </c>
      <c r="F50" s="808"/>
      <c r="G50" s="900" t="str">
        <f>IF(AND(S50=TRUE,N51=TRUE),"Your permit type will be determined later in the application.","")</f>
        <v/>
      </c>
      <c r="H50" s="901"/>
      <c r="I50" s="901"/>
      <c r="J50" s="901"/>
      <c r="K50" s="901"/>
      <c r="L50" s="901"/>
      <c r="N50" s="82" t="b">
        <v>0</v>
      </c>
      <c r="O50" s="81" t="b">
        <v>0</v>
      </c>
      <c r="P50" s="82" t="b">
        <v>0</v>
      </c>
      <c r="Q50" s="82" t="b">
        <v>0</v>
      </c>
      <c r="S50" s="48" t="b">
        <v>0</v>
      </c>
      <c r="T50" s="48">
        <f>IF(N50=TRUE,1,0)</f>
        <v>0</v>
      </c>
      <c r="U50" s="48">
        <f>IF(O50=TRUE,1,0)</f>
        <v>0</v>
      </c>
      <c r="V50" s="48">
        <f>IF(P50=TRUE,1,0)</f>
        <v>0</v>
      </c>
      <c r="W50" s="48">
        <f>IF(Q50=TRUE,1,0)</f>
        <v>0</v>
      </c>
      <c r="X50" s="48">
        <f>IF(S50=TRUE,1,0)</f>
        <v>0</v>
      </c>
    </row>
    <row r="51" spans="1:24" ht="19.5" customHeight="1" x14ac:dyDescent="0.25">
      <c r="A51" s="816"/>
      <c r="B51" s="817"/>
      <c r="C51" s="823" t="s">
        <v>1927</v>
      </c>
      <c r="D51" s="824"/>
      <c r="E51" s="824"/>
      <c r="F51" s="825"/>
      <c r="G51" s="902" t="str">
        <f>IF(AND(N50=FALSE,O50=FALSE,P50=FALSE,Q50=FALSE,N51=FALSE),"",IF(N51=FALSE,"Too many boxes checked.",""))</f>
        <v/>
      </c>
      <c r="H51" s="903"/>
      <c r="I51" s="903"/>
      <c r="J51" s="903"/>
      <c r="K51" s="903"/>
      <c r="L51" s="903"/>
      <c r="N51" s="125" t="b">
        <f>IF(OR(SUM(T50:X50)=0,SUM(T50:X50)&gt;1),FALSE,TRUE)</f>
        <v>0</v>
      </c>
      <c r="O51" s="932" t="s">
        <v>1762</v>
      </c>
      <c r="P51" s="933"/>
      <c r="Q51" s="933"/>
      <c r="R51" s="933"/>
      <c r="S51" s="934"/>
    </row>
    <row r="52" spans="1:24" ht="19.5" customHeight="1" thickBot="1" x14ac:dyDescent="0.3">
      <c r="A52" s="818"/>
      <c r="B52" s="819"/>
      <c r="C52" s="820" t="s">
        <v>1812</v>
      </c>
      <c r="D52" s="821"/>
      <c r="E52" s="821" t="s">
        <v>1924</v>
      </c>
      <c r="F52" s="822"/>
      <c r="G52" s="553"/>
      <c r="H52" s="553"/>
      <c r="I52" s="553"/>
      <c r="J52" s="553"/>
      <c r="K52" s="553"/>
      <c r="L52" s="553"/>
      <c r="N52" s="552"/>
      <c r="O52" s="552"/>
      <c r="P52" s="552"/>
      <c r="Q52" s="552"/>
      <c r="R52" s="552"/>
      <c r="S52" s="552"/>
    </row>
    <row r="53" spans="1:24" ht="24.95" customHeight="1" thickBot="1" x14ac:dyDescent="0.3">
      <c r="A53" s="800" t="s">
        <v>1716</v>
      </c>
      <c r="B53" s="801"/>
      <c r="C53" s="801"/>
      <c r="D53" s="801"/>
      <c r="E53" s="801"/>
      <c r="F53" s="802"/>
      <c r="N53" s="125" t="b">
        <f>IF(AND(N16=TRUE,N31=TRUE,N42=TRUE,N45=TRUE,N46=TRUE,N48=TRUE,N51=TRUE),TRUE,FALSE)</f>
        <v>0</v>
      </c>
      <c r="O53" s="932" t="s">
        <v>1763</v>
      </c>
      <c r="P53" s="933"/>
      <c r="Q53" s="933"/>
      <c r="R53" s="933"/>
      <c r="S53" s="934"/>
    </row>
    <row r="54" spans="1:24" s="49" customFormat="1" ht="45" customHeight="1" x14ac:dyDescent="0.25">
      <c r="A54" s="855" t="s">
        <v>1382</v>
      </c>
      <c r="B54" s="829" t="s">
        <v>1735</v>
      </c>
      <c r="C54" s="830"/>
      <c r="D54" s="830"/>
      <c r="E54" s="830"/>
      <c r="F54" s="831"/>
      <c r="N54" s="84" t="b">
        <v>0</v>
      </c>
      <c r="O54" s="84" t="b">
        <v>0</v>
      </c>
    </row>
    <row r="55" spans="1:24" ht="15" customHeight="1" x14ac:dyDescent="0.25">
      <c r="A55" s="856"/>
      <c r="B55" s="832" t="s">
        <v>1736</v>
      </c>
      <c r="C55" s="833"/>
      <c r="D55" s="833"/>
      <c r="E55" s="833"/>
      <c r="F55" s="834"/>
      <c r="N55" s="125" t="b">
        <f>IF(OR(AND(N54=TRUE,O54=FALSE),AND(N54=FALSE,O54=TRUE)),TRUE,FALSE)</f>
        <v>0</v>
      </c>
      <c r="O55" s="932" t="s">
        <v>1764</v>
      </c>
      <c r="P55" s="933"/>
      <c r="Q55" s="933"/>
      <c r="R55" s="933"/>
      <c r="S55" s="934"/>
    </row>
    <row r="56" spans="1:24" ht="30" customHeight="1" x14ac:dyDescent="0.25">
      <c r="A56" s="229" t="s">
        <v>1787</v>
      </c>
      <c r="B56" s="832" t="s">
        <v>1380</v>
      </c>
      <c r="C56" s="833"/>
      <c r="D56" s="833"/>
      <c r="E56" s="833"/>
      <c r="F56" s="834"/>
    </row>
    <row r="57" spans="1:24" ht="30" customHeight="1" x14ac:dyDescent="0.25">
      <c r="A57" s="230" t="s">
        <v>1788</v>
      </c>
      <c r="B57" s="964" t="s">
        <v>1381</v>
      </c>
      <c r="C57" s="965"/>
      <c r="D57" s="965"/>
      <c r="E57" s="965"/>
      <c r="F57" s="966"/>
      <c r="N57" s="125" t="b">
        <f>IF(OR(AND(N58=TRUE,O58=FALSE),AND(N58=FALSE,O58=TRUE)),TRUE,FALSE)</f>
        <v>0</v>
      </c>
      <c r="O57" s="932" t="s">
        <v>1765</v>
      </c>
      <c r="P57" s="933"/>
      <c r="Q57" s="933"/>
      <c r="R57" s="933"/>
      <c r="S57" s="934"/>
    </row>
    <row r="58" spans="1:24" s="49" customFormat="1" ht="30.75" customHeight="1" x14ac:dyDescent="0.25">
      <c r="A58" s="238" t="s">
        <v>1383</v>
      </c>
      <c r="B58" s="967" t="s">
        <v>1813</v>
      </c>
      <c r="C58" s="968"/>
      <c r="D58" s="968"/>
      <c r="E58" s="968"/>
      <c r="F58" s="969"/>
      <c r="N58" s="84" t="b">
        <v>0</v>
      </c>
      <c r="O58" s="84" t="b">
        <v>0</v>
      </c>
    </row>
    <row r="59" spans="1:24" ht="18" customHeight="1" x14ac:dyDescent="0.25">
      <c r="A59" s="231" t="s">
        <v>1787</v>
      </c>
      <c r="B59" s="970"/>
      <c r="C59" s="971"/>
      <c r="D59" s="971"/>
      <c r="E59" s="971"/>
      <c r="F59" s="972"/>
    </row>
    <row r="60" spans="1:24" ht="18" customHeight="1" thickBot="1" x14ac:dyDescent="0.3">
      <c r="A60" s="232" t="s">
        <v>1788</v>
      </c>
      <c r="B60" s="973"/>
      <c r="C60" s="974"/>
      <c r="D60" s="974"/>
      <c r="E60" s="974"/>
      <c r="F60" s="975"/>
    </row>
    <row r="61" spans="1:24" s="49" customFormat="1" ht="33" customHeight="1" x14ac:dyDescent="0.25">
      <c r="A61" s="237" t="s">
        <v>1384</v>
      </c>
      <c r="B61" s="945" t="s">
        <v>1814</v>
      </c>
      <c r="C61" s="945"/>
      <c r="D61" s="945"/>
      <c r="E61" s="945"/>
      <c r="F61" s="946"/>
      <c r="G61" s="913" t="s">
        <v>1390</v>
      </c>
      <c r="H61" s="904" t="s">
        <v>1385</v>
      </c>
      <c r="I61" s="905"/>
      <c r="J61" s="906"/>
      <c r="N61" s="84" t="b">
        <v>0</v>
      </c>
      <c r="O61" s="84" t="b">
        <v>0</v>
      </c>
      <c r="P61" s="84" t="b">
        <v>0</v>
      </c>
      <c r="Q61" s="125" t="b">
        <f>IF(OR(AND(N61=TRUE,O61=FALSE,P61=FALSE),AND(N61=FALSE,O61=TRUE,P61=FALSE),AND(N61=FALSE,O61=FALSE,P61=TRUE)),TRUE,FALSE)</f>
        <v>0</v>
      </c>
      <c r="R61" s="932" t="s">
        <v>1766</v>
      </c>
      <c r="S61" s="933"/>
      <c r="T61" s="933"/>
      <c r="U61" s="933"/>
      <c r="V61" s="934"/>
    </row>
    <row r="62" spans="1:24" ht="20.100000000000001" customHeight="1" x14ac:dyDescent="0.25">
      <c r="A62" s="235" t="s">
        <v>1787</v>
      </c>
      <c r="B62" s="947"/>
      <c r="C62" s="947"/>
      <c r="D62" s="947"/>
      <c r="E62" s="947"/>
      <c r="F62" s="948"/>
      <c r="G62" s="913"/>
      <c r="H62" s="907"/>
      <c r="I62" s="908"/>
      <c r="J62" s="909"/>
    </row>
    <row r="63" spans="1:24" ht="20.100000000000001" customHeight="1" x14ac:dyDescent="0.25">
      <c r="A63" s="235" t="s">
        <v>1788</v>
      </c>
      <c r="B63" s="947"/>
      <c r="C63" s="947"/>
      <c r="D63" s="947"/>
      <c r="E63" s="947"/>
      <c r="F63" s="948"/>
      <c r="G63" s="913"/>
      <c r="H63" s="907"/>
      <c r="I63" s="908"/>
      <c r="J63" s="909"/>
    </row>
    <row r="64" spans="1:24" ht="20.100000000000001" customHeight="1" thickBot="1" x14ac:dyDescent="0.3">
      <c r="A64" s="236" t="s">
        <v>1789</v>
      </c>
      <c r="B64" s="949"/>
      <c r="C64" s="949"/>
      <c r="D64" s="949"/>
      <c r="E64" s="949"/>
      <c r="F64" s="950"/>
      <c r="G64" s="913"/>
      <c r="H64" s="910"/>
      <c r="I64" s="911"/>
      <c r="J64" s="912"/>
    </row>
    <row r="65" spans="1:25" s="49" customFormat="1" ht="50.1" customHeight="1" x14ac:dyDescent="0.25">
      <c r="A65" s="237" t="s">
        <v>1790</v>
      </c>
      <c r="B65" s="945" t="s">
        <v>1795</v>
      </c>
      <c r="C65" s="945"/>
      <c r="D65" s="945"/>
      <c r="E65" s="945"/>
      <c r="F65" s="946"/>
      <c r="N65" s="84" t="b">
        <v>0</v>
      </c>
      <c r="O65" s="84" t="b">
        <v>0</v>
      </c>
      <c r="Q65" s="125" t="b">
        <f>IF(OR(AND(N65=TRUE,O65=FALSE),AND(N65=FALSE,O65=TRUE)),TRUE,FALSE)</f>
        <v>0</v>
      </c>
      <c r="R65" s="932" t="s">
        <v>1767</v>
      </c>
      <c r="S65" s="933"/>
      <c r="T65" s="933"/>
      <c r="U65" s="933"/>
      <c r="V65" s="934"/>
      <c r="W65" s="84" t="b">
        <v>0</v>
      </c>
      <c r="X65" s="84" t="b">
        <v>0</v>
      </c>
      <c r="Y65" s="183" t="b">
        <f>IF(OR(AND(W65=TRUE,X65=FALSE),AND(W65=FALSE,X65=TRUE)),TRUE,FALSE)</f>
        <v>0</v>
      </c>
    </row>
    <row r="66" spans="1:25" ht="50.1" customHeight="1" x14ac:dyDescent="0.25">
      <c r="A66" s="233" t="s">
        <v>1787</v>
      </c>
      <c r="B66" s="947"/>
      <c r="C66" s="947"/>
      <c r="D66" s="947"/>
      <c r="E66" s="947"/>
      <c r="F66" s="948"/>
    </row>
    <row r="67" spans="1:25" ht="50.1" customHeight="1" thickBot="1" x14ac:dyDescent="0.3">
      <c r="A67" s="234" t="s">
        <v>1788</v>
      </c>
      <c r="B67" s="949"/>
      <c r="C67" s="949"/>
      <c r="D67" s="949"/>
      <c r="E67" s="949"/>
      <c r="F67" s="950"/>
    </row>
    <row r="68" spans="1:25" ht="30" customHeight="1" x14ac:dyDescent="0.25">
      <c r="A68" s="37" t="s">
        <v>1386</v>
      </c>
      <c r="B68" s="955"/>
      <c r="C68" s="956"/>
      <c r="D68" s="956"/>
      <c r="E68" s="956"/>
      <c r="F68" s="957"/>
      <c r="G68" s="935" t="s">
        <v>1390</v>
      </c>
      <c r="H68" s="936" t="s">
        <v>1391</v>
      </c>
      <c r="I68" s="937"/>
      <c r="J68" s="938"/>
    </row>
    <row r="69" spans="1:25" ht="30" customHeight="1" x14ac:dyDescent="0.25">
      <c r="A69" s="36" t="s">
        <v>1387</v>
      </c>
      <c r="B69" s="958"/>
      <c r="C69" s="959"/>
      <c r="D69" s="959"/>
      <c r="E69" s="959"/>
      <c r="F69" s="960"/>
      <c r="G69" s="935"/>
      <c r="H69" s="939"/>
      <c r="I69" s="940"/>
      <c r="J69" s="941"/>
    </row>
    <row r="70" spans="1:25" ht="60" customHeight="1" x14ac:dyDescent="0.25">
      <c r="A70" s="37" t="s">
        <v>1388</v>
      </c>
      <c r="B70" s="961"/>
      <c r="C70" s="962"/>
      <c r="D70" s="962"/>
      <c r="E70" s="962"/>
      <c r="F70" s="963"/>
      <c r="G70" s="935"/>
      <c r="H70" s="939"/>
      <c r="I70" s="940"/>
      <c r="J70" s="941"/>
    </row>
    <row r="71" spans="1:25" ht="36" customHeight="1" thickBot="1" x14ac:dyDescent="0.3">
      <c r="A71" s="38" t="s">
        <v>1389</v>
      </c>
      <c r="B71" s="981"/>
      <c r="C71" s="982"/>
      <c r="D71" s="982"/>
      <c r="E71" s="983"/>
      <c r="F71" s="747" t="str">
        <f>"Ver. "&amp;TEXT(Introduction!M3, "MM/YYYY")</f>
        <v>Ver. 01/2025</v>
      </c>
      <c r="G71" s="935"/>
      <c r="H71" s="942"/>
      <c r="I71" s="943"/>
      <c r="J71" s="944"/>
    </row>
    <row r="72" spans="1:25" ht="18" customHeight="1" thickBot="1" x14ac:dyDescent="0.3"/>
    <row r="73" spans="1:25" ht="18" customHeight="1" x14ac:dyDescent="0.25">
      <c r="A73" s="51" t="s">
        <v>1392</v>
      </c>
      <c r="B73" s="52"/>
      <c r="C73" s="52"/>
      <c r="D73" s="52"/>
      <c r="E73" s="52"/>
      <c r="F73" s="53"/>
    </row>
    <row r="74" spans="1:25" ht="60" customHeight="1" x14ac:dyDescent="0.25">
      <c r="A74" s="869" t="s">
        <v>1393</v>
      </c>
      <c r="B74" s="867"/>
      <c r="C74" s="867"/>
      <c r="D74" s="867"/>
      <c r="E74" s="867"/>
      <c r="F74" s="868"/>
    </row>
    <row r="75" spans="1:25" ht="15.95" customHeight="1" x14ac:dyDescent="0.25">
      <c r="A75" s="54" t="s">
        <v>1395</v>
      </c>
      <c r="B75" s="867" t="s">
        <v>1394</v>
      </c>
      <c r="C75" s="867"/>
      <c r="D75" s="867"/>
      <c r="E75" s="867"/>
      <c r="F75" s="868"/>
    </row>
    <row r="76" spans="1:25" ht="45" customHeight="1" x14ac:dyDescent="0.25">
      <c r="A76" s="55"/>
      <c r="B76" s="56" t="s">
        <v>1396</v>
      </c>
      <c r="C76" s="867" t="s">
        <v>1397</v>
      </c>
      <c r="D76" s="867"/>
      <c r="E76" s="867"/>
      <c r="F76" s="868"/>
    </row>
    <row r="77" spans="1:25" ht="45" customHeight="1" x14ac:dyDescent="0.25">
      <c r="A77" s="55"/>
      <c r="B77" s="56" t="s">
        <v>1398</v>
      </c>
      <c r="C77" s="867" t="s">
        <v>1399</v>
      </c>
      <c r="D77" s="867"/>
      <c r="E77" s="867"/>
      <c r="F77" s="868"/>
    </row>
    <row r="78" spans="1:25" ht="75" customHeight="1" x14ac:dyDescent="0.25">
      <c r="A78" s="55"/>
      <c r="B78" s="56" t="s">
        <v>1400</v>
      </c>
      <c r="C78" s="867" t="s">
        <v>1401</v>
      </c>
      <c r="D78" s="867"/>
      <c r="E78" s="867"/>
      <c r="F78" s="868"/>
    </row>
    <row r="79" spans="1:25" ht="55.5" customHeight="1" x14ac:dyDescent="0.25">
      <c r="A79" s="55"/>
      <c r="B79" s="57"/>
      <c r="C79" s="56" t="s">
        <v>1402</v>
      </c>
      <c r="D79" s="867" t="s">
        <v>1403</v>
      </c>
      <c r="E79" s="867"/>
      <c r="F79" s="868"/>
    </row>
    <row r="80" spans="1:25" ht="45" customHeight="1" x14ac:dyDescent="0.25">
      <c r="A80" s="55"/>
      <c r="B80" s="57"/>
      <c r="C80" s="56" t="s">
        <v>1404</v>
      </c>
      <c r="D80" s="867" t="s">
        <v>1405</v>
      </c>
      <c r="E80" s="867"/>
      <c r="F80" s="868"/>
    </row>
    <row r="81" spans="1:6" ht="15.95" customHeight="1" x14ac:dyDescent="0.25">
      <c r="A81" s="54" t="s">
        <v>1406</v>
      </c>
      <c r="B81" s="867" t="s">
        <v>1407</v>
      </c>
      <c r="C81" s="867"/>
      <c r="D81" s="867"/>
      <c r="E81" s="867"/>
      <c r="F81" s="868"/>
    </row>
    <row r="82" spans="1:6" ht="26.1" customHeight="1" x14ac:dyDescent="0.25">
      <c r="A82" s="55"/>
      <c r="B82" s="56" t="s">
        <v>1396</v>
      </c>
      <c r="C82" s="867" t="s">
        <v>1408</v>
      </c>
      <c r="D82" s="867"/>
      <c r="E82" s="867"/>
      <c r="F82" s="868"/>
    </row>
    <row r="83" spans="1:6" ht="15.95" customHeight="1" x14ac:dyDescent="0.25">
      <c r="A83" s="54" t="s">
        <v>1409</v>
      </c>
      <c r="B83" s="867" t="s">
        <v>1410</v>
      </c>
      <c r="C83" s="867"/>
      <c r="D83" s="867"/>
      <c r="E83" s="867"/>
      <c r="F83" s="868"/>
    </row>
    <row r="84" spans="1:6" ht="90" customHeight="1" x14ac:dyDescent="0.25">
      <c r="A84" s="58"/>
      <c r="B84" s="56" t="s">
        <v>1396</v>
      </c>
      <c r="C84" s="867" t="s">
        <v>1411</v>
      </c>
      <c r="D84" s="867"/>
      <c r="E84" s="867"/>
      <c r="F84" s="868"/>
    </row>
    <row r="85" spans="1:6" ht="15.95" customHeight="1" x14ac:dyDescent="0.25">
      <c r="A85" s="54" t="s">
        <v>1412</v>
      </c>
      <c r="B85" s="867" t="s">
        <v>1413</v>
      </c>
      <c r="C85" s="867"/>
      <c r="D85" s="867"/>
      <c r="E85" s="867"/>
      <c r="F85" s="868"/>
    </row>
    <row r="86" spans="1:6" ht="54.95" customHeight="1" x14ac:dyDescent="0.25">
      <c r="A86" s="58"/>
      <c r="B86" s="56" t="s">
        <v>1396</v>
      </c>
      <c r="C86" s="867" t="s">
        <v>1414</v>
      </c>
      <c r="D86" s="867"/>
      <c r="E86" s="867"/>
      <c r="F86" s="868"/>
    </row>
    <row r="87" spans="1:6" ht="39.950000000000003" customHeight="1" x14ac:dyDescent="0.25">
      <c r="A87" s="59"/>
      <c r="B87" s="56" t="s">
        <v>1398</v>
      </c>
      <c r="C87" s="867" t="s">
        <v>1415</v>
      </c>
      <c r="D87" s="867"/>
      <c r="E87" s="867"/>
      <c r="F87" s="868"/>
    </row>
    <row r="88" spans="1:6" ht="15.95" customHeight="1" thickBot="1" x14ac:dyDescent="0.3">
      <c r="A88" s="60"/>
      <c r="B88" s="61"/>
      <c r="C88" s="62"/>
      <c r="D88" s="62"/>
      <c r="E88" s="62"/>
      <c r="F88" s="63"/>
    </row>
    <row r="89" spans="1:6" ht="15.95" customHeight="1" x14ac:dyDescent="0.25"/>
    <row r="90" spans="1:6" ht="15.95" customHeight="1" x14ac:dyDescent="0.25"/>
  </sheetData>
  <sheetProtection algorithmName="SHA-512" hashValue="htLgaDyx0rN7X+GDYEc2suknOLwgu73yPoTDmkaulh0X3W4xOYXGBuGalEstXYGJl2FZE5AFrZzD4xtd3W72bg==" saltValue="F1QAG0EYfrvTGGuV/YRQaQ==" spinCount="100000" sheet="1" objects="1" scenarios="1"/>
  <mergeCells count="119">
    <mergeCell ref="G68:G71"/>
    <mergeCell ref="H68:J71"/>
    <mergeCell ref="B65:F67"/>
    <mergeCell ref="B61:F64"/>
    <mergeCell ref="B40:C40"/>
    <mergeCell ref="E40:F40"/>
    <mergeCell ref="B28:F28"/>
    <mergeCell ref="B68:F68"/>
    <mergeCell ref="B69:F69"/>
    <mergeCell ref="B70:F70"/>
    <mergeCell ref="B57:F57"/>
    <mergeCell ref="B58:F60"/>
    <mergeCell ref="A44:B45"/>
    <mergeCell ref="A46:D46"/>
    <mergeCell ref="E46:F46"/>
    <mergeCell ref="B71:E71"/>
    <mergeCell ref="O16:S16"/>
    <mergeCell ref="O31:S31"/>
    <mergeCell ref="O35:S35"/>
    <mergeCell ref="O41:S41"/>
    <mergeCell ref="O42:S42"/>
    <mergeCell ref="O55:S55"/>
    <mergeCell ref="O57:S57"/>
    <mergeCell ref="R61:V61"/>
    <mergeCell ref="R65:V65"/>
    <mergeCell ref="O45:S45"/>
    <mergeCell ref="O46:S46"/>
    <mergeCell ref="O48:S48"/>
    <mergeCell ref="O51:S51"/>
    <mergeCell ref="O53:S53"/>
    <mergeCell ref="H23:L23"/>
    <mergeCell ref="G21:G23"/>
    <mergeCell ref="G43:J43"/>
    <mergeCell ref="G47:J47"/>
    <mergeCell ref="G44:J45"/>
    <mergeCell ref="G50:L50"/>
    <mergeCell ref="G51:L51"/>
    <mergeCell ref="H61:J64"/>
    <mergeCell ref="G61:G64"/>
    <mergeCell ref="H24:L32"/>
    <mergeCell ref="H20:L22"/>
    <mergeCell ref="A1:F6"/>
    <mergeCell ref="A10:F10"/>
    <mergeCell ref="B11:F11"/>
    <mergeCell ref="B12:F12"/>
    <mergeCell ref="C23:F23"/>
    <mergeCell ref="C21:F21"/>
    <mergeCell ref="A21:A23"/>
    <mergeCell ref="B18:F18"/>
    <mergeCell ref="B19:F19"/>
    <mergeCell ref="B17:F17"/>
    <mergeCell ref="A7:A8"/>
    <mergeCell ref="A9:F9"/>
    <mergeCell ref="A16:F16"/>
    <mergeCell ref="B8:C8"/>
    <mergeCell ref="B7:C7"/>
    <mergeCell ref="D8:F8"/>
    <mergeCell ref="D7:F7"/>
    <mergeCell ref="E14:F15"/>
    <mergeCell ref="C14:D15"/>
    <mergeCell ref="A14:A15"/>
    <mergeCell ref="C86:F86"/>
    <mergeCell ref="C87:F87"/>
    <mergeCell ref="A74:F74"/>
    <mergeCell ref="C76:F76"/>
    <mergeCell ref="C77:F77"/>
    <mergeCell ref="C78:F78"/>
    <mergeCell ref="D79:F79"/>
    <mergeCell ref="D80:F80"/>
    <mergeCell ref="B81:F81"/>
    <mergeCell ref="C82:F82"/>
    <mergeCell ref="B83:F83"/>
    <mergeCell ref="B85:F85"/>
    <mergeCell ref="B75:F75"/>
    <mergeCell ref="C84:F84"/>
    <mergeCell ref="H18:L18"/>
    <mergeCell ref="A53:F53"/>
    <mergeCell ref="B54:F54"/>
    <mergeCell ref="B55:F55"/>
    <mergeCell ref="B56:F56"/>
    <mergeCell ref="C22:F22"/>
    <mergeCell ref="E34:F34"/>
    <mergeCell ref="B35:C35"/>
    <mergeCell ref="B34:C34"/>
    <mergeCell ref="B32:F32"/>
    <mergeCell ref="B33:F33"/>
    <mergeCell ref="B41:C41"/>
    <mergeCell ref="E41:F41"/>
    <mergeCell ref="A48:C49"/>
    <mergeCell ref="A42:F42"/>
    <mergeCell ref="A43:D43"/>
    <mergeCell ref="B36:C36"/>
    <mergeCell ref="B38:F38"/>
    <mergeCell ref="B39:F39"/>
    <mergeCell ref="A54:A55"/>
    <mergeCell ref="D36:F37"/>
    <mergeCell ref="A36:A37"/>
    <mergeCell ref="B29:F29"/>
    <mergeCell ref="C24:C25"/>
    <mergeCell ref="A24:A25"/>
    <mergeCell ref="A26:A27"/>
    <mergeCell ref="C26:F27"/>
    <mergeCell ref="A31:F31"/>
    <mergeCell ref="E35:F35"/>
    <mergeCell ref="B37:C37"/>
    <mergeCell ref="E50:F50"/>
    <mergeCell ref="C50:D50"/>
    <mergeCell ref="E45:F45"/>
    <mergeCell ref="E44:F44"/>
    <mergeCell ref="C45:D45"/>
    <mergeCell ref="C44:D44"/>
    <mergeCell ref="A47:D47"/>
    <mergeCell ref="A50:B52"/>
    <mergeCell ref="C52:D52"/>
    <mergeCell ref="E52:F52"/>
    <mergeCell ref="C51:F51"/>
    <mergeCell ref="F24:F25"/>
    <mergeCell ref="E24:E25"/>
    <mergeCell ref="D24:D25"/>
  </mergeCells>
  <conditionalFormatting sqref="A54 A56:A57">
    <cfRule type="expression" dxfId="366" priority="537">
      <formula>AND($N$53=TRUE,$N$55=FALSE)</formula>
    </cfRule>
  </conditionalFormatting>
  <conditionalFormatting sqref="A58:A60">
    <cfRule type="expression" dxfId="365" priority="541">
      <formula>AND($N$53=TRUE,$N$55=TRUE,$N$57=FALSE)</formula>
    </cfRule>
  </conditionalFormatting>
  <conditionalFormatting sqref="A61:A64">
    <cfRule type="expression" dxfId="364" priority="543">
      <formula>AND($N$53=TRUE,$N$55=TRUE,$N$57=TRUE,$Q$61=FALSE)</formula>
    </cfRule>
  </conditionalFormatting>
  <conditionalFormatting sqref="A65:A67">
    <cfRule type="expression" dxfId="363" priority="6">
      <formula>AND($N$53=TRUE,$N$55=TRUE,$N$57=TRUE,$Q$61=TRUE,$Q$65=FALSE)</formula>
    </cfRule>
  </conditionalFormatting>
  <conditionalFormatting sqref="A44:C45 E44:E45 A46:F46">
    <cfRule type="expression" dxfId="362" priority="22" stopIfTrue="1">
      <formula>AND($N$42=TRUE,$N$43=FALSE,$O$43=TRUE)</formula>
    </cfRule>
  </conditionalFormatting>
  <conditionalFormatting sqref="A48:F49">
    <cfRule type="expression" dxfId="361" priority="16">
      <formula>AND($N$47=FALSE,$O$47=TRUE)</formula>
    </cfRule>
  </conditionalFormatting>
  <conditionalFormatting sqref="B13">
    <cfRule type="expression" dxfId="360" priority="62">
      <formula>AND($S$8=TRUE,NOT(ISBLANK(B11)),NOT(ISBLANK(B12)),ISBLANK(B13))</formula>
    </cfRule>
  </conditionalFormatting>
  <conditionalFormatting sqref="B14:B15">
    <cfRule type="expression" dxfId="359" priority="59">
      <formula>AND($S$8=TRUE,NOT(ISBLANK($B$11)),NOT(ISBLANK($B$12)),NOT(ISBLANK($B$13)),NOT(ISBLANK($D$13)),NOT(ISBLANK($F$13)),$N$14=FALSE,$O$14=FALSE)</formula>
    </cfRule>
  </conditionalFormatting>
  <conditionalFormatting sqref="B20">
    <cfRule type="expression" dxfId="358" priority="53">
      <formula>AND(N16=TRUE,NOT(ISBLANK(B17)),NOT(ISBLANK(B18)),NOT(ISBLANK(B19)),ISBLANK(B20))</formula>
    </cfRule>
  </conditionalFormatting>
  <conditionalFormatting sqref="B21">
    <cfRule type="expression" dxfId="357" priority="51">
      <formula>AND(N16=TRUE,NOT(ISBLANK(B17)),NOT(ISBLANK(B18)),NOT(ISBLANK(B19)),NOT(ISBLANK(B20)),NOT(ISBLANK(F20)),ISBLANK(B21))</formula>
    </cfRule>
  </conditionalFormatting>
  <conditionalFormatting sqref="B21:B23">
    <cfRule type="expression" dxfId="356" priority="67">
      <formula>B21&gt;999999</formula>
    </cfRule>
  </conditionalFormatting>
  <conditionalFormatting sqref="B24:B25">
    <cfRule type="expression" dxfId="355" priority="49">
      <formula>AND($N$16=TRUE,NOT(ISBLANK($B$17)),NOT(ISBLANK($B$18)),NOT(ISBLANK($B$19)),NOT(ISBLANK($B$20)),NOT(ISBLANK($F$20)),NOT(ISBLANK($B$21)),$N$24=FALSE,$O$24=FALSE)</formula>
    </cfRule>
  </conditionalFormatting>
  <conditionalFormatting sqref="B26:B27">
    <cfRule type="expression" dxfId="354" priority="46">
      <formula>AND($U$24=TRUE,$N$26=FALSE,$O$26=FALSE)</formula>
    </cfRule>
  </conditionalFormatting>
  <conditionalFormatting sqref="B30">
    <cfRule type="expression" dxfId="353" priority="42">
      <formula>AND(N26=TRUE,O26=FALSE,NOT(ISBLANK(B28)),NOT(ISBLANK(B29)),ISBLANK(B30))</formula>
    </cfRule>
  </conditionalFormatting>
  <conditionalFormatting sqref="B34:C34">
    <cfRule type="expression" dxfId="352" priority="35">
      <formula>AND(N31=TRUE,NOT(ISBLANK(B32)),NOT(ISBLANK(B33)),ISBLANK(B34))</formula>
    </cfRule>
  </conditionalFormatting>
  <conditionalFormatting sqref="B36:C37">
    <cfRule type="expression" dxfId="351" priority="32">
      <formula>AND($N$35=TRUE,$N$36=FALSE,$O$36=FALSE)</formula>
    </cfRule>
  </conditionalFormatting>
  <conditionalFormatting sqref="B40:C40">
    <cfRule type="expression" dxfId="350" priority="29">
      <formula>AND(N35=TRUE,N36=FALSE,O36=TRUE,NOT(ISBLANK(B38)),ISBLANK(B40))</formula>
    </cfRule>
  </conditionalFormatting>
  <conditionalFormatting sqref="B7:D8">
    <cfRule type="expression" dxfId="349" priority="65">
      <formula>$S$8=FALSE</formula>
    </cfRule>
  </conditionalFormatting>
  <conditionalFormatting sqref="B11:F11">
    <cfRule type="expression" dxfId="348" priority="64">
      <formula>AND($S$8=TRUE,ISBLANK(B11))</formula>
    </cfRule>
  </conditionalFormatting>
  <conditionalFormatting sqref="B12:F12">
    <cfRule type="expression" dxfId="347" priority="63">
      <formula>AND($S$8=TRUE,NOT(ISBLANK(B11)),ISBLANK(B12))</formula>
    </cfRule>
  </conditionalFormatting>
  <conditionalFormatting sqref="B17:F17">
    <cfRule type="expression" dxfId="346" priority="27">
      <formula>AND($N$16=TRUE,ISBLANK(B17))</formula>
    </cfRule>
  </conditionalFormatting>
  <conditionalFormatting sqref="B18:F18">
    <cfRule type="expression" dxfId="345" priority="55">
      <formula>AND(N16=TRUE,NOT(ISBLANK(B17)),ISBLANK(B18))</formula>
    </cfRule>
  </conditionalFormatting>
  <conditionalFormatting sqref="B19:F19">
    <cfRule type="expression" dxfId="344" priority="26">
      <formula>AND($S$8=TRUE,NOT(ISBLANK(B18)),ISBLANK(B19))</formula>
    </cfRule>
  </conditionalFormatting>
  <conditionalFormatting sqref="B28:F28">
    <cfRule type="expression" dxfId="343" priority="45">
      <formula>AND(U24=TRUE,N26=TRUE,O26=FALSE,ISBLANK(B28))</formula>
    </cfRule>
  </conditionalFormatting>
  <conditionalFormatting sqref="B29:F29">
    <cfRule type="expression" dxfId="342" priority="43">
      <formula>AND(N26=TRUE,O26=FALSE,NOT(ISBLANK(B28)),ISBLANK(B29))</formula>
    </cfRule>
  </conditionalFormatting>
  <conditionalFormatting sqref="B32:F32">
    <cfRule type="expression" dxfId="341" priority="38">
      <formula>AND(N31=TRUE,ISBLANK(B32))</formula>
    </cfRule>
  </conditionalFormatting>
  <conditionalFormatting sqref="B33:F33">
    <cfRule type="expression" dxfId="340" priority="36">
      <formula>AND(N31=TRUE,NOT(ISBLANK(B32)),ISBLANK(B33))</formula>
    </cfRule>
  </conditionalFormatting>
  <conditionalFormatting sqref="B38:F38">
    <cfRule type="expression" dxfId="339" priority="30">
      <formula>AND(N35=TRUE,N36=FALSE,O36=TRUE,ISBLANK(B38))</formula>
    </cfRule>
  </conditionalFormatting>
  <conditionalFormatting sqref="B65:F65">
    <cfRule type="expression" dxfId="338" priority="5">
      <formula>AND($N$53=TRUE,$N$55=TRUE,$N$57=TRUE,$Q$61=TRUE,$Y$65=FALSE)</formula>
    </cfRule>
  </conditionalFormatting>
  <conditionalFormatting sqref="C24">
    <cfRule type="expression" dxfId="337" priority="39">
      <formula>AND($N$24=TRUE,$O$24=TRUE)</formula>
    </cfRule>
  </conditionalFormatting>
  <conditionalFormatting sqref="C14:D14">
    <cfRule type="expression" dxfId="336" priority="58">
      <formula>AND(N14=TRUE,O14=TRUE)</formula>
    </cfRule>
  </conditionalFormatting>
  <conditionalFormatting sqref="C51:D52">
    <cfRule type="expression" dxfId="335" priority="2">
      <formula>AND($N$48=TRUE,$N$50=FALSE,$O$50=FALSE,$P$50=FALSE,$Q$50=FALSE)</formula>
    </cfRule>
  </conditionalFormatting>
  <conditionalFormatting sqref="C26:F26 A28:F30">
    <cfRule type="expression" dxfId="334" priority="47">
      <formula>AND($N$26=FALSE,$O$26=TRUE)</formula>
    </cfRule>
  </conditionalFormatting>
  <conditionalFormatting sqref="C26:F26">
    <cfRule type="expression" dxfId="333" priority="44">
      <formula>AND(N26=TRUE,O26=TRUE)</formula>
    </cfRule>
  </conditionalFormatting>
  <conditionalFormatting sqref="C44:F45">
    <cfRule type="expression" dxfId="332" priority="530">
      <formula>AND($N$42=TRUE,$N$43=TRUE,$O$43=FALSE,$N$44=FALSE,$O$44=FALSE,$P$44=FALSE)</formula>
    </cfRule>
  </conditionalFormatting>
  <conditionalFormatting sqref="C50:F50">
    <cfRule type="expression" dxfId="331" priority="14">
      <formula>AND($N$48=TRUE,$N$50=FALSE,$O$50=FALSE,$P$50=FALSE,$Q$50=FALSE)</formula>
    </cfRule>
  </conditionalFormatting>
  <conditionalFormatting sqref="D13">
    <cfRule type="expression" dxfId="330" priority="61">
      <formula>AND($S$8=TRUE,NOT(ISBLANK(B11)),NOT(ISBLANK(B12)),NOT(ISBLANK(B13)),ISBLANK(D13))</formula>
    </cfRule>
  </conditionalFormatting>
  <conditionalFormatting sqref="D30">
    <cfRule type="expression" dxfId="329" priority="41">
      <formula>AND(N26=TRUE,O26=FALSE,NOT(ISBLANK(B28)),NOT(ISBLANK(B29)),NOT(ISBLANK(B30)),ISBLANK(D30))</formula>
    </cfRule>
  </conditionalFormatting>
  <conditionalFormatting sqref="D48">
    <cfRule type="expression" dxfId="328" priority="18">
      <formula>AND(N45=TRUE,N47=TRUE,O47=FALSE,ISBLANK(D48))</formula>
    </cfRule>
  </conditionalFormatting>
  <conditionalFormatting sqref="D24:F25">
    <cfRule type="expression" dxfId="327" priority="48">
      <formula>AND($N24=TRUE,$O24=FALSE,$Q24=FALSE,$R24=FALSE,$S24=FALSE)</formula>
    </cfRule>
    <cfRule type="expression" dxfId="326" priority="50">
      <formula>AND($N24=FALSE,$O24=TRUE)</formula>
    </cfRule>
  </conditionalFormatting>
  <conditionalFormatting sqref="D36:F36 A38:F41">
    <cfRule type="expression" dxfId="325" priority="31">
      <formula>AND($N$36=TRUE,$O$36=FALSE)</formula>
    </cfRule>
  </conditionalFormatting>
  <conditionalFormatting sqref="D36:F36">
    <cfRule type="expression" dxfId="324" priority="33">
      <formula>AND(N36=TRUE,O36=TRUE)</formula>
    </cfRule>
  </conditionalFormatting>
  <conditionalFormatting sqref="E14:F14">
    <cfRule type="expression" dxfId="323" priority="57">
      <formula>AND($S$8=TRUE,NOT(ISBLANK(B11)),NOT(ISBLANK(B12)),NOT(ISBLANK(B13)),NOT(ISBLANK(D13)),NOT(ISBLANK(F13)),N14=TRUE,O14=FALSE,ISBLANK(E14))</formula>
    </cfRule>
  </conditionalFormatting>
  <conditionalFormatting sqref="E34:F34">
    <cfRule type="expression" dxfId="322" priority="34">
      <formula>AND(N31=TRUE,NOT(ISBLANK(B32)),NOT(ISBLANK(B33)),NOT(ISBLANK(B34)),ISBLANK(E34))</formula>
    </cfRule>
  </conditionalFormatting>
  <conditionalFormatting sqref="E40:F40">
    <cfRule type="expression" dxfId="321" priority="28">
      <formula>AND(N35=TRUE,N36=FALSE,O36=TRUE,NOT(ISBLANK(B38)),NOT(ISBLANK(B40)),ISBLANK(E40))</formula>
    </cfRule>
  </conditionalFormatting>
  <conditionalFormatting sqref="E43:F43">
    <cfRule type="expression" dxfId="320" priority="25">
      <formula>AND($N$41=TRUE,$N$43=FALSE,$O$43=FALSE)</formula>
    </cfRule>
  </conditionalFormatting>
  <conditionalFormatting sqref="E46:F46">
    <cfRule type="expression" dxfId="319" priority="23">
      <formula>AND(N45=TRUE,ISBLANK(E46))</formula>
    </cfRule>
  </conditionalFormatting>
  <conditionalFormatting sqref="E47:F47">
    <cfRule type="expression" dxfId="318" priority="19">
      <formula>OR(AND($N$45=TRUE,$O$43=TRUE,$N$47=FALSE,$O$47=FALSE),AND($N$45=TRUE,$N$43=TRUE,NOT(ISBLANK($E$46)),$N$47=FALSE,$O$47=FALSE))</formula>
    </cfRule>
  </conditionalFormatting>
  <conditionalFormatting sqref="E52:F52">
    <cfRule type="expression" dxfId="317" priority="1">
      <formula>AND($N$48=TRUE,$N$50=FALSE,$O$50=FALSE,$P$50=FALSE,$Q$50=FALSE)</formula>
    </cfRule>
  </conditionalFormatting>
  <conditionalFormatting sqref="F13">
    <cfRule type="expression" dxfId="316" priority="60">
      <formula>AND($S$8=TRUE,NOT(ISBLANK(B11)),NOT(ISBLANK(B12)),NOT(ISBLANK(B13)),NOT(ISBLANK(D13)),ISBLANK(F13))</formula>
    </cfRule>
  </conditionalFormatting>
  <conditionalFormatting sqref="F20">
    <cfRule type="expression" dxfId="315" priority="52">
      <formula>AND(N16=TRUE,NOT(ISBLANK(B17)),NOT(ISBLANK(B18)),NOT(ISBLANK(B19)),NOT(ISBLANK(B20)),ISBLANK(F20))</formula>
    </cfRule>
  </conditionalFormatting>
  <conditionalFormatting sqref="F30">
    <cfRule type="expression" dxfId="314" priority="40">
      <formula>AND(N26=TRUE,O26=FALSE,NOT(ISBLANK(B28)),NOT(ISBLANK(B29)),NOT(ISBLANK(B30)),NOT(ISBLANK(D30)),ISBLANK(F30))</formula>
    </cfRule>
  </conditionalFormatting>
  <conditionalFormatting sqref="G51:G52">
    <cfRule type="expression" dxfId="313" priority="13">
      <formula>G51="Too many boxes checked."</formula>
    </cfRule>
  </conditionalFormatting>
  <conditionalFormatting sqref="G43:J43">
    <cfRule type="expression" dxfId="312" priority="24">
      <formula>AND(N43=TRUE,O43=TRUE)</formula>
    </cfRule>
  </conditionalFormatting>
  <conditionalFormatting sqref="G44:J45">
    <cfRule type="expression" dxfId="311" priority="15">
      <formula>OR(AND(N44=TRUE,O44=TRUE),AND(N44=TRUE,P44=TRUE),AND(O44=TRUE,P44=TRUE))</formula>
    </cfRule>
  </conditionalFormatting>
  <conditionalFormatting sqref="G47:J47">
    <cfRule type="expression" dxfId="310" priority="17">
      <formula>AND(N47=TRUE,O47=TRUE)</formula>
    </cfRule>
  </conditionalFormatting>
  <conditionalFormatting sqref="G50:L50">
    <cfRule type="expression" dxfId="309" priority="533">
      <formula>AND($S$50=TRUE,$N$51=TRUE)</formula>
    </cfRule>
  </conditionalFormatting>
  <hyperlinks>
    <hyperlink ref="H23" r:id="rId1" xr:uid="{00000000-0004-0000-0100-000000000000}"/>
  </hyperlinks>
  <printOptions horizontalCentered="1"/>
  <pageMargins left="0.5" right="0.5" top="0.5" bottom="0.5" header="0.3" footer="0.3"/>
  <pageSetup scale="87" fitToHeight="0" orientation="portrait" r:id="rId2"/>
  <headerFooter>
    <oddFooter>&amp;LRev. 1/2015&amp;C&amp;A&amp;RPage &amp;P</oddFooter>
  </headerFooter>
  <rowBreaks count="1" manualBreakCount="1">
    <brk id="41" max="5" man="1"/>
  </rowBreaks>
  <ignoredErrors>
    <ignoredError sqref="A75:A76 A85:A86 A81:A84 A80 A79 A78 A77" numberStoredAsText="1"/>
  </ignoredErrors>
  <drawing r:id="rId3"/>
  <legacyDrawing r:id="rId4"/>
  <mc:AlternateContent xmlns:mc="http://schemas.openxmlformats.org/markup-compatibility/2006">
    <mc:Choice Requires="x14">
      <controls>
        <mc:AlternateContent xmlns:mc="http://schemas.openxmlformats.org/markup-compatibility/2006">
          <mc:Choice Requires="x14">
            <control shapeId="14340" r:id="rId5" name="Check Box 4">
              <controlPr defaultSize="0" autoFill="0" autoLine="0" autoPict="0">
                <anchor moveWithCells="1">
                  <from>
                    <xdr:col>3</xdr:col>
                    <xdr:colOff>66675</xdr:colOff>
                    <xdr:row>23</xdr:row>
                    <xdr:rowOff>95250</xdr:rowOff>
                  </from>
                  <to>
                    <xdr:col>3</xdr:col>
                    <xdr:colOff>981075</xdr:colOff>
                    <xdr:row>24</xdr:row>
                    <xdr:rowOff>114300</xdr:rowOff>
                  </to>
                </anchor>
              </controlPr>
            </control>
          </mc:Choice>
        </mc:AlternateContent>
        <mc:AlternateContent xmlns:mc="http://schemas.openxmlformats.org/markup-compatibility/2006">
          <mc:Choice Requires="x14">
            <control shapeId="14341" r:id="rId6" name="Check Box 5">
              <controlPr defaultSize="0" autoFill="0" autoLine="0" autoPict="0">
                <anchor moveWithCells="1">
                  <from>
                    <xdr:col>4</xdr:col>
                    <xdr:colOff>57150</xdr:colOff>
                    <xdr:row>23</xdr:row>
                    <xdr:rowOff>85725</xdr:rowOff>
                  </from>
                  <to>
                    <xdr:col>4</xdr:col>
                    <xdr:colOff>971550</xdr:colOff>
                    <xdr:row>24</xdr:row>
                    <xdr:rowOff>114300</xdr:rowOff>
                  </to>
                </anchor>
              </controlPr>
            </control>
          </mc:Choice>
        </mc:AlternateContent>
        <mc:AlternateContent xmlns:mc="http://schemas.openxmlformats.org/markup-compatibility/2006">
          <mc:Choice Requires="x14">
            <control shapeId="14342" r:id="rId7" name="Check Box 6">
              <controlPr defaultSize="0" autoFill="0" autoLine="0" autoPict="0">
                <anchor moveWithCells="1">
                  <from>
                    <xdr:col>5</xdr:col>
                    <xdr:colOff>57150</xdr:colOff>
                    <xdr:row>23</xdr:row>
                    <xdr:rowOff>85725</xdr:rowOff>
                  </from>
                  <to>
                    <xdr:col>5</xdr:col>
                    <xdr:colOff>971550</xdr:colOff>
                    <xdr:row>24</xdr:row>
                    <xdr:rowOff>114300</xdr:rowOff>
                  </to>
                </anchor>
              </controlPr>
            </control>
          </mc:Choice>
        </mc:AlternateContent>
        <mc:AlternateContent xmlns:mc="http://schemas.openxmlformats.org/markup-compatibility/2006">
          <mc:Choice Requires="x14">
            <control shapeId="14346" r:id="rId8" name="Check Box 10">
              <controlPr defaultSize="0" autoFill="0" autoLine="0" autoPict="0">
                <anchor moveWithCells="1">
                  <from>
                    <xdr:col>1</xdr:col>
                    <xdr:colOff>76200</xdr:colOff>
                    <xdr:row>13</xdr:row>
                    <xdr:rowOff>0</xdr:rowOff>
                  </from>
                  <to>
                    <xdr:col>1</xdr:col>
                    <xdr:colOff>857250</xdr:colOff>
                    <xdr:row>14</xdr:row>
                    <xdr:rowOff>19050</xdr:rowOff>
                  </to>
                </anchor>
              </controlPr>
            </control>
          </mc:Choice>
        </mc:AlternateContent>
        <mc:AlternateContent xmlns:mc="http://schemas.openxmlformats.org/markup-compatibility/2006">
          <mc:Choice Requires="x14">
            <control shapeId="14347" r:id="rId9" name="Check Box 11">
              <controlPr defaultSize="0" autoFill="0" autoLine="0" autoPict="0">
                <anchor moveWithCells="1">
                  <from>
                    <xdr:col>1</xdr:col>
                    <xdr:colOff>76200</xdr:colOff>
                    <xdr:row>14</xdr:row>
                    <xdr:rowOff>0</xdr:rowOff>
                  </from>
                  <to>
                    <xdr:col>1</xdr:col>
                    <xdr:colOff>857250</xdr:colOff>
                    <xdr:row>15</xdr:row>
                    <xdr:rowOff>19050</xdr:rowOff>
                  </to>
                </anchor>
              </controlPr>
            </control>
          </mc:Choice>
        </mc:AlternateContent>
        <mc:AlternateContent xmlns:mc="http://schemas.openxmlformats.org/markup-compatibility/2006">
          <mc:Choice Requires="x14">
            <control shapeId="14349" r:id="rId10" name="Check Box 13">
              <controlPr defaultSize="0" autoFill="0" autoLine="0" autoPict="0">
                <anchor moveWithCells="1">
                  <from>
                    <xdr:col>1</xdr:col>
                    <xdr:colOff>85725</xdr:colOff>
                    <xdr:row>35</xdr:row>
                    <xdr:rowOff>38100</xdr:rowOff>
                  </from>
                  <to>
                    <xdr:col>2</xdr:col>
                    <xdr:colOff>647700</xdr:colOff>
                    <xdr:row>35</xdr:row>
                    <xdr:rowOff>247650</xdr:rowOff>
                  </to>
                </anchor>
              </controlPr>
            </control>
          </mc:Choice>
        </mc:AlternateContent>
        <mc:AlternateContent xmlns:mc="http://schemas.openxmlformats.org/markup-compatibility/2006">
          <mc:Choice Requires="x14">
            <control shapeId="14350" r:id="rId11" name="Check Box 14">
              <controlPr defaultSize="0" autoFill="0" autoLine="0" autoPict="0">
                <anchor moveWithCells="1" sizeWithCells="1">
                  <from>
                    <xdr:col>1</xdr:col>
                    <xdr:colOff>85725</xdr:colOff>
                    <xdr:row>36</xdr:row>
                    <xdr:rowOff>38100</xdr:rowOff>
                  </from>
                  <to>
                    <xdr:col>2</xdr:col>
                    <xdr:colOff>647700</xdr:colOff>
                    <xdr:row>36</xdr:row>
                    <xdr:rowOff>247650</xdr:rowOff>
                  </to>
                </anchor>
              </controlPr>
            </control>
          </mc:Choice>
        </mc:AlternateContent>
        <mc:AlternateContent xmlns:mc="http://schemas.openxmlformats.org/markup-compatibility/2006">
          <mc:Choice Requires="x14">
            <control shapeId="14351" r:id="rId12" name="Check Box 15">
              <controlPr defaultSize="0" autoFill="0" autoLine="0" autoPict="0">
                <anchor moveWithCells="1">
                  <from>
                    <xdr:col>1</xdr:col>
                    <xdr:colOff>9525</xdr:colOff>
                    <xdr:row>6</xdr:row>
                    <xdr:rowOff>0</xdr:rowOff>
                  </from>
                  <to>
                    <xdr:col>2</xdr:col>
                    <xdr:colOff>933450</xdr:colOff>
                    <xdr:row>7</xdr:row>
                    <xdr:rowOff>9525</xdr:rowOff>
                  </to>
                </anchor>
              </controlPr>
            </control>
          </mc:Choice>
        </mc:AlternateContent>
        <mc:AlternateContent xmlns:mc="http://schemas.openxmlformats.org/markup-compatibility/2006">
          <mc:Choice Requires="x14">
            <control shapeId="14352" r:id="rId13" name="Check Box 16">
              <controlPr defaultSize="0" autoFill="0" autoLine="0" autoPict="0">
                <anchor moveWithCells="1">
                  <from>
                    <xdr:col>1</xdr:col>
                    <xdr:colOff>9525</xdr:colOff>
                    <xdr:row>6</xdr:row>
                    <xdr:rowOff>200025</xdr:rowOff>
                  </from>
                  <to>
                    <xdr:col>2</xdr:col>
                    <xdr:colOff>933450</xdr:colOff>
                    <xdr:row>8</xdr:row>
                    <xdr:rowOff>0</xdr:rowOff>
                  </to>
                </anchor>
              </controlPr>
            </control>
          </mc:Choice>
        </mc:AlternateContent>
        <mc:AlternateContent xmlns:mc="http://schemas.openxmlformats.org/markup-compatibility/2006">
          <mc:Choice Requires="x14">
            <control shapeId="14355" r:id="rId14" name="Check Box 19">
              <controlPr defaultSize="0" autoFill="0" autoLine="0" autoPict="0">
                <anchor moveWithCells="1">
                  <from>
                    <xdr:col>3</xdr:col>
                    <xdr:colOff>19050</xdr:colOff>
                    <xdr:row>6</xdr:row>
                    <xdr:rowOff>0</xdr:rowOff>
                  </from>
                  <to>
                    <xdr:col>5</xdr:col>
                    <xdr:colOff>590550</xdr:colOff>
                    <xdr:row>7</xdr:row>
                    <xdr:rowOff>9525</xdr:rowOff>
                  </to>
                </anchor>
              </controlPr>
            </control>
          </mc:Choice>
        </mc:AlternateContent>
        <mc:AlternateContent xmlns:mc="http://schemas.openxmlformats.org/markup-compatibility/2006">
          <mc:Choice Requires="x14">
            <control shapeId="14356" r:id="rId15" name="Check Box 20">
              <controlPr defaultSize="0" autoFill="0" autoLine="0" autoPict="0">
                <anchor moveWithCells="1">
                  <from>
                    <xdr:col>3</xdr:col>
                    <xdr:colOff>19050</xdr:colOff>
                    <xdr:row>6</xdr:row>
                    <xdr:rowOff>200025</xdr:rowOff>
                  </from>
                  <to>
                    <xdr:col>5</xdr:col>
                    <xdr:colOff>590550</xdr:colOff>
                    <xdr:row>8</xdr:row>
                    <xdr:rowOff>0</xdr:rowOff>
                  </to>
                </anchor>
              </controlPr>
            </control>
          </mc:Choice>
        </mc:AlternateContent>
        <mc:AlternateContent xmlns:mc="http://schemas.openxmlformats.org/markup-compatibility/2006">
          <mc:Choice Requires="x14">
            <control shapeId="14357" r:id="rId16" name="Check Box 21">
              <controlPr defaultSize="0" autoFill="0" autoLine="0" autoPict="0">
                <anchor moveWithCells="1">
                  <from>
                    <xdr:col>4</xdr:col>
                    <xdr:colOff>95250</xdr:colOff>
                    <xdr:row>42</xdr:row>
                    <xdr:rowOff>28575</xdr:rowOff>
                  </from>
                  <to>
                    <xdr:col>4</xdr:col>
                    <xdr:colOff>876300</xdr:colOff>
                    <xdr:row>42</xdr:row>
                    <xdr:rowOff>238125</xdr:rowOff>
                  </to>
                </anchor>
              </controlPr>
            </control>
          </mc:Choice>
        </mc:AlternateContent>
        <mc:AlternateContent xmlns:mc="http://schemas.openxmlformats.org/markup-compatibility/2006">
          <mc:Choice Requires="x14">
            <control shapeId="14358" r:id="rId17" name="Check Box 22">
              <controlPr defaultSize="0" autoFill="0" autoLine="0" autoPict="0">
                <anchor moveWithCells="1">
                  <from>
                    <xdr:col>5</xdr:col>
                    <xdr:colOff>95250</xdr:colOff>
                    <xdr:row>42</xdr:row>
                    <xdr:rowOff>28575</xdr:rowOff>
                  </from>
                  <to>
                    <xdr:col>5</xdr:col>
                    <xdr:colOff>876300</xdr:colOff>
                    <xdr:row>42</xdr:row>
                    <xdr:rowOff>238125</xdr:rowOff>
                  </to>
                </anchor>
              </controlPr>
            </control>
          </mc:Choice>
        </mc:AlternateContent>
        <mc:AlternateContent xmlns:mc="http://schemas.openxmlformats.org/markup-compatibility/2006">
          <mc:Choice Requires="x14">
            <control shapeId="14359" r:id="rId18" name="Check Box 23">
              <controlPr defaultSize="0" autoFill="0" autoLine="0" autoPict="0">
                <anchor moveWithCells="1">
                  <from>
                    <xdr:col>2</xdr:col>
                    <xdr:colOff>9525</xdr:colOff>
                    <xdr:row>43</xdr:row>
                    <xdr:rowOff>28575</xdr:rowOff>
                  </from>
                  <to>
                    <xdr:col>3</xdr:col>
                    <xdr:colOff>1028700</xdr:colOff>
                    <xdr:row>43</xdr:row>
                    <xdr:rowOff>228600</xdr:rowOff>
                  </to>
                </anchor>
              </controlPr>
            </control>
          </mc:Choice>
        </mc:AlternateContent>
        <mc:AlternateContent xmlns:mc="http://schemas.openxmlformats.org/markup-compatibility/2006">
          <mc:Choice Requires="x14">
            <control shapeId="14360" r:id="rId19" name="Check Box 24">
              <controlPr defaultSize="0" autoFill="0" autoLine="0" autoPict="0">
                <anchor moveWithCells="1">
                  <from>
                    <xdr:col>2</xdr:col>
                    <xdr:colOff>9525</xdr:colOff>
                    <xdr:row>44</xdr:row>
                    <xdr:rowOff>28575</xdr:rowOff>
                  </from>
                  <to>
                    <xdr:col>3</xdr:col>
                    <xdr:colOff>1028700</xdr:colOff>
                    <xdr:row>44</xdr:row>
                    <xdr:rowOff>228600</xdr:rowOff>
                  </to>
                </anchor>
              </controlPr>
            </control>
          </mc:Choice>
        </mc:AlternateContent>
        <mc:AlternateContent xmlns:mc="http://schemas.openxmlformats.org/markup-compatibility/2006">
          <mc:Choice Requires="x14">
            <control shapeId="14361" r:id="rId20" name="Check Box 25">
              <controlPr defaultSize="0" autoFill="0" autoLine="0" autoPict="0">
                <anchor moveWithCells="1">
                  <from>
                    <xdr:col>4</xdr:col>
                    <xdr:colOff>9525</xdr:colOff>
                    <xdr:row>43</xdr:row>
                    <xdr:rowOff>28575</xdr:rowOff>
                  </from>
                  <to>
                    <xdr:col>5</xdr:col>
                    <xdr:colOff>1028700</xdr:colOff>
                    <xdr:row>43</xdr:row>
                    <xdr:rowOff>228600</xdr:rowOff>
                  </to>
                </anchor>
              </controlPr>
            </control>
          </mc:Choice>
        </mc:AlternateContent>
        <mc:AlternateContent xmlns:mc="http://schemas.openxmlformats.org/markup-compatibility/2006">
          <mc:Choice Requires="x14">
            <control shapeId="14362" r:id="rId21" name="Check Box 26">
              <controlPr defaultSize="0" autoFill="0" autoLine="0" autoPict="0">
                <anchor moveWithCells="1">
                  <from>
                    <xdr:col>4</xdr:col>
                    <xdr:colOff>104775</xdr:colOff>
                    <xdr:row>46</xdr:row>
                    <xdr:rowOff>95250</xdr:rowOff>
                  </from>
                  <to>
                    <xdr:col>4</xdr:col>
                    <xdr:colOff>885825</xdr:colOff>
                    <xdr:row>46</xdr:row>
                    <xdr:rowOff>304800</xdr:rowOff>
                  </to>
                </anchor>
              </controlPr>
            </control>
          </mc:Choice>
        </mc:AlternateContent>
        <mc:AlternateContent xmlns:mc="http://schemas.openxmlformats.org/markup-compatibility/2006">
          <mc:Choice Requires="x14">
            <control shapeId="14363" r:id="rId22" name="Check Box 27">
              <controlPr defaultSize="0" autoFill="0" autoLine="0" autoPict="0">
                <anchor moveWithCells="1">
                  <from>
                    <xdr:col>5</xdr:col>
                    <xdr:colOff>95250</xdr:colOff>
                    <xdr:row>46</xdr:row>
                    <xdr:rowOff>95250</xdr:rowOff>
                  </from>
                  <to>
                    <xdr:col>5</xdr:col>
                    <xdr:colOff>876300</xdr:colOff>
                    <xdr:row>46</xdr:row>
                    <xdr:rowOff>304800</xdr:rowOff>
                  </to>
                </anchor>
              </controlPr>
            </control>
          </mc:Choice>
        </mc:AlternateContent>
        <mc:AlternateContent xmlns:mc="http://schemas.openxmlformats.org/markup-compatibility/2006">
          <mc:Choice Requires="x14">
            <control shapeId="14364" r:id="rId23" name="Check Box 28">
              <controlPr defaultSize="0" autoFill="0" autoLine="0" autoPict="0">
                <anchor moveWithCells="1">
                  <from>
                    <xdr:col>2</xdr:col>
                    <xdr:colOff>9525</xdr:colOff>
                    <xdr:row>49</xdr:row>
                    <xdr:rowOff>28575</xdr:rowOff>
                  </from>
                  <to>
                    <xdr:col>3</xdr:col>
                    <xdr:colOff>1028700</xdr:colOff>
                    <xdr:row>49</xdr:row>
                    <xdr:rowOff>228600</xdr:rowOff>
                  </to>
                </anchor>
              </controlPr>
            </control>
          </mc:Choice>
        </mc:AlternateContent>
        <mc:AlternateContent xmlns:mc="http://schemas.openxmlformats.org/markup-compatibility/2006">
          <mc:Choice Requires="x14">
            <control shapeId="14365" r:id="rId24" name="Check Box 29">
              <controlPr defaultSize="0" autoFill="0" autoLine="0" autoPict="0">
                <anchor moveWithCells="1">
                  <from>
                    <xdr:col>2</xdr:col>
                    <xdr:colOff>9525</xdr:colOff>
                    <xdr:row>50</xdr:row>
                    <xdr:rowOff>19050</xdr:rowOff>
                  </from>
                  <to>
                    <xdr:col>5</xdr:col>
                    <xdr:colOff>1009650</xdr:colOff>
                    <xdr:row>50</xdr:row>
                    <xdr:rowOff>219075</xdr:rowOff>
                  </to>
                </anchor>
              </controlPr>
            </control>
          </mc:Choice>
        </mc:AlternateContent>
        <mc:AlternateContent xmlns:mc="http://schemas.openxmlformats.org/markup-compatibility/2006">
          <mc:Choice Requires="x14">
            <control shapeId="14366" r:id="rId25" name="Check Box 30">
              <controlPr defaultSize="0" autoFill="0" autoLine="0" autoPict="0">
                <anchor moveWithCells="1">
                  <from>
                    <xdr:col>4</xdr:col>
                    <xdr:colOff>19050</xdr:colOff>
                    <xdr:row>49</xdr:row>
                    <xdr:rowOff>28575</xdr:rowOff>
                  </from>
                  <to>
                    <xdr:col>5</xdr:col>
                    <xdr:colOff>1038225</xdr:colOff>
                    <xdr:row>49</xdr:row>
                    <xdr:rowOff>228600</xdr:rowOff>
                  </to>
                </anchor>
              </controlPr>
            </control>
          </mc:Choice>
        </mc:AlternateContent>
        <mc:AlternateContent xmlns:mc="http://schemas.openxmlformats.org/markup-compatibility/2006">
          <mc:Choice Requires="x14">
            <control shapeId="14368" r:id="rId26" name="Check Box 32">
              <controlPr defaultSize="0" autoFill="0" autoLine="0" autoPict="0">
                <anchor moveWithCells="1">
                  <from>
                    <xdr:col>0</xdr:col>
                    <xdr:colOff>438150</xdr:colOff>
                    <xdr:row>55</xdr:row>
                    <xdr:rowOff>104775</xdr:rowOff>
                  </from>
                  <to>
                    <xdr:col>0</xdr:col>
                    <xdr:colOff>1219200</xdr:colOff>
                    <xdr:row>55</xdr:row>
                    <xdr:rowOff>295275</xdr:rowOff>
                  </to>
                </anchor>
              </controlPr>
            </control>
          </mc:Choice>
        </mc:AlternateContent>
        <mc:AlternateContent xmlns:mc="http://schemas.openxmlformats.org/markup-compatibility/2006">
          <mc:Choice Requires="x14">
            <control shapeId="14369" r:id="rId27" name="Check Box 33">
              <controlPr defaultSize="0" autoFill="0" autoLine="0" autoPict="0">
                <anchor moveWithCells="1">
                  <from>
                    <xdr:col>0</xdr:col>
                    <xdr:colOff>438150</xdr:colOff>
                    <xdr:row>56</xdr:row>
                    <xdr:rowOff>114300</xdr:rowOff>
                  </from>
                  <to>
                    <xdr:col>0</xdr:col>
                    <xdr:colOff>1219200</xdr:colOff>
                    <xdr:row>56</xdr:row>
                    <xdr:rowOff>304800</xdr:rowOff>
                  </to>
                </anchor>
              </controlPr>
            </control>
          </mc:Choice>
        </mc:AlternateContent>
        <mc:AlternateContent xmlns:mc="http://schemas.openxmlformats.org/markup-compatibility/2006">
          <mc:Choice Requires="x14">
            <control shapeId="14370" r:id="rId28" name="Check Box 34">
              <controlPr defaultSize="0" autoFill="0" autoLine="0" autoPict="0">
                <anchor moveWithCells="1">
                  <from>
                    <xdr:col>0</xdr:col>
                    <xdr:colOff>438150</xdr:colOff>
                    <xdr:row>58</xdr:row>
                    <xdr:rowOff>9525</xdr:rowOff>
                  </from>
                  <to>
                    <xdr:col>0</xdr:col>
                    <xdr:colOff>1219200</xdr:colOff>
                    <xdr:row>58</xdr:row>
                    <xdr:rowOff>219075</xdr:rowOff>
                  </to>
                </anchor>
              </controlPr>
            </control>
          </mc:Choice>
        </mc:AlternateContent>
        <mc:AlternateContent xmlns:mc="http://schemas.openxmlformats.org/markup-compatibility/2006">
          <mc:Choice Requires="x14">
            <control shapeId="14371" r:id="rId29" name="Check Box 35">
              <controlPr defaultSize="0" autoFill="0" autoLine="0" autoPict="0">
                <anchor moveWithCells="1">
                  <from>
                    <xdr:col>0</xdr:col>
                    <xdr:colOff>438150</xdr:colOff>
                    <xdr:row>59</xdr:row>
                    <xdr:rowOff>0</xdr:rowOff>
                  </from>
                  <to>
                    <xdr:col>0</xdr:col>
                    <xdr:colOff>1219200</xdr:colOff>
                    <xdr:row>59</xdr:row>
                    <xdr:rowOff>209550</xdr:rowOff>
                  </to>
                </anchor>
              </controlPr>
            </control>
          </mc:Choice>
        </mc:AlternateContent>
        <mc:AlternateContent xmlns:mc="http://schemas.openxmlformats.org/markup-compatibility/2006">
          <mc:Choice Requires="x14">
            <control shapeId="14372" r:id="rId30" name="Check Box 36">
              <controlPr defaultSize="0" autoFill="0" autoLine="0" autoPict="0">
                <anchor moveWithCells="1">
                  <from>
                    <xdr:col>0</xdr:col>
                    <xdr:colOff>438150</xdr:colOff>
                    <xdr:row>61</xdr:row>
                    <xdr:rowOff>28575</xdr:rowOff>
                  </from>
                  <to>
                    <xdr:col>0</xdr:col>
                    <xdr:colOff>1219200</xdr:colOff>
                    <xdr:row>61</xdr:row>
                    <xdr:rowOff>238125</xdr:rowOff>
                  </to>
                </anchor>
              </controlPr>
            </control>
          </mc:Choice>
        </mc:AlternateContent>
        <mc:AlternateContent xmlns:mc="http://schemas.openxmlformats.org/markup-compatibility/2006">
          <mc:Choice Requires="x14">
            <control shapeId="14373" r:id="rId31" name="Check Box 37">
              <controlPr defaultSize="0" autoFill="0" autoLine="0" autoPict="0">
                <anchor moveWithCells="1">
                  <from>
                    <xdr:col>0</xdr:col>
                    <xdr:colOff>438150</xdr:colOff>
                    <xdr:row>62</xdr:row>
                    <xdr:rowOff>28575</xdr:rowOff>
                  </from>
                  <to>
                    <xdr:col>0</xdr:col>
                    <xdr:colOff>1219200</xdr:colOff>
                    <xdr:row>62</xdr:row>
                    <xdr:rowOff>238125</xdr:rowOff>
                  </to>
                </anchor>
              </controlPr>
            </control>
          </mc:Choice>
        </mc:AlternateContent>
        <mc:AlternateContent xmlns:mc="http://schemas.openxmlformats.org/markup-compatibility/2006">
          <mc:Choice Requires="x14">
            <control shapeId="14374" r:id="rId32" name="Check Box 38">
              <controlPr defaultSize="0" autoFill="0" autoLine="0" autoPict="0">
                <anchor moveWithCells="1">
                  <from>
                    <xdr:col>0</xdr:col>
                    <xdr:colOff>438150</xdr:colOff>
                    <xdr:row>63</xdr:row>
                    <xdr:rowOff>28575</xdr:rowOff>
                  </from>
                  <to>
                    <xdr:col>0</xdr:col>
                    <xdr:colOff>1219200</xdr:colOff>
                    <xdr:row>63</xdr:row>
                    <xdr:rowOff>238125</xdr:rowOff>
                  </to>
                </anchor>
              </controlPr>
            </control>
          </mc:Choice>
        </mc:AlternateContent>
        <mc:AlternateContent xmlns:mc="http://schemas.openxmlformats.org/markup-compatibility/2006">
          <mc:Choice Requires="x14">
            <control shapeId="14375" r:id="rId33" name="Check Box 39">
              <controlPr defaultSize="0" autoFill="0" autoLine="0" autoPict="0">
                <anchor moveWithCells="1">
                  <from>
                    <xdr:col>0</xdr:col>
                    <xdr:colOff>438150</xdr:colOff>
                    <xdr:row>65</xdr:row>
                    <xdr:rowOff>219075</xdr:rowOff>
                  </from>
                  <to>
                    <xdr:col>0</xdr:col>
                    <xdr:colOff>1219200</xdr:colOff>
                    <xdr:row>65</xdr:row>
                    <xdr:rowOff>428625</xdr:rowOff>
                  </to>
                </anchor>
              </controlPr>
            </control>
          </mc:Choice>
        </mc:AlternateContent>
        <mc:AlternateContent xmlns:mc="http://schemas.openxmlformats.org/markup-compatibility/2006">
          <mc:Choice Requires="x14">
            <control shapeId="14376" r:id="rId34" name="Check Box 40">
              <controlPr defaultSize="0" autoFill="0" autoLine="0" autoPict="0">
                <anchor moveWithCells="1">
                  <from>
                    <xdr:col>0</xdr:col>
                    <xdr:colOff>438150</xdr:colOff>
                    <xdr:row>66</xdr:row>
                    <xdr:rowOff>219075</xdr:rowOff>
                  </from>
                  <to>
                    <xdr:col>0</xdr:col>
                    <xdr:colOff>1219200</xdr:colOff>
                    <xdr:row>66</xdr:row>
                    <xdr:rowOff>428625</xdr:rowOff>
                  </to>
                </anchor>
              </controlPr>
            </control>
          </mc:Choice>
        </mc:AlternateContent>
        <mc:AlternateContent xmlns:mc="http://schemas.openxmlformats.org/markup-compatibility/2006">
          <mc:Choice Requires="x14">
            <control shapeId="14377" r:id="rId35" name="Check Box 41">
              <controlPr defaultSize="0" autoFill="0" autoLine="0" autoPict="0">
                <anchor moveWithCells="1">
                  <from>
                    <xdr:col>1</xdr:col>
                    <xdr:colOff>28575</xdr:colOff>
                    <xdr:row>64</xdr:row>
                    <xdr:rowOff>390525</xdr:rowOff>
                  </from>
                  <to>
                    <xdr:col>3</xdr:col>
                    <xdr:colOff>142875</xdr:colOff>
                    <xdr:row>64</xdr:row>
                    <xdr:rowOff>571500</xdr:rowOff>
                  </to>
                </anchor>
              </controlPr>
            </control>
          </mc:Choice>
        </mc:AlternateContent>
        <mc:AlternateContent xmlns:mc="http://schemas.openxmlformats.org/markup-compatibility/2006">
          <mc:Choice Requires="x14">
            <control shapeId="14378" r:id="rId36" name="Check Box 42">
              <controlPr defaultSize="0" autoFill="0" autoLine="0" autoPict="0">
                <anchor moveWithCells="1">
                  <from>
                    <xdr:col>1</xdr:col>
                    <xdr:colOff>28575</xdr:colOff>
                    <xdr:row>65</xdr:row>
                    <xdr:rowOff>161925</xdr:rowOff>
                  </from>
                  <to>
                    <xdr:col>6</xdr:col>
                    <xdr:colOff>0</xdr:colOff>
                    <xdr:row>65</xdr:row>
                    <xdr:rowOff>523875</xdr:rowOff>
                  </to>
                </anchor>
              </controlPr>
            </control>
          </mc:Choice>
        </mc:AlternateContent>
        <mc:AlternateContent xmlns:mc="http://schemas.openxmlformats.org/markup-compatibility/2006">
          <mc:Choice Requires="x14">
            <control shapeId="14381" r:id="rId37" name="Check Box 45">
              <controlPr defaultSize="0" autoFill="0" autoLine="0" autoPict="0">
                <anchor moveWithCells="1">
                  <from>
                    <xdr:col>1</xdr:col>
                    <xdr:colOff>76200</xdr:colOff>
                    <xdr:row>23</xdr:row>
                    <xdr:rowOff>0</xdr:rowOff>
                  </from>
                  <to>
                    <xdr:col>1</xdr:col>
                    <xdr:colOff>857250</xdr:colOff>
                    <xdr:row>24</xdr:row>
                    <xdr:rowOff>19050</xdr:rowOff>
                  </to>
                </anchor>
              </controlPr>
            </control>
          </mc:Choice>
        </mc:AlternateContent>
        <mc:AlternateContent xmlns:mc="http://schemas.openxmlformats.org/markup-compatibility/2006">
          <mc:Choice Requires="x14">
            <control shapeId="14382" r:id="rId38" name="Check Box 46">
              <controlPr defaultSize="0" autoFill="0" autoLine="0" autoPict="0">
                <anchor moveWithCells="1">
                  <from>
                    <xdr:col>1</xdr:col>
                    <xdr:colOff>76200</xdr:colOff>
                    <xdr:row>24</xdr:row>
                    <xdr:rowOff>0</xdr:rowOff>
                  </from>
                  <to>
                    <xdr:col>1</xdr:col>
                    <xdr:colOff>857250</xdr:colOff>
                    <xdr:row>25</xdr:row>
                    <xdr:rowOff>19050</xdr:rowOff>
                  </to>
                </anchor>
              </controlPr>
            </control>
          </mc:Choice>
        </mc:AlternateContent>
        <mc:AlternateContent xmlns:mc="http://schemas.openxmlformats.org/markup-compatibility/2006">
          <mc:Choice Requires="x14">
            <control shapeId="14383" r:id="rId39" name="Check Box 47">
              <controlPr defaultSize="0" autoFill="0" autoLine="0" autoPict="0">
                <anchor moveWithCells="1">
                  <from>
                    <xdr:col>1</xdr:col>
                    <xdr:colOff>76200</xdr:colOff>
                    <xdr:row>25</xdr:row>
                    <xdr:rowOff>0</xdr:rowOff>
                  </from>
                  <to>
                    <xdr:col>1</xdr:col>
                    <xdr:colOff>857250</xdr:colOff>
                    <xdr:row>26</xdr:row>
                    <xdr:rowOff>19050</xdr:rowOff>
                  </to>
                </anchor>
              </controlPr>
            </control>
          </mc:Choice>
        </mc:AlternateContent>
        <mc:AlternateContent xmlns:mc="http://schemas.openxmlformats.org/markup-compatibility/2006">
          <mc:Choice Requires="x14">
            <control shapeId="14384" r:id="rId40" name="Check Box 48">
              <controlPr defaultSize="0" autoFill="0" autoLine="0" autoPict="0">
                <anchor moveWithCells="1">
                  <from>
                    <xdr:col>1</xdr:col>
                    <xdr:colOff>76200</xdr:colOff>
                    <xdr:row>26</xdr:row>
                    <xdr:rowOff>0</xdr:rowOff>
                  </from>
                  <to>
                    <xdr:col>1</xdr:col>
                    <xdr:colOff>857250</xdr:colOff>
                    <xdr:row>27</xdr:row>
                    <xdr:rowOff>19050</xdr:rowOff>
                  </to>
                </anchor>
              </controlPr>
            </control>
          </mc:Choice>
        </mc:AlternateContent>
        <mc:AlternateContent xmlns:mc="http://schemas.openxmlformats.org/markup-compatibility/2006">
          <mc:Choice Requires="x14">
            <control shapeId="14385" r:id="rId41" name="Check Box 49">
              <controlPr defaultSize="0" autoFill="0" autoLine="0" autoPict="0">
                <anchor moveWithCells="1">
                  <from>
                    <xdr:col>2</xdr:col>
                    <xdr:colOff>9525</xdr:colOff>
                    <xdr:row>51</xdr:row>
                    <xdr:rowOff>28575</xdr:rowOff>
                  </from>
                  <to>
                    <xdr:col>3</xdr:col>
                    <xdr:colOff>1028700</xdr:colOff>
                    <xdr:row>51</xdr:row>
                    <xdr:rowOff>228600</xdr:rowOff>
                  </to>
                </anchor>
              </controlPr>
            </control>
          </mc:Choice>
        </mc:AlternateContent>
        <mc:AlternateContent xmlns:mc="http://schemas.openxmlformats.org/markup-compatibility/2006">
          <mc:Choice Requires="x14">
            <control shapeId="14386" r:id="rId42" name="Check Box 50">
              <controlPr defaultSize="0" autoFill="0" autoLine="0" autoPict="0">
                <anchor moveWithCells="1">
                  <from>
                    <xdr:col>4</xdr:col>
                    <xdr:colOff>19050</xdr:colOff>
                    <xdr:row>51</xdr:row>
                    <xdr:rowOff>28575</xdr:rowOff>
                  </from>
                  <to>
                    <xdr:col>5</xdr:col>
                    <xdr:colOff>1038225</xdr:colOff>
                    <xdr:row>51</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rgb="FF002060"/>
    <pageSetUpPr fitToPage="1"/>
  </sheetPr>
  <dimension ref="A1:O27"/>
  <sheetViews>
    <sheetView zoomScaleNormal="100" workbookViewId="0">
      <selection sqref="A1:I1"/>
    </sheetView>
  </sheetViews>
  <sheetFormatPr defaultRowHeight="15" x14ac:dyDescent="0.25"/>
  <cols>
    <col min="1" max="1" width="29.7109375" style="64" customWidth="1"/>
    <col min="2" max="6" width="22.7109375" style="64" customWidth="1"/>
    <col min="7" max="16384" width="9.140625" style="64"/>
  </cols>
  <sheetData>
    <row r="1" spans="1:15" s="69" customFormat="1" ht="26.25" customHeight="1" thickBot="1" x14ac:dyDescent="0.3">
      <c r="A1" s="1122" t="s">
        <v>2189</v>
      </c>
      <c r="B1" s="1122"/>
      <c r="C1" s="1122"/>
      <c r="D1" s="1122"/>
      <c r="E1" s="1122"/>
      <c r="F1" s="1122"/>
      <c r="G1" s="1122"/>
      <c r="H1" s="1122"/>
      <c r="I1" s="1122"/>
      <c r="J1" s="79"/>
      <c r="K1" s="79"/>
      <c r="L1" s="79"/>
    </row>
    <row r="2" spans="1:15" s="68" customFormat="1" ht="20.100000000000001" customHeight="1" x14ac:dyDescent="0.25">
      <c r="A2" s="1065" t="s">
        <v>1655</v>
      </c>
      <c r="B2" s="1065"/>
      <c r="C2" s="1065"/>
      <c r="D2" s="1065"/>
      <c r="E2" s="1065"/>
      <c r="F2" s="1065"/>
      <c r="G2" s="1065"/>
      <c r="H2" s="1065"/>
      <c r="I2" s="1065"/>
      <c r="J2" s="121"/>
      <c r="K2" s="121"/>
      <c r="L2" s="121"/>
    </row>
    <row r="3" spans="1:15" ht="20.100000000000001" customHeight="1" x14ac:dyDescent="0.25">
      <c r="A3" s="1147" t="s">
        <v>1656</v>
      </c>
      <c r="B3" s="1147"/>
      <c r="C3" s="1147"/>
      <c r="D3" s="1147"/>
      <c r="E3" s="1147"/>
      <c r="F3" s="1147"/>
      <c r="G3" s="1147"/>
      <c r="H3" s="1147"/>
      <c r="I3" s="1147"/>
      <c r="J3" s="122"/>
      <c r="K3" s="122"/>
      <c r="L3" s="122"/>
    </row>
    <row r="4" spans="1:15" ht="35.1" customHeight="1" x14ac:dyDescent="0.25">
      <c r="A4" s="1147" t="s">
        <v>1659</v>
      </c>
      <c r="B4" s="1147"/>
      <c r="C4" s="1147"/>
      <c r="D4" s="1147"/>
      <c r="E4" s="1147"/>
      <c r="F4" s="1147"/>
      <c r="G4" s="1147"/>
      <c r="H4" s="1147"/>
      <c r="I4" s="1147"/>
      <c r="J4" s="122"/>
      <c r="K4" s="122"/>
      <c r="L4" s="122"/>
    </row>
    <row r="5" spans="1:15" ht="20.100000000000001" customHeight="1" x14ac:dyDescent="0.25">
      <c r="A5" s="1147" t="s">
        <v>1657</v>
      </c>
      <c r="B5" s="1147"/>
      <c r="C5" s="1147"/>
      <c r="D5" s="1147"/>
      <c r="E5" s="1147"/>
      <c r="F5" s="1147"/>
      <c r="G5" s="1147"/>
      <c r="H5" s="1147"/>
      <c r="I5" s="1147"/>
      <c r="J5" s="122"/>
      <c r="K5" s="122"/>
      <c r="L5" s="122"/>
    </row>
    <row r="6" spans="1:15" ht="20.100000000000001" customHeight="1" thickBot="1" x14ac:dyDescent="0.3">
      <c r="A6" s="1147" t="s">
        <v>1658</v>
      </c>
      <c r="B6" s="1147"/>
      <c r="C6" s="1147"/>
      <c r="D6" s="1147"/>
      <c r="E6" s="1147"/>
      <c r="F6" s="1147"/>
      <c r="G6" s="1147"/>
      <c r="H6" s="1147"/>
      <c r="I6" s="1147"/>
      <c r="J6" s="122"/>
      <c r="K6" s="122"/>
      <c r="L6" s="122"/>
    </row>
    <row r="7" spans="1:15" s="70" customFormat="1" ht="19.5" thickBot="1" x14ac:dyDescent="0.3">
      <c r="A7" s="1087" t="s">
        <v>1564</v>
      </c>
      <c r="B7" s="1087"/>
      <c r="C7" s="1087"/>
      <c r="D7" s="1087"/>
      <c r="E7" s="1087"/>
      <c r="F7" s="1087"/>
      <c r="G7" s="1087"/>
      <c r="H7" s="1087"/>
      <c r="I7" s="1087"/>
      <c r="J7" s="90"/>
      <c r="K7" s="90"/>
      <c r="L7" s="90"/>
    </row>
    <row r="8" spans="1:15" ht="60" customHeight="1" x14ac:dyDescent="0.25">
      <c r="A8" s="1265"/>
      <c r="B8" s="1265"/>
      <c r="C8" s="1265"/>
      <c r="D8" s="1265"/>
      <c r="E8" s="1265"/>
      <c r="F8" s="1265"/>
    </row>
    <row r="9" spans="1:15" s="99" customFormat="1" ht="24.95" customHeight="1" x14ac:dyDescent="0.25">
      <c r="A9" s="1267" t="s">
        <v>1434</v>
      </c>
      <c r="B9" s="1267"/>
      <c r="C9" s="1267"/>
      <c r="D9" s="1267"/>
      <c r="E9" s="1267"/>
      <c r="F9" s="1267"/>
      <c r="G9" s="186"/>
      <c r="H9" s="186"/>
      <c r="I9" s="186"/>
      <c r="J9" s="186"/>
      <c r="K9" s="187"/>
      <c r="L9" s="64"/>
      <c r="M9" s="64"/>
      <c r="N9" s="64"/>
      <c r="O9" s="64"/>
    </row>
    <row r="10" spans="1:15" s="99" customFormat="1" ht="24.95" customHeight="1" thickBot="1" x14ac:dyDescent="0.3">
      <c r="A10" s="1266" t="s">
        <v>2188</v>
      </c>
      <c r="B10" s="1266"/>
      <c r="C10" s="1266"/>
      <c r="D10" s="1266"/>
      <c r="E10" s="1266"/>
      <c r="F10" s="1266"/>
      <c r="G10" s="188"/>
      <c r="H10" s="188"/>
      <c r="I10" s="188"/>
      <c r="J10" s="188"/>
      <c r="K10" s="187"/>
      <c r="L10" s="64"/>
      <c r="M10" s="64"/>
      <c r="N10" s="64"/>
      <c r="O10" s="64"/>
    </row>
    <row r="11" spans="1:15" ht="73.5" customHeight="1" x14ac:dyDescent="0.25">
      <c r="A11" s="1259" t="s">
        <v>1829</v>
      </c>
      <c r="B11" s="624" t="s">
        <v>256</v>
      </c>
      <c r="C11" s="624" t="s">
        <v>2136</v>
      </c>
      <c r="D11" s="1257" t="s">
        <v>257</v>
      </c>
      <c r="E11" s="624" t="s">
        <v>2137</v>
      </c>
      <c r="F11" s="1255" t="s">
        <v>257</v>
      </c>
    </row>
    <row r="12" spans="1:15" ht="20.100000000000001" customHeight="1" thickBot="1" x14ac:dyDescent="0.3">
      <c r="A12" s="1268"/>
      <c r="B12" s="27" t="s">
        <v>261</v>
      </c>
      <c r="C12" s="27" t="s">
        <v>261</v>
      </c>
      <c r="D12" s="1258"/>
      <c r="E12" s="27" t="s">
        <v>261</v>
      </c>
      <c r="F12" s="1264"/>
    </row>
    <row r="13" spans="1:15" ht="13.5" customHeight="1" thickBot="1" x14ac:dyDescent="0.3">
      <c r="A13" s="1261"/>
      <c r="B13" s="1262"/>
      <c r="C13" s="1262"/>
      <c r="D13" s="1262"/>
      <c r="E13" s="1262"/>
      <c r="F13" s="1263"/>
    </row>
    <row r="14" spans="1:15" ht="20.100000000000001" customHeight="1" x14ac:dyDescent="0.25">
      <c r="A14" s="22" t="s">
        <v>258</v>
      </c>
      <c r="B14" s="28">
        <f>IF('Table 6-B| Emission Limits'!E$23=0,SUM('Table 7-A| Facility-Wide APTE'!E$12:E$100)/2000,'Table 6-B| Emission Limits'!E$28/2000)</f>
        <v>0</v>
      </c>
      <c r="C14" s="24">
        <v>15</v>
      </c>
      <c r="D14" s="23" t="str">
        <f>IF(OR(B14&gt;C14,B14=C14),"Yes","No")</f>
        <v>No</v>
      </c>
      <c r="E14" s="24">
        <v>100</v>
      </c>
      <c r="F14" s="636" t="str">
        <f>IF(OR(B14&gt;E14,B14=E14),"Yes","No")</f>
        <v>No</v>
      </c>
    </row>
    <row r="15" spans="1:15" ht="20.100000000000001" customHeight="1" x14ac:dyDescent="0.25">
      <c r="A15" s="21" t="s">
        <v>259</v>
      </c>
      <c r="B15" s="29">
        <f>IF('Table 6-B| Emission Limits'!F$23=0,SUM('Table 7-A| Facility-Wide APTE'!F$12:F$100)/2000,'Table 6-B| Emission Limits'!F$28/2000)</f>
        <v>0</v>
      </c>
      <c r="C15" s="20">
        <v>10</v>
      </c>
      <c r="D15" s="19" t="str">
        <f t="shared" ref="D15" si="0">IF(OR(B15&gt;C15,B15=C15),"Yes","No")</f>
        <v>No</v>
      </c>
      <c r="E15" s="640"/>
      <c r="F15" s="641" t="s">
        <v>73</v>
      </c>
    </row>
    <row r="16" spans="1:15" ht="20.100000000000001" customHeight="1" x14ac:dyDescent="0.25">
      <c r="A16" s="21" t="s">
        <v>3</v>
      </c>
      <c r="B16" s="29">
        <f>IF('Table 6-B| Emission Limits'!G$23=0,SUM('Table 7-A| Facility-Wide APTE'!G$12:G$100)/2000,'Table 6-B| Emission Limits'!G$28/2000)</f>
        <v>0</v>
      </c>
      <c r="C16" s="20">
        <v>40</v>
      </c>
      <c r="D16" s="19" t="str">
        <f>IF(OR(B16&gt;C16,B16=C16),"Yes","No")</f>
        <v>No</v>
      </c>
      <c r="E16" s="20">
        <v>100</v>
      </c>
      <c r="F16" s="637" t="str">
        <f t="shared" ref="F16:F21" si="1">IF(OR(B16&gt;E16,B16=E16),"Yes","No")</f>
        <v>No</v>
      </c>
    </row>
    <row r="17" spans="1:11" ht="20.100000000000001" customHeight="1" x14ac:dyDescent="0.25">
      <c r="A17" s="21" t="s">
        <v>4</v>
      </c>
      <c r="B17" s="29">
        <f>IF('Table 6-B| Emission Limits'!H$23=0,SUM('Table 7-A| Facility-Wide APTE'!H$12:H$100)/2000,'Table 6-B| Emission Limits'!H$28/2000)</f>
        <v>0</v>
      </c>
      <c r="C17" s="20">
        <v>40</v>
      </c>
      <c r="D17" s="19" t="str">
        <f>IF(OR(B17&gt;C17,B17=C17),"Yes","No")</f>
        <v>No</v>
      </c>
      <c r="E17" s="20">
        <v>100</v>
      </c>
      <c r="F17" s="637" t="str">
        <f t="shared" si="1"/>
        <v>No</v>
      </c>
    </row>
    <row r="18" spans="1:11" ht="20.100000000000001" customHeight="1" x14ac:dyDescent="0.25">
      <c r="A18" s="21" t="s">
        <v>0</v>
      </c>
      <c r="B18" s="29">
        <f>IF('Table 6-B| Emission Limits'!I$23=0,SUM('Table 7-A| Facility-Wide APTE'!I$12:I$100)/2000,'Table 6-B| Emission Limits'!I$28/2000)</f>
        <v>0</v>
      </c>
      <c r="C18" s="20">
        <v>40</v>
      </c>
      <c r="D18" s="19" t="str">
        <f>IF(OR(B18&gt;C18,B18=C18),"Yes","No")</f>
        <v>No</v>
      </c>
      <c r="E18" s="20">
        <v>100</v>
      </c>
      <c r="F18" s="637" t="str">
        <f t="shared" si="1"/>
        <v>No</v>
      </c>
    </row>
    <row r="19" spans="1:11" ht="20.100000000000001" customHeight="1" x14ac:dyDescent="0.25">
      <c r="A19" s="21" t="s">
        <v>5</v>
      </c>
      <c r="B19" s="29">
        <f>IF('Table 6-B| Emission Limits'!J$23=0,SUM('Table 7-A| Facility-Wide APTE'!J$12:J$100)/2000,'Table 6-B| Emission Limits'!J$28/2000)</f>
        <v>0</v>
      </c>
      <c r="C19" s="20">
        <v>50</v>
      </c>
      <c r="D19" s="19" t="str">
        <f>IF(OR(B19&gt;C19,B19=C19),"Yes","No")</f>
        <v>No</v>
      </c>
      <c r="E19" s="20">
        <v>100</v>
      </c>
      <c r="F19" s="637" t="str">
        <f t="shared" si="1"/>
        <v>No</v>
      </c>
    </row>
    <row r="20" spans="1:11" ht="20.100000000000001" customHeight="1" x14ac:dyDescent="0.25">
      <c r="A20" s="21" t="s">
        <v>2138</v>
      </c>
      <c r="B20" s="29">
        <f>IF('Table 6-B| Emission Limits'!K$23=0,SUM('Table 7-A| Facility-Wide APTE'!K$12:K$100)/2000,'Table 6-B| Emission Limits'!K$28/2000)</f>
        <v>0</v>
      </c>
      <c r="C20" s="627"/>
      <c r="D20" s="628" t="s">
        <v>73</v>
      </c>
      <c r="E20" s="646"/>
      <c r="F20" s="645"/>
      <c r="H20" s="616"/>
      <c r="I20" s="616"/>
      <c r="J20" s="616"/>
      <c r="K20" s="616"/>
    </row>
    <row r="21" spans="1:11" ht="20.100000000000001" customHeight="1" thickBot="1" x14ac:dyDescent="0.3">
      <c r="A21" s="21" t="s">
        <v>236</v>
      </c>
      <c r="B21" s="29">
        <f>IF('Table 6-B| Emission Limits'!L$23=0,SUM('Table 7-A| Facility-Wide APTE'!L$12:L$100)/2000,'Table 6-B| Emission Limits'!L$28/2000)</f>
        <v>0</v>
      </c>
      <c r="C21" s="20">
        <v>0.6</v>
      </c>
      <c r="D21" s="19" t="str">
        <f>IF(OR(B21&gt;C21,B21=C21),"Yes","No")</f>
        <v>No</v>
      </c>
      <c r="E21" s="20">
        <v>5</v>
      </c>
      <c r="F21" s="637" t="str">
        <f t="shared" si="1"/>
        <v>No</v>
      </c>
    </row>
    <row r="22" spans="1:11" ht="14.25" customHeight="1" thickBot="1" x14ac:dyDescent="0.3">
      <c r="A22" s="1261"/>
      <c r="B22" s="1262"/>
      <c r="C22" s="1262"/>
      <c r="D22" s="1262"/>
      <c r="E22" s="1262"/>
      <c r="F22" s="1263"/>
    </row>
    <row r="23" spans="1:11" ht="72.75" customHeight="1" x14ac:dyDescent="0.25">
      <c r="A23" s="1259" t="s">
        <v>1830</v>
      </c>
      <c r="B23" s="624" t="s">
        <v>256</v>
      </c>
      <c r="C23" s="624" t="s">
        <v>2134</v>
      </c>
      <c r="D23" s="1257" t="s">
        <v>257</v>
      </c>
      <c r="E23" s="624" t="s">
        <v>2135</v>
      </c>
      <c r="F23" s="1255" t="s">
        <v>257</v>
      </c>
    </row>
    <row r="24" spans="1:11" ht="20.100000000000001" customHeight="1" thickBot="1" x14ac:dyDescent="0.3">
      <c r="A24" s="1260"/>
      <c r="B24" s="26" t="s">
        <v>261</v>
      </c>
      <c r="C24" s="27" t="s">
        <v>261</v>
      </c>
      <c r="D24" s="1258"/>
      <c r="E24" s="27" t="s">
        <v>261</v>
      </c>
      <c r="F24" s="1256"/>
    </row>
    <row r="25" spans="1:11" ht="13.5" customHeight="1" thickBot="1" x14ac:dyDescent="0.3">
      <c r="A25" s="625"/>
      <c r="B25" s="626"/>
      <c r="C25" s="626"/>
      <c r="D25" s="626"/>
      <c r="E25" s="626"/>
      <c r="F25" s="638"/>
    </row>
    <row r="26" spans="1:11" ht="20.100000000000001" customHeight="1" x14ac:dyDescent="0.25">
      <c r="A26" s="21" t="s">
        <v>262</v>
      </c>
      <c r="B26" s="29">
        <f>IF('Table 6-B| Emission Limits'!M$23=0,IFERROR(LARGE('Table 7-C| APTE HAP'!$AD$29:$AD$211,1)/2000,0),'Table 6-B| Emission Limits'!M$28)</f>
        <v>0</v>
      </c>
      <c r="C26" s="20">
        <v>2.5</v>
      </c>
      <c r="D26" s="19" t="str">
        <f>IF(OR(B26&gt;C26,B26=C26),"Yes","No")</f>
        <v>No</v>
      </c>
      <c r="E26" s="20">
        <v>10</v>
      </c>
      <c r="F26" s="637" t="str">
        <f>IF(OR(B26&gt;E26,B26=E26),"Yes","No")</f>
        <v>No</v>
      </c>
    </row>
    <row r="27" spans="1:11" ht="20.100000000000001" customHeight="1" thickBot="1" x14ac:dyDescent="0.3">
      <c r="A27" s="458" t="s">
        <v>263</v>
      </c>
      <c r="B27" s="459">
        <f>IF('Table 6-B| Emission Limits'!N$23=0,SUM('Table 7-A| Facility-Wide APTE'!M$12:M$100)/2000,'Table 6-B| Emission Limits'!N$28/2000)</f>
        <v>0</v>
      </c>
      <c r="C27" s="460">
        <v>10</v>
      </c>
      <c r="D27" s="461" t="str">
        <f>IF(OR(B27&gt;C27,B27=C27),"Yes","No")</f>
        <v>No</v>
      </c>
      <c r="E27" s="460">
        <v>25</v>
      </c>
      <c r="F27" s="639" t="str">
        <f>IF(OR(B27&gt;E27,B27=E27),"Yes","No")</f>
        <v>No</v>
      </c>
    </row>
  </sheetData>
  <sheetProtection algorithmName="SHA-512" hashValue="Ef0GWVMXwYzEovm0z4xRU8cJ8XIKaLT68/ZSpQUKPDVdXd9LYx6Fy7fBpm2eP4hI+AYIhs83BT/uE28ShFIRvA==" saltValue="Qh+oelLYdeT/G9b8ASTSWA==" spinCount="100000" sheet="1" objects="1" scenarios="1"/>
  <mergeCells count="18">
    <mergeCell ref="A13:F13"/>
    <mergeCell ref="A23:A24"/>
    <mergeCell ref="D23:D24"/>
    <mergeCell ref="F23:F24"/>
    <mergeCell ref="A8:F8"/>
    <mergeCell ref="A9:F9"/>
    <mergeCell ref="A10:F10"/>
    <mergeCell ref="A11:A12"/>
    <mergeCell ref="D11:D12"/>
    <mergeCell ref="F11:F12"/>
    <mergeCell ref="A22:F22"/>
    <mergeCell ref="A7:I7"/>
    <mergeCell ref="A1:I1"/>
    <mergeCell ref="A2:I2"/>
    <mergeCell ref="A3:I3"/>
    <mergeCell ref="A5:I5"/>
    <mergeCell ref="A6:I6"/>
    <mergeCell ref="A4:I4"/>
  </mergeCells>
  <conditionalFormatting sqref="D14:D19">
    <cfRule type="expression" dxfId="41" priority="6">
      <formula>D14="Yes"</formula>
    </cfRule>
  </conditionalFormatting>
  <conditionalFormatting sqref="D20">
    <cfRule type="expression" dxfId="40" priority="2">
      <formula>D20="Yes"</formula>
    </cfRule>
  </conditionalFormatting>
  <conditionalFormatting sqref="D21 D25:D27">
    <cfRule type="expression" dxfId="39" priority="36">
      <formula>D21="Yes"</formula>
    </cfRule>
  </conditionalFormatting>
  <conditionalFormatting sqref="F14:F19">
    <cfRule type="expression" dxfId="38" priority="5">
      <formula>F14="Yes"</formula>
    </cfRule>
  </conditionalFormatting>
  <conditionalFormatting sqref="F20">
    <cfRule type="expression" dxfId="37" priority="3">
      <formula>$F$20="Yes"</formula>
    </cfRule>
  </conditionalFormatting>
  <conditionalFormatting sqref="F21">
    <cfRule type="expression" dxfId="36" priority="35">
      <formula>F21="Yes"</formula>
    </cfRule>
  </conditionalFormatting>
  <conditionalFormatting sqref="F23:F27">
    <cfRule type="expression" dxfId="35" priority="1">
      <formula>F23="Yes"</formula>
    </cfRule>
  </conditionalFormatting>
  <printOptions horizontalCentered="1"/>
  <pageMargins left="0.5" right="0.5" top="0.5" bottom="0.5" header="0.3" footer="0.3"/>
  <pageSetup scale="88" fitToHeight="0" orientation="landscape" r:id="rId1"/>
  <headerFooter>
    <oddFooter>&amp;LRev. 7/2013&amp;C&amp;A&amp;RPage &amp;P</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5">
    <tabColor rgb="FF002060"/>
    <pageSetUpPr fitToPage="1"/>
  </sheetPr>
  <dimension ref="A1:X189"/>
  <sheetViews>
    <sheetView showGridLines="0" zoomScaleNormal="100" workbookViewId="0">
      <selection sqref="A1:L1"/>
    </sheetView>
  </sheetViews>
  <sheetFormatPr defaultRowHeight="20.100000000000001" customHeight="1" x14ac:dyDescent="0.25"/>
  <cols>
    <col min="1" max="3" width="18.28515625" style="48" customWidth="1"/>
    <col min="4" max="4" width="13.7109375" style="48" customWidth="1"/>
    <col min="5" max="6" width="20.7109375" style="48" customWidth="1"/>
    <col min="7" max="12" width="10.7109375" style="48" customWidth="1"/>
    <col min="13" max="16" width="9.140625" style="48" customWidth="1"/>
    <col min="17" max="17" width="9.140625" style="48"/>
    <col min="18" max="18" width="9.140625" style="48" customWidth="1"/>
    <col min="19" max="16384" width="9.140625" style="48"/>
  </cols>
  <sheetData>
    <row r="1" spans="1:13" s="69" customFormat="1" ht="26.25" customHeight="1" thickBot="1" x14ac:dyDescent="0.3">
      <c r="A1" s="1122" t="s">
        <v>1855</v>
      </c>
      <c r="B1" s="1122"/>
      <c r="C1" s="1122"/>
      <c r="D1" s="1122"/>
      <c r="E1" s="1122"/>
      <c r="F1" s="1122"/>
      <c r="G1" s="1122"/>
      <c r="H1" s="1122"/>
      <c r="I1" s="1122"/>
      <c r="J1" s="1122"/>
      <c r="K1" s="1122"/>
      <c r="L1" s="1122"/>
    </row>
    <row r="2" spans="1:13" s="164" customFormat="1" ht="35.1" customHeight="1" x14ac:dyDescent="0.25">
      <c r="A2" s="1172" t="s">
        <v>1692</v>
      </c>
      <c r="B2" s="1172"/>
      <c r="C2" s="1172"/>
      <c r="D2" s="1172"/>
      <c r="E2" s="1172"/>
      <c r="F2" s="1172"/>
      <c r="G2" s="1172"/>
      <c r="H2" s="1172"/>
      <c r="I2" s="1172"/>
      <c r="J2" s="1172"/>
      <c r="K2" s="1172"/>
      <c r="L2" s="1172"/>
    </row>
    <row r="3" spans="1:13" s="164" customFormat="1" ht="35.1" customHeight="1" x14ac:dyDescent="0.25">
      <c r="A3" s="165">
        <v>1</v>
      </c>
      <c r="B3" s="1077" t="s">
        <v>1693</v>
      </c>
      <c r="C3" s="1077"/>
      <c r="D3" s="1077"/>
      <c r="E3" s="1077"/>
      <c r="F3" s="1077"/>
      <c r="G3" s="1077"/>
      <c r="H3" s="1077"/>
      <c r="I3" s="1077"/>
      <c r="J3" s="1077"/>
      <c r="K3" s="1077"/>
      <c r="L3" s="1077"/>
    </row>
    <row r="4" spans="1:13" s="164" customFormat="1" ht="80.099999999999994" customHeight="1" x14ac:dyDescent="0.25">
      <c r="A4" s="165">
        <v>2</v>
      </c>
      <c r="B4" s="1077" t="s">
        <v>1718</v>
      </c>
      <c r="C4" s="1077"/>
      <c r="D4" s="1077"/>
      <c r="E4" s="1077"/>
      <c r="F4" s="1077"/>
      <c r="G4" s="1077"/>
      <c r="H4" s="1077"/>
      <c r="I4" s="1077"/>
      <c r="J4" s="1077"/>
      <c r="K4" s="1077"/>
      <c r="L4" s="1077"/>
    </row>
    <row r="5" spans="1:13" s="164" customFormat="1" ht="95.1" customHeight="1" x14ac:dyDescent="0.25">
      <c r="A5" s="165">
        <v>3</v>
      </c>
      <c r="B5" s="1077" t="s">
        <v>1704</v>
      </c>
      <c r="C5" s="1077"/>
      <c r="D5" s="1077"/>
      <c r="E5" s="1077"/>
      <c r="F5" s="1077"/>
      <c r="G5" s="1077"/>
      <c r="H5" s="1077"/>
      <c r="I5" s="1077"/>
      <c r="J5" s="1077"/>
      <c r="K5" s="1077"/>
      <c r="L5" s="1077"/>
    </row>
    <row r="6" spans="1:13" s="164" customFormat="1" ht="35.1" customHeight="1" x14ac:dyDescent="0.25">
      <c r="A6" s="1374" t="s">
        <v>1695</v>
      </c>
      <c r="B6" s="1374"/>
      <c r="C6" s="1374"/>
      <c r="D6" s="1374"/>
      <c r="E6" s="1374"/>
      <c r="F6" s="1374"/>
      <c r="G6" s="1374"/>
      <c r="H6" s="1374"/>
      <c r="I6" s="1374"/>
      <c r="J6" s="1374"/>
      <c r="K6" s="1374"/>
      <c r="L6" s="1374"/>
    </row>
    <row r="7" spans="1:13" s="164" customFormat="1" ht="24.95" customHeight="1" x14ac:dyDescent="0.25">
      <c r="A7" s="1375" t="s">
        <v>1696</v>
      </c>
      <c r="B7" s="1375"/>
      <c r="C7" s="1375"/>
      <c r="D7" s="1375"/>
      <c r="E7" s="1375"/>
      <c r="F7" s="1375"/>
      <c r="G7" s="1375"/>
      <c r="H7" s="1375"/>
      <c r="I7" s="1375"/>
      <c r="J7" s="1375"/>
      <c r="K7" s="1375"/>
      <c r="L7" s="1375"/>
    </row>
    <row r="8" spans="1:13" s="166" customFormat="1" ht="35.1" customHeight="1" x14ac:dyDescent="0.25">
      <c r="A8" s="1373" t="s">
        <v>2343</v>
      </c>
      <c r="B8" s="1373"/>
      <c r="C8" s="1373"/>
      <c r="D8" s="1373"/>
      <c r="E8" s="1373"/>
      <c r="F8" s="1373"/>
      <c r="G8" s="1373"/>
      <c r="H8" s="1373"/>
      <c r="I8" s="1373"/>
      <c r="J8" s="1373"/>
      <c r="K8" s="1373"/>
      <c r="L8" s="1373"/>
    </row>
    <row r="9" spans="1:13" s="68" customFormat="1" ht="24.95" customHeight="1" x14ac:dyDescent="0.25">
      <c r="A9" s="1375" t="s">
        <v>2344</v>
      </c>
      <c r="B9" s="1375"/>
      <c r="C9" s="1375"/>
      <c r="D9" s="1375"/>
      <c r="E9" s="1375"/>
      <c r="F9" s="1375"/>
      <c r="G9" s="1375"/>
      <c r="H9" s="1375"/>
      <c r="I9" s="1375"/>
      <c r="J9" s="1375"/>
      <c r="K9" s="1375"/>
      <c r="L9" s="1375"/>
    </row>
    <row r="10" spans="1:13" s="68" customFormat="1" ht="18" customHeight="1" x14ac:dyDescent="0.25">
      <c r="A10" s="744" t="s">
        <v>2345</v>
      </c>
      <c r="B10" s="1377" t="s">
        <v>2346</v>
      </c>
      <c r="C10" s="1377"/>
      <c r="D10" s="1377"/>
      <c r="E10" s="1377"/>
      <c r="F10" s="1377"/>
      <c r="G10" s="1377"/>
      <c r="H10" s="1377"/>
      <c r="I10" s="1377"/>
      <c r="J10" s="1377"/>
      <c r="K10" s="1377"/>
      <c r="L10" s="1377"/>
    </row>
    <row r="11" spans="1:13" s="68" customFormat="1" ht="18" customHeight="1" x14ac:dyDescent="0.25">
      <c r="A11" s="744" t="s">
        <v>2347</v>
      </c>
      <c r="B11" s="1377" t="s">
        <v>2348</v>
      </c>
      <c r="C11" s="1377"/>
      <c r="D11" s="1377"/>
      <c r="E11" s="1377"/>
      <c r="F11" s="1377"/>
      <c r="G11" s="1377"/>
      <c r="H11" s="1377"/>
      <c r="I11" s="1377"/>
      <c r="J11" s="1377"/>
      <c r="K11" s="1377"/>
      <c r="L11" s="1377"/>
    </row>
    <row r="12" spans="1:13" s="68" customFormat="1" ht="18" customHeight="1" x14ac:dyDescent="0.25">
      <c r="A12" s="744" t="s">
        <v>2349</v>
      </c>
      <c r="B12" s="1377" t="s">
        <v>2350</v>
      </c>
      <c r="C12" s="1377"/>
      <c r="D12" s="1377"/>
      <c r="E12" s="1377"/>
      <c r="F12" s="1377"/>
      <c r="G12" s="1377"/>
      <c r="H12" s="1377"/>
      <c r="I12" s="1377"/>
      <c r="J12" s="1377"/>
      <c r="K12" s="1377"/>
      <c r="L12" s="1377"/>
    </row>
    <row r="13" spans="1:13" s="68" customFormat="1" ht="18" customHeight="1" x14ac:dyDescent="0.25">
      <c r="A13" s="744" t="s">
        <v>2351</v>
      </c>
      <c r="B13" s="1377" t="s">
        <v>2352</v>
      </c>
      <c r="C13" s="1377"/>
      <c r="D13" s="1377"/>
      <c r="E13" s="1377"/>
      <c r="F13" s="1377"/>
      <c r="G13" s="1377"/>
      <c r="H13" s="1377"/>
      <c r="I13" s="1377"/>
      <c r="J13" s="1377"/>
      <c r="K13" s="1377"/>
      <c r="L13" s="1377"/>
    </row>
    <row r="14" spans="1:13" s="68" customFormat="1" ht="18" customHeight="1" x14ac:dyDescent="0.25">
      <c r="A14" s="744" t="s">
        <v>2353</v>
      </c>
      <c r="B14" s="1377" t="s">
        <v>2354</v>
      </c>
      <c r="C14" s="1377"/>
      <c r="D14" s="1377"/>
      <c r="E14" s="1377"/>
      <c r="F14" s="1377"/>
      <c r="G14" s="1377"/>
      <c r="H14" s="1377"/>
      <c r="I14" s="1377"/>
      <c r="J14" s="1377"/>
      <c r="K14" s="1377"/>
      <c r="L14" s="1377"/>
    </row>
    <row r="15" spans="1:13" s="68" customFormat="1" ht="18" customHeight="1" x14ac:dyDescent="0.25">
      <c r="A15" s="744" t="s">
        <v>2355</v>
      </c>
      <c r="B15" s="1377" t="s">
        <v>2356</v>
      </c>
      <c r="C15" s="1377"/>
      <c r="D15" s="1377"/>
      <c r="E15" s="1377"/>
      <c r="F15" s="1377"/>
      <c r="G15" s="1377"/>
      <c r="H15" s="1377"/>
      <c r="I15" s="1377"/>
      <c r="J15" s="1377"/>
      <c r="K15" s="1377"/>
      <c r="L15" s="1377"/>
    </row>
    <row r="16" spans="1:13" s="68" customFormat="1" ht="18" customHeight="1" x14ac:dyDescent="0.25">
      <c r="A16" s="744" t="s">
        <v>2357</v>
      </c>
      <c r="B16" s="1377" t="s">
        <v>2358</v>
      </c>
      <c r="C16" s="1377"/>
      <c r="D16" s="1377"/>
      <c r="E16" s="1377"/>
      <c r="F16" s="1377"/>
      <c r="G16" s="1377"/>
      <c r="H16" s="1377"/>
      <c r="I16" s="1377"/>
      <c r="J16" s="1377"/>
      <c r="K16" s="1377"/>
      <c r="L16" s="1377"/>
      <c r="M16" s="708"/>
    </row>
    <row r="17" spans="1:24" s="164" customFormat="1" ht="18" customHeight="1" x14ac:dyDescent="0.25">
      <c r="A17" s="744" t="s">
        <v>2359</v>
      </c>
      <c r="B17" s="1377" t="s">
        <v>2360</v>
      </c>
      <c r="C17" s="1377"/>
      <c r="D17" s="1377"/>
      <c r="E17" s="1377"/>
      <c r="F17" s="1377"/>
      <c r="G17" s="1377"/>
      <c r="H17" s="1377"/>
      <c r="I17" s="1377"/>
      <c r="J17" s="1377"/>
      <c r="K17" s="1377"/>
      <c r="L17" s="1377"/>
    </row>
    <row r="18" spans="1:24" s="68" customFormat="1" ht="35.1" customHeight="1" thickBot="1" x14ac:dyDescent="0.3">
      <c r="A18" s="1376" t="s">
        <v>1723</v>
      </c>
      <c r="B18" s="1376"/>
      <c r="C18" s="1376"/>
      <c r="D18" s="1376"/>
      <c r="E18" s="1376"/>
      <c r="F18" s="1376"/>
      <c r="G18" s="1376"/>
      <c r="H18" s="1376"/>
      <c r="I18" s="1376"/>
      <c r="J18" s="1376"/>
      <c r="K18" s="1376"/>
      <c r="L18" s="1376"/>
    </row>
    <row r="19" spans="1:24" s="70" customFormat="1" ht="19.5" thickBot="1" x14ac:dyDescent="0.3">
      <c r="A19" s="1087" t="s">
        <v>1724</v>
      </c>
      <c r="B19" s="1087"/>
      <c r="C19" s="1087"/>
      <c r="D19" s="1087"/>
      <c r="E19" s="1087"/>
      <c r="F19" s="1087"/>
      <c r="G19" s="1087"/>
      <c r="H19" s="1087"/>
      <c r="I19" s="1087"/>
      <c r="J19" s="1087"/>
      <c r="K19" s="1087"/>
      <c r="L19" s="1087"/>
    </row>
    <row r="20" spans="1:24" ht="60" customHeight="1" x14ac:dyDescent="0.25">
      <c r="A20" s="988"/>
      <c r="B20" s="988"/>
      <c r="C20" s="988"/>
      <c r="D20" s="988"/>
      <c r="E20" s="988"/>
      <c r="F20" s="988"/>
    </row>
    <row r="21" spans="1:24" ht="24.95" customHeight="1" thickBot="1" x14ac:dyDescent="0.3">
      <c r="A21" s="885" t="s">
        <v>1856</v>
      </c>
      <c r="B21" s="885"/>
      <c r="C21" s="885"/>
      <c r="D21" s="885"/>
      <c r="E21" s="885"/>
      <c r="F21" s="885"/>
    </row>
    <row r="22" spans="1:24" ht="30" customHeight="1" thickBot="1" x14ac:dyDescent="0.3">
      <c r="A22" s="800" t="s">
        <v>1683</v>
      </c>
      <c r="B22" s="801"/>
      <c r="C22" s="801"/>
      <c r="D22" s="801"/>
      <c r="E22" s="801"/>
      <c r="F22" s="802"/>
    </row>
    <row r="23" spans="1:24" ht="95.1" customHeight="1" thickBot="1" x14ac:dyDescent="0.3">
      <c r="A23" s="1287" t="s">
        <v>1682</v>
      </c>
      <c r="B23" s="1288"/>
      <c r="C23" s="1288"/>
      <c r="D23" s="1288"/>
      <c r="E23" s="1288"/>
      <c r="F23" s="1289"/>
    </row>
    <row r="24" spans="1:24" ht="50.1" customHeight="1" thickBot="1" x14ac:dyDescent="0.3">
      <c r="A24" s="1378" t="s">
        <v>1669</v>
      </c>
      <c r="B24" s="1379"/>
      <c r="C24" s="1379"/>
      <c r="D24" s="722" t="s">
        <v>1672</v>
      </c>
      <c r="E24" s="1380" t="s">
        <v>1671</v>
      </c>
      <c r="F24" s="1092"/>
      <c r="M24" s="124"/>
      <c r="N24" s="124"/>
      <c r="O24" s="124"/>
      <c r="Q24" s="124"/>
      <c r="R24" s="124"/>
    </row>
    <row r="25" spans="1:24" ht="35.1" customHeight="1" x14ac:dyDescent="0.25">
      <c r="A25" s="1383" t="s">
        <v>1670</v>
      </c>
      <c r="B25" s="1384"/>
      <c r="C25" s="1385"/>
      <c r="D25" s="451" t="s">
        <v>1799</v>
      </c>
      <c r="E25" s="1381" t="str">
        <f>IF(AND(N25=TRUE,Q25=TRUE),"Describe compliance with each applicable NSPS in Part B, below.",IF(AND(O25=TRUE,Q25=TRUE),"If none apply, in Part C, list any that 'appear' to apply, but do not actually apply.",""))</f>
        <v/>
      </c>
      <c r="F25" s="1382"/>
      <c r="M25" s="124"/>
      <c r="N25" s="162" t="b">
        <v>0</v>
      </c>
      <c r="O25" s="162" t="b">
        <v>0</v>
      </c>
      <c r="Q25" s="124" t="b">
        <f>IF(OR(AND(N25=TRUE,O25=FALSE),AND(N25=FALSE,O25=TRUE)),TRUE,FALSE)</f>
        <v>0</v>
      </c>
      <c r="R25" s="124"/>
    </row>
    <row r="26" spans="1:24" ht="35.1" customHeight="1" x14ac:dyDescent="0.25">
      <c r="A26" s="1362" t="s">
        <v>1673</v>
      </c>
      <c r="B26" s="1363"/>
      <c r="C26" s="1364"/>
      <c r="D26" s="439" t="s">
        <v>1799</v>
      </c>
      <c r="E26" s="1365"/>
      <c r="F26" s="1366"/>
      <c r="G26" s="123"/>
      <c r="M26" s="80"/>
      <c r="N26" s="162" t="b">
        <v>0</v>
      </c>
      <c r="O26" s="162" t="b">
        <v>0</v>
      </c>
      <c r="Q26" s="124" t="b">
        <f t="shared" ref="Q26:Q39" si="0">IF(OR(AND(N26=TRUE,O26=FALSE),AND(N26=FALSE,O26=TRUE)),TRUE,FALSE)</f>
        <v>0</v>
      </c>
      <c r="R26" s="80"/>
      <c r="S26" s="80"/>
      <c r="T26" s="80"/>
      <c r="U26" s="80"/>
      <c r="V26" s="80"/>
      <c r="W26" s="80"/>
      <c r="X26" s="80"/>
    </row>
    <row r="27" spans="1:24" ht="35.1" customHeight="1" x14ac:dyDescent="0.25">
      <c r="A27" s="1362" t="s">
        <v>2364</v>
      </c>
      <c r="B27" s="1363"/>
      <c r="C27" s="1364"/>
      <c r="D27" s="439" t="s">
        <v>1799</v>
      </c>
      <c r="E27" s="1365"/>
      <c r="F27" s="1366"/>
      <c r="G27" s="123"/>
      <c r="M27" s="80"/>
      <c r="N27" s="162" t="b">
        <v>0</v>
      </c>
      <c r="O27" s="162" t="b">
        <v>0</v>
      </c>
      <c r="Q27" s="124" t="b">
        <f t="shared" si="0"/>
        <v>0</v>
      </c>
      <c r="R27" s="80"/>
      <c r="S27" s="80"/>
      <c r="T27" s="80"/>
      <c r="U27" s="80"/>
      <c r="V27" s="80"/>
      <c r="W27" s="80"/>
      <c r="X27" s="80"/>
    </row>
    <row r="28" spans="1:24" ht="35.1" customHeight="1" x14ac:dyDescent="0.25">
      <c r="A28" s="1362" t="s">
        <v>2365</v>
      </c>
      <c r="B28" s="1363"/>
      <c r="C28" s="1364"/>
      <c r="D28" s="439" t="s">
        <v>1799</v>
      </c>
      <c r="E28" s="1365"/>
      <c r="F28" s="1366"/>
      <c r="G28" s="123"/>
      <c r="M28" s="80"/>
      <c r="N28" s="162" t="b">
        <v>0</v>
      </c>
      <c r="O28" s="162" t="b">
        <v>0</v>
      </c>
      <c r="Q28" s="124" t="b">
        <f t="shared" si="0"/>
        <v>0</v>
      </c>
      <c r="R28" s="80"/>
      <c r="S28" s="80"/>
      <c r="T28" s="80"/>
      <c r="U28" s="80"/>
      <c r="V28" s="80"/>
      <c r="W28" s="80"/>
      <c r="X28" s="80"/>
    </row>
    <row r="29" spans="1:24" ht="35.1" customHeight="1" x14ac:dyDescent="0.25">
      <c r="A29" s="1362" t="s">
        <v>1674</v>
      </c>
      <c r="B29" s="1363"/>
      <c r="C29" s="1364"/>
      <c r="D29" s="439" t="s">
        <v>1799</v>
      </c>
      <c r="E29" s="1365"/>
      <c r="F29" s="1366"/>
      <c r="G29" s="123"/>
      <c r="M29" s="80"/>
      <c r="N29" s="162" t="b">
        <v>0</v>
      </c>
      <c r="O29" s="162" t="b">
        <v>0</v>
      </c>
      <c r="Q29" s="124" t="b">
        <f t="shared" si="0"/>
        <v>0</v>
      </c>
      <c r="R29" s="80"/>
      <c r="S29" s="80"/>
      <c r="T29" s="80"/>
      <c r="U29" s="80"/>
      <c r="V29" s="80"/>
      <c r="W29" s="80"/>
      <c r="X29" s="80"/>
    </row>
    <row r="30" spans="1:24" ht="35.1" customHeight="1" x14ac:dyDescent="0.25">
      <c r="A30" s="1362" t="s">
        <v>2366</v>
      </c>
      <c r="B30" s="1363"/>
      <c r="C30" s="1364"/>
      <c r="D30" s="439" t="s">
        <v>1799</v>
      </c>
      <c r="E30" s="1365"/>
      <c r="F30" s="1366"/>
      <c r="G30" s="123"/>
      <c r="M30" s="80"/>
      <c r="N30" s="162" t="b">
        <v>0</v>
      </c>
      <c r="O30" s="162" t="b">
        <v>0</v>
      </c>
      <c r="Q30" s="124" t="b">
        <f t="shared" si="0"/>
        <v>0</v>
      </c>
      <c r="R30" s="80"/>
      <c r="S30" s="80"/>
      <c r="T30" s="80"/>
      <c r="U30" s="80"/>
      <c r="V30" s="80"/>
      <c r="W30" s="80"/>
      <c r="X30" s="80"/>
    </row>
    <row r="31" spans="1:24" ht="35.1" customHeight="1" x14ac:dyDescent="0.25">
      <c r="A31" s="1362" t="s">
        <v>2367</v>
      </c>
      <c r="B31" s="1363"/>
      <c r="C31" s="1364"/>
      <c r="D31" s="439" t="s">
        <v>1799</v>
      </c>
      <c r="E31" s="1365"/>
      <c r="F31" s="1366"/>
      <c r="G31" s="123"/>
      <c r="M31" s="80"/>
      <c r="N31" s="162" t="b">
        <v>0</v>
      </c>
      <c r="O31" s="162" t="b">
        <v>0</v>
      </c>
      <c r="Q31" s="124" t="b">
        <f t="shared" si="0"/>
        <v>0</v>
      </c>
      <c r="R31" s="80"/>
      <c r="S31" s="80"/>
      <c r="T31" s="80"/>
      <c r="U31" s="80"/>
      <c r="V31" s="80"/>
      <c r="W31" s="80"/>
      <c r="X31" s="80"/>
    </row>
    <row r="32" spans="1:24" ht="35.1" customHeight="1" x14ac:dyDescent="0.25">
      <c r="A32" s="1362" t="s">
        <v>2368</v>
      </c>
      <c r="B32" s="1363"/>
      <c r="C32" s="1364"/>
      <c r="D32" s="439" t="s">
        <v>1799</v>
      </c>
      <c r="E32" s="1365"/>
      <c r="F32" s="1366"/>
      <c r="G32" s="123"/>
      <c r="M32" s="80"/>
      <c r="N32" s="162" t="b">
        <v>0</v>
      </c>
      <c r="O32" s="162" t="b">
        <v>0</v>
      </c>
      <c r="Q32" s="124" t="b">
        <f t="shared" si="0"/>
        <v>0</v>
      </c>
      <c r="R32" s="80"/>
      <c r="S32" s="80"/>
      <c r="T32" s="80"/>
      <c r="U32" s="80"/>
      <c r="V32" s="80"/>
      <c r="W32" s="80"/>
      <c r="X32" s="80"/>
    </row>
    <row r="33" spans="1:24" ht="35.1" customHeight="1" x14ac:dyDescent="0.25">
      <c r="A33" s="1362" t="s">
        <v>1675</v>
      </c>
      <c r="B33" s="1363"/>
      <c r="C33" s="1364"/>
      <c r="D33" s="439" t="s">
        <v>1799</v>
      </c>
      <c r="E33" s="1371" t="str">
        <f>IF(AND(N33=TRUE,Q33=TRUE),"Describe compliance with each applicable HAP standard in Part B, below.",IF(AND(O33=TRUE,Q33=TRUE),"If none apply, in Part C, list any that 'appear' to apply, but do not actually apply.",""))</f>
        <v/>
      </c>
      <c r="F33" s="1372"/>
      <c r="G33" s="123"/>
      <c r="M33" s="80"/>
      <c r="N33" s="162" t="b">
        <v>0</v>
      </c>
      <c r="O33" s="162" t="b">
        <v>0</v>
      </c>
      <c r="Q33" s="124" t="b">
        <f t="shared" si="0"/>
        <v>0</v>
      </c>
      <c r="R33" s="80"/>
      <c r="S33" s="80"/>
      <c r="T33" s="80"/>
      <c r="U33" s="80"/>
      <c r="V33" s="80"/>
      <c r="W33" s="80"/>
      <c r="X33" s="80"/>
    </row>
    <row r="34" spans="1:24" ht="35.1" customHeight="1" x14ac:dyDescent="0.25">
      <c r="A34" s="1362" t="s">
        <v>1676</v>
      </c>
      <c r="B34" s="1363"/>
      <c r="C34" s="1364"/>
      <c r="D34" s="439" t="s">
        <v>1799</v>
      </c>
      <c r="E34" s="1365"/>
      <c r="F34" s="1366"/>
      <c r="G34" s="123"/>
      <c r="M34" s="80"/>
      <c r="N34" s="162" t="b">
        <v>0</v>
      </c>
      <c r="O34" s="162" t="b">
        <v>0</v>
      </c>
      <c r="Q34" s="124" t="b">
        <f t="shared" si="0"/>
        <v>0</v>
      </c>
      <c r="R34" s="80"/>
      <c r="S34" s="80"/>
      <c r="T34" s="80"/>
      <c r="U34" s="80"/>
      <c r="V34" s="80"/>
      <c r="W34" s="80"/>
      <c r="X34" s="80"/>
    </row>
    <row r="35" spans="1:24" ht="35.1" customHeight="1" x14ac:dyDescent="0.25">
      <c r="A35" s="1362" t="s">
        <v>1677</v>
      </c>
      <c r="B35" s="1363"/>
      <c r="C35" s="1364"/>
      <c r="D35" s="439" t="s">
        <v>1799</v>
      </c>
      <c r="E35" s="1365"/>
      <c r="F35" s="1366"/>
      <c r="G35" s="123"/>
      <c r="M35" s="80"/>
      <c r="N35" s="162" t="b">
        <v>0</v>
      </c>
      <c r="O35" s="162" t="b">
        <v>0</v>
      </c>
      <c r="Q35" s="124" t="b">
        <f t="shared" si="0"/>
        <v>0</v>
      </c>
      <c r="R35" s="80"/>
      <c r="S35" s="80"/>
      <c r="T35" s="80"/>
      <c r="U35" s="80"/>
      <c r="V35" s="80"/>
      <c r="W35" s="80"/>
      <c r="X35" s="80"/>
    </row>
    <row r="36" spans="1:24" ht="35.1" customHeight="1" x14ac:dyDescent="0.25">
      <c r="A36" s="1362" t="s">
        <v>1678</v>
      </c>
      <c r="B36" s="1363"/>
      <c r="C36" s="1364"/>
      <c r="D36" s="439" t="s">
        <v>1799</v>
      </c>
      <c r="E36" s="1371" t="str">
        <f>IF(AND(N36=TRUE,Q36=TRUE),"Describe compliance with each applicable Acid Rain standard in Part B, below.",IF(AND(O36=TRUE,Q36=TRUE),"If none apply, in Part C, list any that 'appear' to apply, but do not actually apply.",""))</f>
        <v/>
      </c>
      <c r="F36" s="1372"/>
      <c r="G36" s="123"/>
      <c r="M36" s="80"/>
      <c r="N36" s="162" t="b">
        <v>0</v>
      </c>
      <c r="O36" s="162" t="b">
        <v>0</v>
      </c>
      <c r="Q36" s="124" t="b">
        <f t="shared" si="0"/>
        <v>0</v>
      </c>
      <c r="R36" s="80"/>
      <c r="S36" s="80"/>
      <c r="T36" s="80"/>
      <c r="U36" s="80"/>
      <c r="V36" s="80"/>
      <c r="W36" s="80"/>
      <c r="X36" s="80"/>
    </row>
    <row r="37" spans="1:24" ht="35.1" customHeight="1" x14ac:dyDescent="0.25">
      <c r="A37" s="1362" t="s">
        <v>1679</v>
      </c>
      <c r="B37" s="1363"/>
      <c r="C37" s="1364"/>
      <c r="D37" s="439" t="s">
        <v>1799</v>
      </c>
      <c r="E37" s="1371" t="str">
        <f>IF(AND(N37=TRUE,Q37=TRUE),"Describe compliance with each applicable standard in Part B, below.",IF(AND(O37=TRUE,Q37=TRUE),"If none apply, in Part C, list any that 'appear' to apply, but do not actually apply.",""))</f>
        <v/>
      </c>
      <c r="F37" s="1372"/>
      <c r="G37" s="123"/>
      <c r="M37" s="80"/>
      <c r="N37" s="162" t="b">
        <v>0</v>
      </c>
      <c r="O37" s="162" t="b">
        <v>0</v>
      </c>
      <c r="Q37" s="124" t="b">
        <f t="shared" si="0"/>
        <v>0</v>
      </c>
      <c r="R37" s="80"/>
      <c r="S37" s="80"/>
      <c r="T37" s="80"/>
      <c r="U37" s="80"/>
      <c r="V37" s="80"/>
      <c r="W37" s="80"/>
      <c r="X37" s="80"/>
    </row>
    <row r="38" spans="1:24" ht="35.1" customHeight="1" x14ac:dyDescent="0.25">
      <c r="A38" s="1362" t="s">
        <v>1680</v>
      </c>
      <c r="B38" s="1363"/>
      <c r="C38" s="1364"/>
      <c r="D38" s="439" t="s">
        <v>1799</v>
      </c>
      <c r="E38" s="1371" t="str">
        <f>IF(AND(N38=TRUE,Q38=TRUE),"Describe compliance with each applicable MACT standard in Part B, below.",IF(AND(O38=TRUE,Q38=TRUE),"If none apply, in Part C, list any that 'appear' to apply, but do not actually apply.",""))</f>
        <v/>
      </c>
      <c r="F38" s="1372"/>
      <c r="G38" s="123"/>
      <c r="M38" s="80"/>
      <c r="N38" s="162" t="b">
        <v>0</v>
      </c>
      <c r="O38" s="162" t="b">
        <v>0</v>
      </c>
      <c r="Q38" s="124" t="b">
        <f t="shared" si="0"/>
        <v>0</v>
      </c>
      <c r="R38" s="80"/>
      <c r="S38" s="80"/>
      <c r="T38" s="80"/>
      <c r="U38" s="80"/>
      <c r="V38" s="80"/>
      <c r="W38" s="80"/>
      <c r="X38" s="80"/>
    </row>
    <row r="39" spans="1:24" ht="35.1" customHeight="1" thickBot="1" x14ac:dyDescent="0.3">
      <c r="A39" s="1362" t="s">
        <v>1681</v>
      </c>
      <c r="B39" s="1363"/>
      <c r="C39" s="1364"/>
      <c r="D39" s="439" t="s">
        <v>1799</v>
      </c>
      <c r="E39" s="1365"/>
      <c r="F39" s="1366"/>
      <c r="G39" s="123"/>
      <c r="M39" s="80"/>
      <c r="N39" s="162" t="b">
        <v>0</v>
      </c>
      <c r="O39" s="162" t="b">
        <v>0</v>
      </c>
      <c r="Q39" s="124" t="b">
        <f t="shared" si="0"/>
        <v>0</v>
      </c>
      <c r="R39" s="80"/>
      <c r="S39" s="80"/>
      <c r="T39" s="80"/>
      <c r="U39" s="80"/>
      <c r="V39" s="80"/>
      <c r="W39" s="80"/>
      <c r="X39" s="80"/>
    </row>
    <row r="40" spans="1:24" ht="30" customHeight="1" thickBot="1" x14ac:dyDescent="0.3">
      <c r="A40" s="800" t="s">
        <v>1691</v>
      </c>
      <c r="B40" s="801"/>
      <c r="C40" s="801"/>
      <c r="D40" s="801"/>
      <c r="E40" s="801"/>
      <c r="F40" s="802"/>
    </row>
    <row r="41" spans="1:24" ht="80.099999999999994" customHeight="1" thickBot="1" x14ac:dyDescent="0.3">
      <c r="A41" s="1386" t="s">
        <v>1719</v>
      </c>
      <c r="B41" s="1387"/>
      <c r="C41" s="1387"/>
      <c r="D41" s="1387"/>
      <c r="E41" s="1387"/>
      <c r="F41" s="1388"/>
      <c r="G41" s="1389" t="s">
        <v>1690</v>
      </c>
      <c r="H41" s="1390"/>
      <c r="I41" s="1390"/>
      <c r="J41" s="1390"/>
      <c r="K41" s="1390"/>
    </row>
    <row r="42" spans="1:24" ht="20.100000000000001" customHeight="1" x14ac:dyDescent="0.25">
      <c r="A42" s="1398" t="s">
        <v>1666</v>
      </c>
      <c r="B42" s="1396"/>
      <c r="C42" s="1396" t="s">
        <v>1665</v>
      </c>
      <c r="D42" s="1396"/>
      <c r="E42" s="1391" t="s">
        <v>1686</v>
      </c>
      <c r="F42" s="1392"/>
      <c r="M42" s="124"/>
      <c r="N42" s="124"/>
      <c r="O42" s="124"/>
      <c r="Q42" s="124"/>
      <c r="R42" s="124"/>
    </row>
    <row r="43" spans="1:24" ht="20.100000000000001" customHeight="1" thickBot="1" x14ac:dyDescent="0.3">
      <c r="A43" s="1397" t="s">
        <v>1684</v>
      </c>
      <c r="B43" s="1395"/>
      <c r="C43" s="1395" t="s">
        <v>1685</v>
      </c>
      <c r="D43" s="1395"/>
      <c r="E43" s="1393"/>
      <c r="F43" s="1394"/>
      <c r="M43" s="124"/>
      <c r="N43" s="124"/>
      <c r="O43" s="124"/>
      <c r="Q43" s="124"/>
      <c r="R43" s="124"/>
    </row>
    <row r="44" spans="1:24" ht="35.1" customHeight="1" x14ac:dyDescent="0.25">
      <c r="A44" s="1402"/>
      <c r="B44" s="1400"/>
      <c r="C44" s="1399"/>
      <c r="D44" s="1400"/>
      <c r="E44" s="1399"/>
      <c r="F44" s="1401"/>
      <c r="G44" s="123"/>
      <c r="M44" s="80"/>
      <c r="N44" s="80"/>
      <c r="O44" s="80"/>
      <c r="Q44" s="124"/>
      <c r="R44" s="80"/>
      <c r="S44" s="80"/>
      <c r="T44" s="80"/>
      <c r="U44" s="80"/>
      <c r="V44" s="80"/>
      <c r="W44" s="80"/>
      <c r="X44" s="80"/>
    </row>
    <row r="45" spans="1:24" ht="35.1" customHeight="1" x14ac:dyDescent="0.25">
      <c r="A45" s="1369"/>
      <c r="B45" s="1370"/>
      <c r="C45" s="1367"/>
      <c r="D45" s="1370"/>
      <c r="E45" s="1367"/>
      <c r="F45" s="1368"/>
      <c r="G45" s="123"/>
      <c r="M45" s="80"/>
      <c r="N45" s="80"/>
      <c r="O45" s="80"/>
      <c r="Q45" s="124"/>
      <c r="R45" s="80"/>
      <c r="S45" s="80"/>
      <c r="T45" s="80"/>
      <c r="U45" s="80"/>
      <c r="V45" s="80"/>
      <c r="W45" s="80"/>
      <c r="X45" s="80"/>
    </row>
    <row r="46" spans="1:24" ht="35.1" customHeight="1" x14ac:dyDescent="0.25">
      <c r="A46" s="1369"/>
      <c r="B46" s="1370"/>
      <c r="C46" s="1367"/>
      <c r="D46" s="1370"/>
      <c r="E46" s="1367"/>
      <c r="F46" s="1368"/>
      <c r="G46" s="123"/>
      <c r="M46" s="80"/>
      <c r="N46" s="80"/>
      <c r="O46" s="80"/>
      <c r="Q46" s="124"/>
      <c r="R46" s="80"/>
      <c r="S46" s="80"/>
      <c r="T46" s="80"/>
      <c r="U46" s="80"/>
      <c r="V46" s="80"/>
      <c r="W46" s="80"/>
      <c r="X46" s="80"/>
    </row>
    <row r="47" spans="1:24" ht="35.1" customHeight="1" x14ac:dyDescent="0.25">
      <c r="A47" s="1369"/>
      <c r="B47" s="1370"/>
      <c r="C47" s="1367"/>
      <c r="D47" s="1370"/>
      <c r="E47" s="1367"/>
      <c r="F47" s="1368"/>
      <c r="G47" s="123"/>
      <c r="M47" s="80"/>
      <c r="N47" s="80"/>
      <c r="O47" s="80"/>
      <c r="Q47" s="124"/>
      <c r="R47" s="80"/>
      <c r="S47" s="80"/>
      <c r="T47" s="80"/>
      <c r="U47" s="80"/>
      <c r="V47" s="80"/>
      <c r="W47" s="80"/>
      <c r="X47" s="80"/>
    </row>
    <row r="48" spans="1:24" ht="35.1" customHeight="1" x14ac:dyDescent="0.25">
      <c r="A48" s="1369"/>
      <c r="B48" s="1370"/>
      <c r="C48" s="1367"/>
      <c r="D48" s="1370"/>
      <c r="E48" s="1367"/>
      <c r="F48" s="1368"/>
      <c r="G48" s="123"/>
      <c r="M48" s="80"/>
      <c r="N48" s="80"/>
      <c r="O48" s="80"/>
      <c r="Q48" s="124"/>
      <c r="R48" s="80"/>
      <c r="S48" s="80"/>
      <c r="T48" s="80"/>
      <c r="U48" s="80"/>
      <c r="V48" s="80"/>
      <c r="W48" s="80"/>
      <c r="X48" s="80"/>
    </row>
    <row r="49" spans="1:24" ht="35.1" customHeight="1" x14ac:dyDescent="0.25">
      <c r="A49" s="1369"/>
      <c r="B49" s="1370"/>
      <c r="C49" s="1367"/>
      <c r="D49" s="1370"/>
      <c r="E49" s="1367"/>
      <c r="F49" s="1368"/>
      <c r="G49" s="123"/>
      <c r="M49" s="80"/>
      <c r="N49" s="80"/>
      <c r="O49" s="80"/>
      <c r="Q49" s="124"/>
      <c r="R49" s="80"/>
      <c r="S49" s="80"/>
      <c r="T49" s="80"/>
      <c r="U49" s="80"/>
      <c r="V49" s="80"/>
      <c r="W49" s="80"/>
      <c r="X49" s="80"/>
    </row>
    <row r="50" spans="1:24" ht="35.1" customHeight="1" x14ac:dyDescent="0.25">
      <c r="A50" s="1369"/>
      <c r="B50" s="1370"/>
      <c r="C50" s="1367"/>
      <c r="D50" s="1370"/>
      <c r="E50" s="1367"/>
      <c r="F50" s="1368"/>
      <c r="G50" s="123"/>
      <c r="M50" s="80"/>
      <c r="N50" s="80"/>
      <c r="O50" s="80"/>
      <c r="Q50" s="124"/>
      <c r="R50" s="80"/>
      <c r="S50" s="80"/>
      <c r="T50" s="80"/>
      <c r="U50" s="80"/>
      <c r="V50" s="80"/>
      <c r="W50" s="80"/>
      <c r="X50" s="80"/>
    </row>
    <row r="51" spans="1:24" ht="35.1" customHeight="1" x14ac:dyDescent="0.25">
      <c r="A51" s="1369"/>
      <c r="B51" s="1370"/>
      <c r="C51" s="1367"/>
      <c r="D51" s="1370"/>
      <c r="E51" s="1367"/>
      <c r="F51" s="1368"/>
      <c r="G51" s="123"/>
      <c r="M51" s="80"/>
      <c r="N51" s="80"/>
      <c r="O51" s="80"/>
      <c r="Q51" s="124"/>
      <c r="R51" s="80"/>
      <c r="S51" s="80"/>
      <c r="T51" s="80"/>
      <c r="U51" s="80"/>
      <c r="V51" s="80"/>
      <c r="W51" s="80"/>
      <c r="X51" s="80"/>
    </row>
    <row r="52" spans="1:24" ht="35.1" customHeight="1" x14ac:dyDescent="0.25">
      <c r="A52" s="1369"/>
      <c r="B52" s="1370"/>
      <c r="C52" s="1367"/>
      <c r="D52" s="1370"/>
      <c r="E52" s="1367"/>
      <c r="F52" s="1368"/>
      <c r="G52" s="123"/>
      <c r="M52" s="80"/>
      <c r="N52" s="80"/>
      <c r="O52" s="80"/>
      <c r="Q52" s="124"/>
      <c r="R52" s="80"/>
      <c r="S52" s="80"/>
      <c r="T52" s="80"/>
      <c r="U52" s="80"/>
      <c r="V52" s="80"/>
      <c r="W52" s="80"/>
      <c r="X52" s="80"/>
    </row>
    <row r="53" spans="1:24" ht="35.1" customHeight="1" x14ac:dyDescent="0.25">
      <c r="A53" s="1369"/>
      <c r="B53" s="1370"/>
      <c r="C53" s="1367"/>
      <c r="D53" s="1370"/>
      <c r="E53" s="1367"/>
      <c r="F53" s="1368"/>
      <c r="G53" s="123"/>
      <c r="M53" s="80"/>
      <c r="N53" s="80"/>
      <c r="O53" s="80"/>
      <c r="Q53" s="124"/>
      <c r="R53" s="80"/>
      <c r="S53" s="80"/>
      <c r="T53" s="80"/>
      <c r="U53" s="80"/>
      <c r="V53" s="80"/>
      <c r="W53" s="80"/>
      <c r="X53" s="80"/>
    </row>
    <row r="54" spans="1:24" ht="35.1" customHeight="1" x14ac:dyDescent="0.25">
      <c r="A54" s="1369"/>
      <c r="B54" s="1370"/>
      <c r="C54" s="1367"/>
      <c r="D54" s="1370"/>
      <c r="E54" s="1367"/>
      <c r="F54" s="1368"/>
      <c r="G54" s="123"/>
      <c r="M54" s="80"/>
      <c r="N54" s="80"/>
      <c r="O54" s="80"/>
      <c r="Q54" s="124"/>
      <c r="R54" s="80"/>
      <c r="S54" s="80"/>
      <c r="T54" s="80"/>
      <c r="U54" s="80"/>
      <c r="V54" s="80"/>
      <c r="W54" s="80"/>
      <c r="X54" s="80"/>
    </row>
    <row r="55" spans="1:24" ht="35.1" customHeight="1" x14ac:dyDescent="0.25">
      <c r="A55" s="1369"/>
      <c r="B55" s="1370"/>
      <c r="C55" s="1367"/>
      <c r="D55" s="1370"/>
      <c r="E55" s="1367"/>
      <c r="F55" s="1368"/>
      <c r="G55" s="123"/>
      <c r="M55" s="80"/>
      <c r="N55" s="80"/>
      <c r="O55" s="80"/>
      <c r="Q55" s="124"/>
      <c r="R55" s="80"/>
      <c r="S55" s="80"/>
      <c r="T55" s="80"/>
      <c r="U55" s="80"/>
      <c r="V55" s="80"/>
      <c r="W55" s="80"/>
      <c r="X55" s="80"/>
    </row>
    <row r="56" spans="1:24" ht="35.1" customHeight="1" x14ac:dyDescent="0.25">
      <c r="A56" s="1369"/>
      <c r="B56" s="1370"/>
      <c r="C56" s="1367"/>
      <c r="D56" s="1370"/>
      <c r="E56" s="1367"/>
      <c r="F56" s="1368"/>
      <c r="G56" s="123"/>
      <c r="M56" s="80"/>
      <c r="N56" s="80"/>
      <c r="O56" s="80"/>
      <c r="Q56" s="124"/>
      <c r="R56" s="80"/>
      <c r="S56" s="80"/>
      <c r="T56" s="80"/>
      <c r="U56" s="80"/>
      <c r="V56" s="80"/>
      <c r="W56" s="80"/>
      <c r="X56" s="80"/>
    </row>
    <row r="57" spans="1:24" ht="35.1" customHeight="1" x14ac:dyDescent="0.25">
      <c r="A57" s="1369"/>
      <c r="B57" s="1370"/>
      <c r="C57" s="1367"/>
      <c r="D57" s="1370"/>
      <c r="E57" s="1367"/>
      <c r="F57" s="1368"/>
      <c r="G57" s="123"/>
      <c r="M57" s="80"/>
      <c r="N57" s="80"/>
      <c r="O57" s="80"/>
      <c r="Q57" s="124"/>
      <c r="R57" s="80"/>
      <c r="S57" s="80"/>
      <c r="T57" s="80"/>
      <c r="U57" s="80"/>
      <c r="V57" s="80"/>
      <c r="W57" s="80"/>
      <c r="X57" s="80"/>
    </row>
    <row r="58" spans="1:24" ht="35.1" customHeight="1" x14ac:dyDescent="0.25">
      <c r="A58" s="1369"/>
      <c r="B58" s="1370"/>
      <c r="C58" s="1367"/>
      <c r="D58" s="1370"/>
      <c r="E58" s="1367"/>
      <c r="F58" s="1368"/>
      <c r="G58" s="123"/>
      <c r="M58" s="80"/>
      <c r="N58" s="80"/>
      <c r="O58" s="80"/>
      <c r="Q58" s="124"/>
      <c r="R58" s="80"/>
      <c r="S58" s="80"/>
      <c r="T58" s="80"/>
      <c r="U58" s="80"/>
      <c r="V58" s="80"/>
      <c r="W58" s="80"/>
      <c r="X58" s="80"/>
    </row>
    <row r="59" spans="1:24" ht="35.1" customHeight="1" x14ac:dyDescent="0.25">
      <c r="A59" s="1369"/>
      <c r="B59" s="1370"/>
      <c r="C59" s="1367"/>
      <c r="D59" s="1370"/>
      <c r="E59" s="1367"/>
      <c r="F59" s="1368"/>
      <c r="G59" s="123"/>
      <c r="M59" s="80"/>
      <c r="N59" s="80"/>
      <c r="O59" s="80"/>
      <c r="Q59" s="124"/>
      <c r="R59" s="80"/>
      <c r="S59" s="80"/>
      <c r="T59" s="80"/>
      <c r="U59" s="80"/>
      <c r="V59" s="80"/>
      <c r="W59" s="80"/>
      <c r="X59" s="80"/>
    </row>
    <row r="60" spans="1:24" ht="35.1" customHeight="1" thickBot="1" x14ac:dyDescent="0.3">
      <c r="A60" s="1369"/>
      <c r="B60" s="1370"/>
      <c r="C60" s="1367"/>
      <c r="D60" s="1370"/>
      <c r="E60" s="1367"/>
      <c r="F60" s="1368"/>
      <c r="G60" s="123"/>
      <c r="M60" s="80"/>
      <c r="N60" s="80"/>
      <c r="O60" s="80"/>
      <c r="Q60" s="124"/>
      <c r="R60" s="80"/>
      <c r="S60" s="80"/>
      <c r="T60" s="80"/>
      <c r="U60" s="80"/>
      <c r="V60" s="80"/>
      <c r="W60" s="80"/>
      <c r="X60" s="80"/>
    </row>
    <row r="61" spans="1:24" ht="30" customHeight="1" thickBot="1" x14ac:dyDescent="0.3">
      <c r="A61" s="800" t="s">
        <v>1687</v>
      </c>
      <c r="B61" s="801"/>
      <c r="C61" s="801"/>
      <c r="D61" s="801"/>
      <c r="E61" s="801"/>
      <c r="F61" s="802"/>
    </row>
    <row r="62" spans="1:24" ht="20.100000000000001" customHeight="1" x14ac:dyDescent="0.25">
      <c r="A62" s="1398" t="s">
        <v>1666</v>
      </c>
      <c r="B62" s="1396"/>
      <c r="C62" s="1396" t="s">
        <v>1665</v>
      </c>
      <c r="D62" s="1396"/>
      <c r="E62" s="1391" t="s">
        <v>1686</v>
      </c>
      <c r="F62" s="1392"/>
      <c r="M62" s="124"/>
      <c r="N62" s="124"/>
      <c r="O62" s="124"/>
      <c r="Q62" s="124"/>
      <c r="R62" s="124"/>
    </row>
    <row r="63" spans="1:24" ht="20.100000000000001" customHeight="1" thickBot="1" x14ac:dyDescent="0.3">
      <c r="A63" s="1397" t="s">
        <v>1684</v>
      </c>
      <c r="B63" s="1395"/>
      <c r="C63" s="1395" t="s">
        <v>1685</v>
      </c>
      <c r="D63" s="1395"/>
      <c r="E63" s="1393"/>
      <c r="F63" s="1394"/>
      <c r="M63" s="124"/>
      <c r="N63" s="124"/>
      <c r="O63" s="124"/>
      <c r="Q63" s="124"/>
      <c r="R63" s="124"/>
    </row>
    <row r="64" spans="1:24" ht="35.1" customHeight="1" x14ac:dyDescent="0.25">
      <c r="A64" s="1369"/>
      <c r="B64" s="1370"/>
      <c r="C64" s="1367"/>
      <c r="D64" s="1370"/>
      <c r="E64" s="1367"/>
      <c r="F64" s="1368"/>
      <c r="G64" s="123"/>
      <c r="M64" s="80"/>
      <c r="N64" s="80"/>
      <c r="O64" s="80"/>
      <c r="Q64" s="124"/>
      <c r="R64" s="80"/>
      <c r="S64" s="80"/>
      <c r="T64" s="80"/>
      <c r="U64" s="80"/>
      <c r="V64" s="80"/>
      <c r="W64" s="80"/>
      <c r="X64" s="80"/>
    </row>
    <row r="65" spans="1:24" ht="35.1" customHeight="1" x14ac:dyDescent="0.25">
      <c r="A65" s="1369"/>
      <c r="B65" s="1370"/>
      <c r="C65" s="1367"/>
      <c r="D65" s="1370"/>
      <c r="E65" s="1367"/>
      <c r="F65" s="1368"/>
      <c r="G65" s="123"/>
      <c r="M65" s="80"/>
      <c r="N65" s="80"/>
      <c r="O65" s="80"/>
      <c r="Q65" s="124"/>
      <c r="R65" s="80"/>
      <c r="S65" s="80"/>
      <c r="T65" s="80"/>
      <c r="U65" s="80"/>
      <c r="V65" s="80"/>
      <c r="W65" s="80"/>
      <c r="X65" s="80"/>
    </row>
    <row r="66" spans="1:24" ht="35.1" customHeight="1" x14ac:dyDescent="0.25">
      <c r="A66" s="1369"/>
      <c r="B66" s="1370"/>
      <c r="C66" s="1367"/>
      <c r="D66" s="1370"/>
      <c r="E66" s="1367"/>
      <c r="F66" s="1368"/>
      <c r="G66" s="123"/>
      <c r="M66" s="80"/>
      <c r="N66" s="80"/>
      <c r="O66" s="80"/>
      <c r="Q66" s="124"/>
      <c r="R66" s="80"/>
      <c r="S66" s="80"/>
      <c r="T66" s="80"/>
      <c r="U66" s="80"/>
      <c r="V66" s="80"/>
      <c r="W66" s="80"/>
      <c r="X66" s="80"/>
    </row>
    <row r="67" spans="1:24" ht="35.1" customHeight="1" x14ac:dyDescent="0.25">
      <c r="A67" s="1369"/>
      <c r="B67" s="1370"/>
      <c r="C67" s="1367"/>
      <c r="D67" s="1370"/>
      <c r="E67" s="1367"/>
      <c r="F67" s="1368"/>
      <c r="G67" s="123"/>
      <c r="M67" s="80"/>
      <c r="N67" s="80"/>
      <c r="O67" s="80"/>
      <c r="Q67" s="124"/>
      <c r="R67" s="80"/>
      <c r="S67" s="80"/>
      <c r="T67" s="80"/>
      <c r="U67" s="80"/>
      <c r="V67" s="80"/>
      <c r="W67" s="80"/>
      <c r="X67" s="80"/>
    </row>
    <row r="68" spans="1:24" ht="35.1" customHeight="1" x14ac:dyDescent="0.25">
      <c r="A68" s="1369"/>
      <c r="B68" s="1370"/>
      <c r="C68" s="1367"/>
      <c r="D68" s="1370"/>
      <c r="E68" s="1367"/>
      <c r="F68" s="1368"/>
      <c r="G68" s="123"/>
      <c r="M68" s="80"/>
      <c r="N68" s="80"/>
      <c r="O68" s="80"/>
      <c r="Q68" s="124"/>
      <c r="R68" s="80"/>
      <c r="S68" s="80"/>
      <c r="T68" s="80"/>
      <c r="U68" s="80"/>
      <c r="V68" s="80"/>
      <c r="W68" s="80"/>
      <c r="X68" s="80"/>
    </row>
    <row r="69" spans="1:24" ht="35.1" customHeight="1" x14ac:dyDescent="0.25">
      <c r="A69" s="1369"/>
      <c r="B69" s="1370"/>
      <c r="C69" s="1367"/>
      <c r="D69" s="1370"/>
      <c r="E69" s="1367"/>
      <c r="F69" s="1368"/>
      <c r="G69" s="123"/>
      <c r="M69" s="80"/>
      <c r="N69" s="80"/>
      <c r="O69" s="80"/>
      <c r="Q69" s="124"/>
      <c r="R69" s="80"/>
      <c r="S69" s="80"/>
      <c r="T69" s="80"/>
      <c r="U69" s="80"/>
      <c r="V69" s="80"/>
      <c r="W69" s="80"/>
      <c r="X69" s="80"/>
    </row>
    <row r="70" spans="1:24" ht="35.1" customHeight="1" x14ac:dyDescent="0.25">
      <c r="A70" s="1369"/>
      <c r="B70" s="1370"/>
      <c r="C70" s="1367"/>
      <c r="D70" s="1370"/>
      <c r="E70" s="1367"/>
      <c r="F70" s="1368"/>
      <c r="G70" s="123"/>
      <c r="M70" s="80"/>
      <c r="N70" s="80"/>
      <c r="O70" s="80"/>
      <c r="Q70" s="124"/>
      <c r="R70" s="80"/>
      <c r="S70" s="80"/>
      <c r="T70" s="80"/>
      <c r="U70" s="80"/>
      <c r="V70" s="80"/>
      <c r="W70" s="80"/>
      <c r="X70" s="80"/>
    </row>
    <row r="71" spans="1:24" ht="35.1" customHeight="1" x14ac:dyDescent="0.25">
      <c r="A71" s="1369"/>
      <c r="B71" s="1370"/>
      <c r="C71" s="1367"/>
      <c r="D71" s="1370"/>
      <c r="E71" s="1367"/>
      <c r="F71" s="1368"/>
      <c r="G71" s="123"/>
      <c r="M71" s="80"/>
      <c r="N71" s="80"/>
      <c r="O71" s="80"/>
      <c r="Q71" s="124"/>
      <c r="R71" s="80"/>
      <c r="S71" s="80"/>
      <c r="T71" s="80"/>
      <c r="U71" s="80"/>
      <c r="V71" s="80"/>
      <c r="W71" s="80"/>
      <c r="X71" s="80"/>
    </row>
    <row r="72" spans="1:24" ht="35.1" customHeight="1" x14ac:dyDescent="0.25">
      <c r="A72" s="1369"/>
      <c r="B72" s="1370"/>
      <c r="C72" s="1367"/>
      <c r="D72" s="1370"/>
      <c r="E72" s="1367"/>
      <c r="F72" s="1368"/>
      <c r="G72" s="123"/>
      <c r="M72" s="80"/>
      <c r="N72" s="80"/>
      <c r="O72" s="80"/>
      <c r="Q72" s="124"/>
      <c r="R72" s="80"/>
      <c r="S72" s="80"/>
      <c r="T72" s="80"/>
      <c r="U72" s="80"/>
      <c r="V72" s="80"/>
      <c r="W72" s="80"/>
      <c r="X72" s="80"/>
    </row>
    <row r="73" spans="1:24" ht="35.1" customHeight="1" x14ac:dyDescent="0.25">
      <c r="A73" s="1369"/>
      <c r="B73" s="1370"/>
      <c r="C73" s="1367"/>
      <c r="D73" s="1370"/>
      <c r="E73" s="1367"/>
      <c r="F73" s="1368"/>
      <c r="G73" s="123"/>
      <c r="M73" s="80"/>
      <c r="N73" s="80"/>
      <c r="O73" s="80"/>
      <c r="Q73" s="124"/>
      <c r="R73" s="80"/>
      <c r="S73" s="80"/>
      <c r="T73" s="80"/>
      <c r="U73" s="80"/>
      <c r="V73" s="80"/>
      <c r="W73" s="80"/>
      <c r="X73" s="80"/>
    </row>
    <row r="74" spans="1:24" ht="35.1" customHeight="1" x14ac:dyDescent="0.25">
      <c r="A74" s="1369"/>
      <c r="B74" s="1370"/>
      <c r="C74" s="1367"/>
      <c r="D74" s="1370"/>
      <c r="E74" s="1367"/>
      <c r="F74" s="1368"/>
      <c r="G74" s="123"/>
      <c r="M74" s="80"/>
      <c r="N74" s="80"/>
      <c r="O74" s="80"/>
      <c r="Q74" s="124"/>
      <c r="R74" s="80"/>
      <c r="S74" s="80"/>
      <c r="T74" s="80"/>
      <c r="U74" s="80"/>
      <c r="V74" s="80"/>
      <c r="W74" s="80"/>
      <c r="X74" s="80"/>
    </row>
    <row r="75" spans="1:24" ht="35.1" customHeight="1" x14ac:dyDescent="0.25">
      <c r="A75" s="1369"/>
      <c r="B75" s="1370"/>
      <c r="C75" s="1367"/>
      <c r="D75" s="1370"/>
      <c r="E75" s="1367"/>
      <c r="F75" s="1368"/>
      <c r="G75" s="123"/>
      <c r="M75" s="80"/>
      <c r="N75" s="80"/>
      <c r="O75" s="80"/>
      <c r="Q75" s="124"/>
      <c r="R75" s="80"/>
      <c r="S75" s="80"/>
      <c r="T75" s="80"/>
      <c r="U75" s="80"/>
      <c r="V75" s="80"/>
      <c r="W75" s="80"/>
      <c r="X75" s="80"/>
    </row>
    <row r="76" spans="1:24" ht="35.1" customHeight="1" x14ac:dyDescent="0.25">
      <c r="A76" s="1369"/>
      <c r="B76" s="1370"/>
      <c r="C76" s="1367"/>
      <c r="D76" s="1370"/>
      <c r="E76" s="1367"/>
      <c r="F76" s="1368"/>
      <c r="G76" s="123"/>
      <c r="M76" s="80"/>
      <c r="N76" s="80"/>
      <c r="O76" s="80"/>
      <c r="Q76" s="124"/>
      <c r="R76" s="80"/>
      <c r="S76" s="80"/>
      <c r="T76" s="80"/>
      <c r="U76" s="80"/>
      <c r="V76" s="80"/>
      <c r="W76" s="80"/>
      <c r="X76" s="80"/>
    </row>
    <row r="77" spans="1:24" ht="35.1" customHeight="1" x14ac:dyDescent="0.25">
      <c r="A77" s="1369"/>
      <c r="B77" s="1370"/>
      <c r="C77" s="1367"/>
      <c r="D77" s="1370"/>
      <c r="E77" s="1367"/>
      <c r="F77" s="1368"/>
      <c r="G77" s="123"/>
      <c r="M77" s="80"/>
      <c r="N77" s="80"/>
      <c r="O77" s="80"/>
      <c r="Q77" s="124"/>
      <c r="R77" s="80"/>
      <c r="S77" s="80"/>
      <c r="T77" s="80"/>
      <c r="U77" s="80"/>
      <c r="V77" s="80"/>
      <c r="W77" s="80"/>
      <c r="X77" s="80"/>
    </row>
    <row r="78" spans="1:24" ht="35.1" customHeight="1" x14ac:dyDescent="0.25">
      <c r="A78" s="1369"/>
      <c r="B78" s="1370"/>
      <c r="C78" s="1367"/>
      <c r="D78" s="1370"/>
      <c r="E78" s="1367"/>
      <c r="F78" s="1368"/>
      <c r="G78" s="123"/>
      <c r="M78" s="80"/>
      <c r="N78" s="80"/>
      <c r="O78" s="80"/>
      <c r="Q78" s="124"/>
      <c r="R78" s="80"/>
      <c r="S78" s="80"/>
      <c r="T78" s="80"/>
      <c r="U78" s="80"/>
      <c r="V78" s="80"/>
      <c r="W78" s="80"/>
      <c r="X78" s="80"/>
    </row>
    <row r="79" spans="1:24" ht="35.1" customHeight="1" x14ac:dyDescent="0.25">
      <c r="A79" s="1369"/>
      <c r="B79" s="1370"/>
      <c r="C79" s="1367"/>
      <c r="D79" s="1370"/>
      <c r="E79" s="1367"/>
      <c r="F79" s="1368"/>
      <c r="G79" s="123"/>
      <c r="M79" s="80"/>
      <c r="N79" s="80"/>
      <c r="O79" s="80"/>
      <c r="Q79" s="124"/>
      <c r="R79" s="80"/>
      <c r="S79" s="80"/>
      <c r="T79" s="80"/>
      <c r="U79" s="80"/>
      <c r="V79" s="80"/>
      <c r="W79" s="80"/>
      <c r="X79" s="80"/>
    </row>
    <row r="80" spans="1:24" ht="35.1" customHeight="1" x14ac:dyDescent="0.25">
      <c r="A80" s="1369"/>
      <c r="B80" s="1370"/>
      <c r="C80" s="1367"/>
      <c r="D80" s="1370"/>
      <c r="E80" s="1367"/>
      <c r="F80" s="1368"/>
      <c r="G80" s="123"/>
      <c r="M80" s="80"/>
      <c r="N80" s="80"/>
      <c r="O80" s="80"/>
      <c r="Q80" s="124"/>
      <c r="R80" s="80"/>
      <c r="S80" s="80"/>
      <c r="T80" s="80"/>
      <c r="U80" s="80"/>
      <c r="V80" s="80"/>
      <c r="W80" s="80"/>
      <c r="X80" s="80"/>
    </row>
    <row r="81" spans="1:24" ht="35.1" customHeight="1" x14ac:dyDescent="0.25">
      <c r="A81" s="1369"/>
      <c r="B81" s="1370"/>
      <c r="C81" s="1367"/>
      <c r="D81" s="1370"/>
      <c r="E81" s="1367"/>
      <c r="F81" s="1368"/>
      <c r="G81" s="123"/>
      <c r="M81" s="80"/>
      <c r="N81" s="80"/>
      <c r="O81" s="80"/>
      <c r="Q81" s="124"/>
      <c r="R81" s="80"/>
      <c r="S81" s="80"/>
      <c r="T81" s="80"/>
      <c r="U81" s="80"/>
      <c r="V81" s="80"/>
      <c r="W81" s="80"/>
      <c r="X81" s="80"/>
    </row>
    <row r="82" spans="1:24" ht="35.1" customHeight="1" x14ac:dyDescent="0.25">
      <c r="A82" s="1369"/>
      <c r="B82" s="1370"/>
      <c r="C82" s="1367"/>
      <c r="D82" s="1370"/>
      <c r="E82" s="1367"/>
      <c r="F82" s="1368"/>
      <c r="G82" s="123"/>
      <c r="M82" s="80"/>
      <c r="N82" s="80"/>
      <c r="O82" s="80"/>
      <c r="Q82" s="124"/>
      <c r="R82" s="80"/>
      <c r="S82" s="80"/>
      <c r="T82" s="80"/>
      <c r="U82" s="80"/>
      <c r="V82" s="80"/>
      <c r="W82" s="80"/>
      <c r="X82" s="80"/>
    </row>
    <row r="83" spans="1:24" ht="35.1" customHeight="1" thickBot="1" x14ac:dyDescent="0.3">
      <c r="A83" s="1369"/>
      <c r="B83" s="1370"/>
      <c r="C83" s="1367"/>
      <c r="D83" s="1370"/>
      <c r="E83" s="1367"/>
      <c r="F83" s="1368"/>
      <c r="G83" s="123"/>
      <c r="M83" s="80"/>
      <c r="N83" s="80"/>
      <c r="O83" s="80"/>
      <c r="Q83" s="124"/>
      <c r="R83" s="80"/>
      <c r="S83" s="80"/>
      <c r="T83" s="80"/>
      <c r="U83" s="80"/>
      <c r="V83" s="80"/>
      <c r="W83" s="80"/>
      <c r="X83" s="80"/>
    </row>
    <row r="84" spans="1:24" ht="30" customHeight="1" thickBot="1" x14ac:dyDescent="0.3">
      <c r="A84" s="800" t="s">
        <v>1688</v>
      </c>
      <c r="B84" s="801"/>
      <c r="C84" s="801"/>
      <c r="D84" s="801"/>
      <c r="E84" s="801"/>
      <c r="F84" s="802"/>
    </row>
    <row r="85" spans="1:24" ht="54.95" customHeight="1" thickBot="1" x14ac:dyDescent="0.3">
      <c r="A85" s="1386" t="s">
        <v>1694</v>
      </c>
      <c r="B85" s="1387"/>
      <c r="C85" s="1387"/>
      <c r="D85" s="1387"/>
      <c r="E85" s="1387"/>
      <c r="F85" s="1388"/>
      <c r="G85" s="163"/>
      <c r="H85" s="67"/>
      <c r="I85" s="67"/>
      <c r="J85" s="67"/>
      <c r="K85" s="67"/>
    </row>
    <row r="86" spans="1:24" ht="20.100000000000001" customHeight="1" x14ac:dyDescent="0.25">
      <c r="A86" s="1398" t="s">
        <v>1665</v>
      </c>
      <c r="B86" s="1396"/>
      <c r="C86" s="1391" t="s">
        <v>1689</v>
      </c>
      <c r="D86" s="1408"/>
      <c r="E86" s="1408"/>
      <c r="F86" s="1392"/>
      <c r="M86" s="124"/>
      <c r="N86" s="124"/>
      <c r="O86" s="124"/>
      <c r="Q86" s="124"/>
      <c r="R86" s="124"/>
    </row>
    <row r="87" spans="1:24" ht="20.100000000000001" customHeight="1" thickBot="1" x14ac:dyDescent="0.3">
      <c r="A87" s="1397" t="s">
        <v>1685</v>
      </c>
      <c r="B87" s="1395"/>
      <c r="C87" s="1393"/>
      <c r="D87" s="1409"/>
      <c r="E87" s="1409"/>
      <c r="F87" s="1394"/>
      <c r="M87" s="124"/>
      <c r="N87" s="124"/>
      <c r="O87" s="124"/>
      <c r="Q87" s="124"/>
      <c r="R87" s="124"/>
    </row>
    <row r="88" spans="1:24" ht="35.1" customHeight="1" x14ac:dyDescent="0.25">
      <c r="A88" s="1402"/>
      <c r="B88" s="1400"/>
      <c r="C88" s="1399"/>
      <c r="D88" s="1411"/>
      <c r="E88" s="1411"/>
      <c r="F88" s="1401"/>
      <c r="G88" s="123"/>
      <c r="M88" s="80"/>
      <c r="N88" s="80"/>
      <c r="O88" s="80"/>
      <c r="Q88" s="124"/>
      <c r="R88" s="80"/>
      <c r="S88" s="80"/>
      <c r="T88" s="80"/>
      <c r="U88" s="80"/>
      <c r="V88" s="80"/>
      <c r="W88" s="80"/>
      <c r="X88" s="80"/>
    </row>
    <row r="89" spans="1:24" ht="35.1" customHeight="1" x14ac:dyDescent="0.25">
      <c r="A89" s="1369"/>
      <c r="B89" s="1370"/>
      <c r="C89" s="1367"/>
      <c r="D89" s="1410"/>
      <c r="E89" s="1410"/>
      <c r="F89" s="1368"/>
      <c r="G89" s="123"/>
      <c r="M89" s="80"/>
      <c r="N89" s="80"/>
      <c r="O89" s="80"/>
      <c r="Q89" s="124"/>
      <c r="R89" s="80"/>
      <c r="S89" s="80"/>
      <c r="T89" s="80"/>
      <c r="U89" s="80"/>
      <c r="V89" s="80"/>
      <c r="W89" s="80"/>
      <c r="X89" s="80"/>
    </row>
    <row r="90" spans="1:24" ht="35.1" customHeight="1" x14ac:dyDescent="0.25">
      <c r="A90" s="1369"/>
      <c r="B90" s="1370"/>
      <c r="C90" s="1367"/>
      <c r="D90" s="1410"/>
      <c r="E90" s="1410"/>
      <c r="F90" s="1368"/>
      <c r="G90" s="123"/>
      <c r="M90" s="80"/>
      <c r="N90" s="80"/>
      <c r="O90" s="80"/>
      <c r="Q90" s="124"/>
      <c r="R90" s="80"/>
      <c r="S90" s="80"/>
      <c r="T90" s="80"/>
      <c r="U90" s="80"/>
      <c r="V90" s="80"/>
      <c r="W90" s="80"/>
      <c r="X90" s="80"/>
    </row>
    <row r="91" spans="1:24" ht="35.1" customHeight="1" x14ac:dyDescent="0.25">
      <c r="A91" s="1369"/>
      <c r="B91" s="1370"/>
      <c r="C91" s="1367"/>
      <c r="D91" s="1410"/>
      <c r="E91" s="1410"/>
      <c r="F91" s="1368"/>
      <c r="G91" s="123"/>
      <c r="M91" s="80"/>
      <c r="N91" s="80"/>
      <c r="O91" s="80"/>
      <c r="Q91" s="124"/>
      <c r="R91" s="80"/>
      <c r="S91" s="80"/>
      <c r="T91" s="80"/>
      <c r="U91" s="80"/>
      <c r="V91" s="80"/>
      <c r="W91" s="80"/>
      <c r="X91" s="80"/>
    </row>
    <row r="92" spans="1:24" ht="35.1" customHeight="1" x14ac:dyDescent="0.25">
      <c r="A92" s="1369"/>
      <c r="B92" s="1370"/>
      <c r="C92" s="1367"/>
      <c r="D92" s="1410"/>
      <c r="E92" s="1410"/>
      <c r="F92" s="1368"/>
      <c r="G92" s="123"/>
      <c r="M92" s="80"/>
      <c r="N92" s="80"/>
      <c r="O92" s="80"/>
      <c r="Q92" s="124"/>
      <c r="R92" s="80"/>
      <c r="S92" s="80"/>
      <c r="T92" s="80"/>
      <c r="U92" s="80"/>
      <c r="V92" s="80"/>
      <c r="W92" s="80"/>
      <c r="X92" s="80"/>
    </row>
    <row r="93" spans="1:24" ht="35.1" customHeight="1" x14ac:dyDescent="0.25">
      <c r="A93" s="1369"/>
      <c r="B93" s="1370"/>
      <c r="C93" s="1367"/>
      <c r="D93" s="1410"/>
      <c r="E93" s="1410"/>
      <c r="F93" s="1368"/>
      <c r="G93" s="123"/>
      <c r="M93" s="80"/>
      <c r="N93" s="80"/>
      <c r="O93" s="80"/>
      <c r="Q93" s="124"/>
      <c r="R93" s="80"/>
      <c r="S93" s="80"/>
      <c r="T93" s="80"/>
      <c r="U93" s="80"/>
      <c r="V93" s="80"/>
      <c r="W93" s="80"/>
      <c r="X93" s="80"/>
    </row>
    <row r="94" spans="1:24" ht="35.1" customHeight="1" x14ac:dyDescent="0.25">
      <c r="A94" s="1369"/>
      <c r="B94" s="1370"/>
      <c r="C94" s="1367"/>
      <c r="D94" s="1410"/>
      <c r="E94" s="1410"/>
      <c r="F94" s="1368"/>
      <c r="G94" s="123"/>
      <c r="M94" s="80"/>
      <c r="N94" s="80"/>
      <c r="O94" s="80"/>
      <c r="Q94" s="124"/>
      <c r="R94" s="80"/>
      <c r="S94" s="80"/>
      <c r="T94" s="80"/>
      <c r="U94" s="80"/>
      <c r="V94" s="80"/>
      <c r="W94" s="80"/>
      <c r="X94" s="80"/>
    </row>
    <row r="95" spans="1:24" ht="35.1" customHeight="1" x14ac:dyDescent="0.25">
      <c r="A95" s="1369"/>
      <c r="B95" s="1370"/>
      <c r="C95" s="1367"/>
      <c r="D95" s="1410"/>
      <c r="E95" s="1410"/>
      <c r="F95" s="1368"/>
      <c r="G95" s="123"/>
      <c r="M95" s="80"/>
      <c r="N95" s="80"/>
      <c r="O95" s="80"/>
      <c r="Q95" s="124"/>
      <c r="R95" s="80"/>
      <c r="S95" s="80"/>
      <c r="T95" s="80"/>
      <c r="U95" s="80"/>
      <c r="V95" s="80"/>
      <c r="W95" s="80"/>
      <c r="X95" s="80"/>
    </row>
    <row r="96" spans="1:24" ht="35.1" customHeight="1" x14ac:dyDescent="0.25">
      <c r="A96" s="1369"/>
      <c r="B96" s="1370"/>
      <c r="C96" s="1367"/>
      <c r="D96" s="1410"/>
      <c r="E96" s="1410"/>
      <c r="F96" s="1368"/>
      <c r="G96" s="123"/>
      <c r="M96" s="80"/>
      <c r="N96" s="80"/>
      <c r="O96" s="80"/>
      <c r="Q96" s="124"/>
      <c r="R96" s="80"/>
      <c r="S96" s="80"/>
      <c r="T96" s="80"/>
      <c r="U96" s="80"/>
      <c r="V96" s="80"/>
      <c r="W96" s="80"/>
      <c r="X96" s="80"/>
    </row>
    <row r="97" spans="1:24" ht="35.1" customHeight="1" x14ac:dyDescent="0.25">
      <c r="A97" s="1369"/>
      <c r="B97" s="1370"/>
      <c r="C97" s="1367"/>
      <c r="D97" s="1410"/>
      <c r="E97" s="1410"/>
      <c r="F97" s="1368"/>
      <c r="G97" s="123"/>
      <c r="M97" s="80"/>
      <c r="N97" s="80"/>
      <c r="O97" s="80"/>
      <c r="Q97" s="124"/>
      <c r="R97" s="80"/>
      <c r="S97" s="80"/>
      <c r="T97" s="80"/>
      <c r="U97" s="80"/>
      <c r="V97" s="80"/>
      <c r="W97" s="80"/>
      <c r="X97" s="80"/>
    </row>
    <row r="98" spans="1:24" ht="35.1" customHeight="1" x14ac:dyDescent="0.25">
      <c r="A98" s="1369"/>
      <c r="B98" s="1370"/>
      <c r="C98" s="1367"/>
      <c r="D98" s="1410"/>
      <c r="E98" s="1410"/>
      <c r="F98" s="1368"/>
      <c r="G98" s="123"/>
      <c r="M98" s="80"/>
      <c r="N98" s="80"/>
      <c r="O98" s="80"/>
      <c r="Q98" s="124"/>
      <c r="R98" s="80"/>
      <c r="S98" s="80"/>
      <c r="T98" s="80"/>
      <c r="U98" s="80"/>
      <c r="V98" s="80"/>
      <c r="W98" s="80"/>
      <c r="X98" s="80"/>
    </row>
    <row r="99" spans="1:24" ht="35.1" customHeight="1" x14ac:dyDescent="0.25">
      <c r="A99" s="1369"/>
      <c r="B99" s="1370"/>
      <c r="C99" s="1367"/>
      <c r="D99" s="1410"/>
      <c r="E99" s="1410"/>
      <c r="F99" s="1368"/>
      <c r="G99" s="123"/>
      <c r="M99" s="80"/>
      <c r="N99" s="80"/>
      <c r="O99" s="80"/>
      <c r="Q99" s="124"/>
      <c r="R99" s="80"/>
      <c r="S99" s="80"/>
      <c r="T99" s="80"/>
      <c r="U99" s="80"/>
      <c r="V99" s="80"/>
      <c r="W99" s="80"/>
      <c r="X99" s="80"/>
    </row>
    <row r="100" spans="1:24" ht="35.1" customHeight="1" x14ac:dyDescent="0.25">
      <c r="A100" s="1369"/>
      <c r="B100" s="1370"/>
      <c r="C100" s="1367"/>
      <c r="D100" s="1410"/>
      <c r="E100" s="1410"/>
      <c r="F100" s="1368"/>
      <c r="G100" s="123"/>
      <c r="M100" s="80"/>
      <c r="N100" s="80"/>
      <c r="O100" s="80"/>
      <c r="Q100" s="124"/>
      <c r="R100" s="80"/>
      <c r="S100" s="80"/>
      <c r="T100" s="80"/>
      <c r="U100" s="80"/>
      <c r="V100" s="80"/>
      <c r="W100" s="80"/>
      <c r="X100" s="80"/>
    </row>
    <row r="101" spans="1:24" ht="35.1" customHeight="1" x14ac:dyDescent="0.25">
      <c r="A101" s="1369"/>
      <c r="B101" s="1370"/>
      <c r="C101" s="1367"/>
      <c r="D101" s="1410"/>
      <c r="E101" s="1410"/>
      <c r="F101" s="1368"/>
      <c r="G101" s="123"/>
      <c r="M101" s="80"/>
      <c r="N101" s="80"/>
      <c r="O101" s="80"/>
      <c r="Q101" s="124"/>
      <c r="R101" s="80"/>
      <c r="S101" s="80"/>
      <c r="T101" s="80"/>
      <c r="U101" s="80"/>
      <c r="V101" s="80"/>
      <c r="W101" s="80"/>
      <c r="X101" s="80"/>
    </row>
    <row r="102" spans="1:24" ht="35.1" customHeight="1" x14ac:dyDescent="0.25">
      <c r="A102" s="1369"/>
      <c r="B102" s="1370"/>
      <c r="C102" s="1367"/>
      <c r="D102" s="1410"/>
      <c r="E102" s="1410"/>
      <c r="F102" s="1368"/>
      <c r="G102" s="123"/>
      <c r="M102" s="80"/>
      <c r="N102" s="80"/>
      <c r="O102" s="80"/>
      <c r="Q102" s="124"/>
      <c r="R102" s="80"/>
      <c r="S102" s="80"/>
      <c r="T102" s="80"/>
      <c r="U102" s="80"/>
      <c r="V102" s="80"/>
      <c r="W102" s="80"/>
      <c r="X102" s="80"/>
    </row>
    <row r="103" spans="1:24" ht="35.1" customHeight="1" x14ac:dyDescent="0.25">
      <c r="A103" s="1369"/>
      <c r="B103" s="1370"/>
      <c r="C103" s="1367"/>
      <c r="D103" s="1410"/>
      <c r="E103" s="1410"/>
      <c r="F103" s="1368"/>
      <c r="G103" s="123"/>
      <c r="M103" s="80"/>
      <c r="N103" s="80"/>
      <c r="O103" s="80"/>
      <c r="Q103" s="124"/>
      <c r="R103" s="80"/>
      <c r="S103" s="80"/>
      <c r="T103" s="80"/>
      <c r="U103" s="80"/>
      <c r="V103" s="80"/>
      <c r="W103" s="80"/>
      <c r="X103" s="80"/>
    </row>
    <row r="104" spans="1:24" ht="35.1" customHeight="1" x14ac:dyDescent="0.25">
      <c r="A104" s="1369"/>
      <c r="B104" s="1370"/>
      <c r="C104" s="1367"/>
      <c r="D104" s="1410"/>
      <c r="E104" s="1410"/>
      <c r="F104" s="1368"/>
      <c r="G104" s="123"/>
      <c r="M104" s="80"/>
      <c r="N104" s="80"/>
      <c r="O104" s="80"/>
      <c r="Q104" s="124"/>
      <c r="R104" s="80"/>
      <c r="S104" s="80"/>
      <c r="T104" s="80"/>
      <c r="U104" s="80"/>
      <c r="V104" s="80"/>
      <c r="W104" s="80"/>
      <c r="X104" s="80"/>
    </row>
    <row r="105" spans="1:24" ht="35.1" customHeight="1" thickBot="1" x14ac:dyDescent="0.3">
      <c r="A105" s="1369"/>
      <c r="B105" s="1370"/>
      <c r="C105" s="1367"/>
      <c r="D105" s="1410"/>
      <c r="E105" s="1410"/>
      <c r="F105" s="1368"/>
      <c r="G105" s="123"/>
      <c r="M105" s="80"/>
      <c r="N105" s="80"/>
      <c r="O105" s="80"/>
      <c r="Q105" s="124"/>
      <c r="R105" s="80"/>
      <c r="S105" s="80"/>
      <c r="T105" s="80"/>
      <c r="U105" s="80"/>
      <c r="V105" s="80"/>
      <c r="W105" s="80"/>
      <c r="X105" s="80"/>
    </row>
    <row r="106" spans="1:24" ht="30" customHeight="1" thickBot="1" x14ac:dyDescent="0.3">
      <c r="A106" s="800" t="s">
        <v>1688</v>
      </c>
      <c r="B106" s="801"/>
      <c r="C106" s="801"/>
      <c r="D106" s="801"/>
      <c r="E106" s="801"/>
      <c r="F106" s="802"/>
    </row>
    <row r="107" spans="1:24" ht="20.100000000000001" customHeight="1" x14ac:dyDescent="0.25">
      <c r="A107" s="1398" t="s">
        <v>1665</v>
      </c>
      <c r="B107" s="1396"/>
      <c r="C107" s="1391" t="s">
        <v>1689</v>
      </c>
      <c r="D107" s="1408"/>
      <c r="E107" s="1408"/>
      <c r="F107" s="1392"/>
      <c r="M107" s="124"/>
      <c r="N107" s="124"/>
      <c r="O107" s="124"/>
      <c r="Q107" s="124"/>
      <c r="R107" s="124"/>
    </row>
    <row r="108" spans="1:24" ht="20.100000000000001" customHeight="1" thickBot="1" x14ac:dyDescent="0.3">
      <c r="A108" s="1397" t="s">
        <v>1685</v>
      </c>
      <c r="B108" s="1395"/>
      <c r="C108" s="1393"/>
      <c r="D108" s="1409"/>
      <c r="E108" s="1409"/>
      <c r="F108" s="1394"/>
      <c r="M108" s="124"/>
      <c r="N108" s="124"/>
      <c r="O108" s="124"/>
      <c r="Q108" s="124"/>
      <c r="R108" s="124"/>
    </row>
    <row r="109" spans="1:24" ht="35.1" customHeight="1" x14ac:dyDescent="0.25">
      <c r="A109" s="1369"/>
      <c r="B109" s="1370"/>
      <c r="C109" s="1367"/>
      <c r="D109" s="1410"/>
      <c r="E109" s="1410"/>
      <c r="F109" s="1368"/>
      <c r="G109" s="123"/>
      <c r="M109" s="80"/>
      <c r="N109" s="80"/>
      <c r="O109" s="80"/>
      <c r="Q109" s="124"/>
      <c r="R109" s="80"/>
      <c r="S109" s="80"/>
      <c r="T109" s="80"/>
      <c r="U109" s="80"/>
      <c r="V109" s="80"/>
      <c r="W109" s="80"/>
      <c r="X109" s="80"/>
    </row>
    <row r="110" spans="1:24" ht="35.1" customHeight="1" x14ac:dyDescent="0.25">
      <c r="A110" s="1369"/>
      <c r="B110" s="1370"/>
      <c r="C110" s="1367"/>
      <c r="D110" s="1410"/>
      <c r="E110" s="1410"/>
      <c r="F110" s="1368"/>
      <c r="G110" s="123"/>
      <c r="M110" s="80"/>
      <c r="N110" s="80"/>
      <c r="O110" s="80"/>
      <c r="Q110" s="124"/>
      <c r="R110" s="80"/>
      <c r="S110" s="80"/>
      <c r="T110" s="80"/>
      <c r="U110" s="80"/>
      <c r="V110" s="80"/>
      <c r="W110" s="80"/>
      <c r="X110" s="80"/>
    </row>
    <row r="111" spans="1:24" ht="35.1" customHeight="1" x14ac:dyDescent="0.25">
      <c r="A111" s="1369"/>
      <c r="B111" s="1370"/>
      <c r="C111" s="1367"/>
      <c r="D111" s="1410"/>
      <c r="E111" s="1410"/>
      <c r="F111" s="1368"/>
      <c r="G111" s="123"/>
      <c r="M111" s="80"/>
      <c r="N111" s="80"/>
      <c r="O111" s="80"/>
      <c r="Q111" s="124"/>
      <c r="R111" s="80"/>
      <c r="S111" s="80"/>
      <c r="T111" s="80"/>
      <c r="U111" s="80"/>
      <c r="V111" s="80"/>
      <c r="W111" s="80"/>
      <c r="X111" s="80"/>
    </row>
    <row r="112" spans="1:24" ht="35.1" customHeight="1" x14ac:dyDescent="0.25">
      <c r="A112" s="1369"/>
      <c r="B112" s="1370"/>
      <c r="C112" s="1367"/>
      <c r="D112" s="1410"/>
      <c r="E112" s="1410"/>
      <c r="F112" s="1368"/>
      <c r="G112" s="123"/>
      <c r="M112" s="80"/>
      <c r="N112" s="80"/>
      <c r="O112" s="80"/>
      <c r="Q112" s="124"/>
      <c r="R112" s="80"/>
      <c r="S112" s="80"/>
      <c r="T112" s="80"/>
      <c r="U112" s="80"/>
      <c r="V112" s="80"/>
      <c r="W112" s="80"/>
      <c r="X112" s="80"/>
    </row>
    <row r="113" spans="1:24" ht="35.1" customHeight="1" x14ac:dyDescent="0.25">
      <c r="A113" s="1369"/>
      <c r="B113" s="1370"/>
      <c r="C113" s="1367"/>
      <c r="D113" s="1410"/>
      <c r="E113" s="1410"/>
      <c r="F113" s="1368"/>
      <c r="G113" s="123"/>
      <c r="M113" s="80"/>
      <c r="N113" s="80"/>
      <c r="O113" s="80"/>
      <c r="Q113" s="124"/>
      <c r="R113" s="80"/>
      <c r="S113" s="80"/>
      <c r="T113" s="80"/>
      <c r="U113" s="80"/>
      <c r="V113" s="80"/>
      <c r="W113" s="80"/>
      <c r="X113" s="80"/>
    </row>
    <row r="114" spans="1:24" ht="35.1" customHeight="1" x14ac:dyDescent="0.25">
      <c r="A114" s="1369"/>
      <c r="B114" s="1370"/>
      <c r="C114" s="1367"/>
      <c r="D114" s="1410"/>
      <c r="E114" s="1410"/>
      <c r="F114" s="1368"/>
      <c r="G114" s="123"/>
      <c r="M114" s="80"/>
      <c r="N114" s="80"/>
      <c r="O114" s="80"/>
      <c r="Q114" s="124"/>
      <c r="R114" s="80"/>
      <c r="S114" s="80"/>
      <c r="T114" s="80"/>
      <c r="U114" s="80"/>
      <c r="V114" s="80"/>
      <c r="W114" s="80"/>
      <c r="X114" s="80"/>
    </row>
    <row r="115" spans="1:24" ht="35.1" customHeight="1" x14ac:dyDescent="0.25">
      <c r="A115" s="1369"/>
      <c r="B115" s="1370"/>
      <c r="C115" s="1367"/>
      <c r="D115" s="1410"/>
      <c r="E115" s="1410"/>
      <c r="F115" s="1368"/>
      <c r="G115" s="123"/>
      <c r="M115" s="80"/>
      <c r="N115" s="80"/>
      <c r="O115" s="80"/>
      <c r="Q115" s="124"/>
      <c r="R115" s="80"/>
      <c r="S115" s="80"/>
      <c r="T115" s="80"/>
      <c r="U115" s="80"/>
      <c r="V115" s="80"/>
      <c r="W115" s="80"/>
      <c r="X115" s="80"/>
    </row>
    <row r="116" spans="1:24" ht="35.1" customHeight="1" x14ac:dyDescent="0.25">
      <c r="A116" s="1369"/>
      <c r="B116" s="1370"/>
      <c r="C116" s="1367"/>
      <c r="D116" s="1410"/>
      <c r="E116" s="1410"/>
      <c r="F116" s="1368"/>
      <c r="G116" s="123"/>
      <c r="M116" s="80"/>
      <c r="N116" s="80"/>
      <c r="O116" s="80"/>
      <c r="Q116" s="124"/>
      <c r="R116" s="80"/>
      <c r="S116" s="80"/>
      <c r="T116" s="80"/>
      <c r="U116" s="80"/>
      <c r="V116" s="80"/>
      <c r="W116" s="80"/>
      <c r="X116" s="80"/>
    </row>
    <row r="117" spans="1:24" ht="35.1" customHeight="1" x14ac:dyDescent="0.25">
      <c r="A117" s="1369"/>
      <c r="B117" s="1370"/>
      <c r="C117" s="1367"/>
      <c r="D117" s="1410"/>
      <c r="E117" s="1410"/>
      <c r="F117" s="1368"/>
      <c r="G117" s="123"/>
      <c r="M117" s="80"/>
      <c r="N117" s="80"/>
      <c r="O117" s="80"/>
      <c r="Q117" s="124"/>
      <c r="R117" s="80"/>
      <c r="S117" s="80"/>
      <c r="T117" s="80"/>
      <c r="U117" s="80"/>
      <c r="V117" s="80"/>
      <c r="W117" s="80"/>
      <c r="X117" s="80"/>
    </row>
    <row r="118" spans="1:24" ht="35.1" customHeight="1" x14ac:dyDescent="0.25">
      <c r="A118" s="1369"/>
      <c r="B118" s="1370"/>
      <c r="C118" s="1367"/>
      <c r="D118" s="1410"/>
      <c r="E118" s="1410"/>
      <c r="F118" s="1368"/>
      <c r="G118" s="123"/>
      <c r="M118" s="80"/>
      <c r="N118" s="80"/>
      <c r="O118" s="80"/>
      <c r="Q118" s="124"/>
      <c r="R118" s="80"/>
      <c r="S118" s="80"/>
      <c r="T118" s="80"/>
      <c r="U118" s="80"/>
      <c r="V118" s="80"/>
      <c r="W118" s="80"/>
      <c r="X118" s="80"/>
    </row>
    <row r="119" spans="1:24" ht="35.1" customHeight="1" x14ac:dyDescent="0.25">
      <c r="A119" s="1369"/>
      <c r="B119" s="1370"/>
      <c r="C119" s="1367"/>
      <c r="D119" s="1410"/>
      <c r="E119" s="1410"/>
      <c r="F119" s="1368"/>
      <c r="G119" s="123"/>
      <c r="M119" s="80"/>
      <c r="N119" s="80"/>
      <c r="O119" s="80"/>
      <c r="Q119" s="124"/>
      <c r="R119" s="80"/>
      <c r="S119" s="80"/>
      <c r="T119" s="80"/>
      <c r="U119" s="80"/>
      <c r="V119" s="80"/>
      <c r="W119" s="80"/>
      <c r="X119" s="80"/>
    </row>
    <row r="120" spans="1:24" ht="35.1" customHeight="1" x14ac:dyDescent="0.25">
      <c r="A120" s="1369"/>
      <c r="B120" s="1370"/>
      <c r="C120" s="1367"/>
      <c r="D120" s="1410"/>
      <c r="E120" s="1410"/>
      <c r="F120" s="1368"/>
      <c r="G120" s="123"/>
      <c r="M120" s="80"/>
      <c r="N120" s="80"/>
      <c r="O120" s="80"/>
      <c r="Q120" s="124"/>
      <c r="R120" s="80"/>
      <c r="S120" s="80"/>
      <c r="T120" s="80"/>
      <c r="U120" s="80"/>
      <c r="V120" s="80"/>
      <c r="W120" s="80"/>
      <c r="X120" s="80"/>
    </row>
    <row r="121" spans="1:24" ht="35.1" customHeight="1" x14ac:dyDescent="0.25">
      <c r="A121" s="1369"/>
      <c r="B121" s="1370"/>
      <c r="C121" s="1367"/>
      <c r="D121" s="1410"/>
      <c r="E121" s="1410"/>
      <c r="F121" s="1368"/>
      <c r="G121" s="123"/>
      <c r="M121" s="80"/>
      <c r="N121" s="80"/>
      <c r="O121" s="80"/>
      <c r="Q121" s="124"/>
      <c r="R121" s="80"/>
      <c r="S121" s="80"/>
      <c r="T121" s="80"/>
      <c r="U121" s="80"/>
      <c r="V121" s="80"/>
      <c r="W121" s="80"/>
      <c r="X121" s="80"/>
    </row>
    <row r="122" spans="1:24" ht="35.1" customHeight="1" x14ac:dyDescent="0.25">
      <c r="A122" s="1369"/>
      <c r="B122" s="1370"/>
      <c r="C122" s="1367"/>
      <c r="D122" s="1410"/>
      <c r="E122" s="1410"/>
      <c r="F122" s="1368"/>
      <c r="G122" s="123"/>
      <c r="M122" s="80"/>
      <c r="N122" s="80"/>
      <c r="O122" s="80"/>
      <c r="Q122" s="124"/>
      <c r="R122" s="80"/>
      <c r="S122" s="80"/>
      <c r="T122" s="80"/>
      <c r="U122" s="80"/>
      <c r="V122" s="80"/>
      <c r="W122" s="80"/>
      <c r="X122" s="80"/>
    </row>
    <row r="123" spans="1:24" ht="35.1" customHeight="1" x14ac:dyDescent="0.25">
      <c r="A123" s="1369"/>
      <c r="B123" s="1370"/>
      <c r="C123" s="1367"/>
      <c r="D123" s="1410"/>
      <c r="E123" s="1410"/>
      <c r="F123" s="1368"/>
      <c r="G123" s="123"/>
      <c r="M123" s="80"/>
      <c r="N123" s="80"/>
      <c r="O123" s="80"/>
      <c r="Q123" s="124"/>
      <c r="R123" s="80"/>
      <c r="S123" s="80"/>
      <c r="T123" s="80"/>
      <c r="U123" s="80"/>
      <c r="V123" s="80"/>
      <c r="W123" s="80"/>
      <c r="X123" s="80"/>
    </row>
    <row r="124" spans="1:24" ht="35.1" customHeight="1" x14ac:dyDescent="0.25">
      <c r="A124" s="1369"/>
      <c r="B124" s="1370"/>
      <c r="C124" s="1367"/>
      <c r="D124" s="1410"/>
      <c r="E124" s="1410"/>
      <c r="F124" s="1368"/>
      <c r="G124" s="123"/>
      <c r="M124" s="80"/>
      <c r="N124" s="80"/>
      <c r="O124" s="80"/>
      <c r="Q124" s="124"/>
      <c r="R124" s="80"/>
      <c r="S124" s="80"/>
      <c r="T124" s="80"/>
      <c r="U124" s="80"/>
      <c r="V124" s="80"/>
      <c r="W124" s="80"/>
      <c r="X124" s="80"/>
    </row>
    <row r="125" spans="1:24" ht="35.1" customHeight="1" x14ac:dyDescent="0.25">
      <c r="A125" s="1369"/>
      <c r="B125" s="1370"/>
      <c r="C125" s="1367"/>
      <c r="D125" s="1410"/>
      <c r="E125" s="1410"/>
      <c r="F125" s="1368"/>
      <c r="G125" s="123"/>
      <c r="M125" s="80"/>
      <c r="N125" s="80"/>
      <c r="O125" s="80"/>
      <c r="Q125" s="124"/>
      <c r="R125" s="80"/>
      <c r="S125" s="80"/>
      <c r="T125" s="80"/>
      <c r="U125" s="80"/>
      <c r="V125" s="80"/>
      <c r="W125" s="80"/>
      <c r="X125" s="80"/>
    </row>
    <row r="126" spans="1:24" ht="35.1" customHeight="1" x14ac:dyDescent="0.25">
      <c r="A126" s="1369"/>
      <c r="B126" s="1370"/>
      <c r="C126" s="1367"/>
      <c r="D126" s="1410"/>
      <c r="E126" s="1410"/>
      <c r="F126" s="1368"/>
      <c r="G126" s="123"/>
      <c r="M126" s="80"/>
      <c r="N126" s="80"/>
      <c r="O126" s="80"/>
      <c r="Q126" s="124"/>
      <c r="R126" s="80"/>
      <c r="S126" s="80"/>
      <c r="T126" s="80"/>
      <c r="U126" s="80"/>
      <c r="V126" s="80"/>
      <c r="W126" s="80"/>
      <c r="X126" s="80"/>
    </row>
    <row r="127" spans="1:24" ht="35.1" customHeight="1" x14ac:dyDescent="0.25">
      <c r="A127" s="1369"/>
      <c r="B127" s="1370"/>
      <c r="C127" s="1367"/>
      <c r="D127" s="1410"/>
      <c r="E127" s="1410"/>
      <c r="F127" s="1368"/>
      <c r="G127" s="123"/>
      <c r="M127" s="80"/>
      <c r="N127" s="80"/>
      <c r="O127" s="80"/>
      <c r="Q127" s="124"/>
      <c r="R127" s="80"/>
      <c r="S127" s="80"/>
      <c r="T127" s="80"/>
      <c r="U127" s="80"/>
      <c r="V127" s="80"/>
      <c r="W127" s="80"/>
      <c r="X127" s="80"/>
    </row>
    <row r="128" spans="1:24" ht="35.1" customHeight="1" thickBot="1" x14ac:dyDescent="0.3">
      <c r="A128" s="1403"/>
      <c r="B128" s="1404"/>
      <c r="C128" s="1405"/>
      <c r="D128" s="1406"/>
      <c r="E128" s="1406"/>
      <c r="F128" s="1407"/>
      <c r="G128" s="123"/>
      <c r="M128" s="80"/>
      <c r="N128" s="80"/>
      <c r="O128" s="80"/>
      <c r="Q128" s="124"/>
      <c r="R128" s="80"/>
      <c r="S128" s="80"/>
      <c r="T128" s="80"/>
      <c r="U128" s="80"/>
      <c r="V128" s="80"/>
      <c r="W128" s="80"/>
      <c r="X128" s="80"/>
    </row>
    <row r="129" spans="1:1" ht="20.100000000000001" customHeight="1" x14ac:dyDescent="0.25">
      <c r="A129" s="50"/>
    </row>
    <row r="130" spans="1:1" ht="20.100000000000001" customHeight="1" x14ac:dyDescent="0.25">
      <c r="A130" s="50"/>
    </row>
    <row r="131" spans="1:1" ht="20.100000000000001" customHeight="1" x14ac:dyDescent="0.25">
      <c r="A131" s="50"/>
    </row>
    <row r="132" spans="1:1" ht="20.100000000000001" customHeight="1" x14ac:dyDescent="0.25">
      <c r="A132" s="50"/>
    </row>
    <row r="133" spans="1:1" ht="20.100000000000001" customHeight="1" x14ac:dyDescent="0.25">
      <c r="A133" s="50"/>
    </row>
    <row r="134" spans="1:1" ht="20.100000000000001" customHeight="1" x14ac:dyDescent="0.25">
      <c r="A134" s="50"/>
    </row>
    <row r="135" spans="1:1" ht="20.100000000000001" customHeight="1" x14ac:dyDescent="0.25">
      <c r="A135" s="50"/>
    </row>
    <row r="136" spans="1:1" ht="20.100000000000001" customHeight="1" x14ac:dyDescent="0.25">
      <c r="A136" s="50"/>
    </row>
    <row r="137" spans="1:1" ht="20.100000000000001" customHeight="1" x14ac:dyDescent="0.25">
      <c r="A137" s="50"/>
    </row>
    <row r="138" spans="1:1" ht="20.100000000000001" customHeight="1" x14ac:dyDescent="0.25">
      <c r="A138" s="50"/>
    </row>
    <row r="139" spans="1:1" ht="20.100000000000001" customHeight="1" x14ac:dyDescent="0.25">
      <c r="A139" s="50"/>
    </row>
    <row r="140" spans="1:1" ht="20.100000000000001" customHeight="1" x14ac:dyDescent="0.25">
      <c r="A140" s="50"/>
    </row>
    <row r="141" spans="1:1" ht="20.100000000000001" customHeight="1" x14ac:dyDescent="0.25">
      <c r="A141" s="50"/>
    </row>
    <row r="142" spans="1:1" ht="20.100000000000001" customHeight="1" x14ac:dyDescent="0.25">
      <c r="A142" s="50"/>
    </row>
    <row r="143" spans="1:1" ht="20.100000000000001" customHeight="1" x14ac:dyDescent="0.25">
      <c r="A143" s="50"/>
    </row>
    <row r="144" spans="1:1" ht="20.100000000000001" customHeight="1" x14ac:dyDescent="0.25">
      <c r="A144" s="50"/>
    </row>
    <row r="145" spans="1:1" ht="20.100000000000001" customHeight="1" x14ac:dyDescent="0.25">
      <c r="A145" s="50"/>
    </row>
    <row r="146" spans="1:1" ht="20.100000000000001" customHeight="1" x14ac:dyDescent="0.25">
      <c r="A146" s="50"/>
    </row>
    <row r="147" spans="1:1" ht="20.100000000000001" customHeight="1" x14ac:dyDescent="0.25">
      <c r="A147" s="50"/>
    </row>
    <row r="148" spans="1:1" ht="20.100000000000001" customHeight="1" x14ac:dyDescent="0.25">
      <c r="A148" s="50"/>
    </row>
    <row r="149" spans="1:1" ht="20.100000000000001" customHeight="1" x14ac:dyDescent="0.25">
      <c r="A149" s="50"/>
    </row>
    <row r="150" spans="1:1" ht="20.100000000000001" customHeight="1" x14ac:dyDescent="0.25">
      <c r="A150" s="50"/>
    </row>
    <row r="151" spans="1:1" ht="20.100000000000001" customHeight="1" x14ac:dyDescent="0.25">
      <c r="A151" s="50"/>
    </row>
    <row r="152" spans="1:1" ht="20.100000000000001" customHeight="1" x14ac:dyDescent="0.25">
      <c r="A152" s="50"/>
    </row>
    <row r="153" spans="1:1" ht="20.100000000000001" customHeight="1" x14ac:dyDescent="0.25">
      <c r="A153" s="50"/>
    </row>
    <row r="154" spans="1:1" ht="20.100000000000001" customHeight="1" x14ac:dyDescent="0.25">
      <c r="A154" s="50"/>
    </row>
    <row r="155" spans="1:1" ht="20.100000000000001" customHeight="1" x14ac:dyDescent="0.25">
      <c r="A155" s="50"/>
    </row>
    <row r="156" spans="1:1" ht="20.100000000000001" customHeight="1" x14ac:dyDescent="0.25">
      <c r="A156" s="50"/>
    </row>
    <row r="157" spans="1:1" ht="20.100000000000001" customHeight="1" x14ac:dyDescent="0.25">
      <c r="A157" s="50"/>
    </row>
    <row r="158" spans="1:1" ht="20.100000000000001" customHeight="1" x14ac:dyDescent="0.25">
      <c r="A158" s="50"/>
    </row>
    <row r="159" spans="1:1" ht="20.100000000000001" customHeight="1" x14ac:dyDescent="0.25">
      <c r="A159" s="50"/>
    </row>
    <row r="160" spans="1:1" ht="20.100000000000001" customHeight="1" x14ac:dyDescent="0.25">
      <c r="A160" s="50"/>
    </row>
    <row r="161" spans="1:1" ht="20.100000000000001" customHeight="1" x14ac:dyDescent="0.25">
      <c r="A161" s="50"/>
    </row>
    <row r="162" spans="1:1" ht="20.100000000000001" customHeight="1" x14ac:dyDescent="0.25">
      <c r="A162" s="50"/>
    </row>
    <row r="163" spans="1:1" ht="20.100000000000001" customHeight="1" x14ac:dyDescent="0.25">
      <c r="A163" s="50"/>
    </row>
    <row r="164" spans="1:1" ht="20.100000000000001" customHeight="1" x14ac:dyDescent="0.25">
      <c r="A164" s="50"/>
    </row>
    <row r="165" spans="1:1" ht="20.100000000000001" customHeight="1" x14ac:dyDescent="0.25">
      <c r="A165" s="50"/>
    </row>
    <row r="166" spans="1:1" ht="20.100000000000001" customHeight="1" x14ac:dyDescent="0.25">
      <c r="A166" s="50"/>
    </row>
    <row r="167" spans="1:1" ht="20.100000000000001" customHeight="1" x14ac:dyDescent="0.25">
      <c r="A167" s="50"/>
    </row>
    <row r="168" spans="1:1" ht="20.100000000000001" customHeight="1" x14ac:dyDescent="0.25">
      <c r="A168" s="50"/>
    </row>
    <row r="169" spans="1:1" ht="20.100000000000001" customHeight="1" x14ac:dyDescent="0.25">
      <c r="A169" s="50"/>
    </row>
    <row r="170" spans="1:1" ht="20.100000000000001" customHeight="1" x14ac:dyDescent="0.25">
      <c r="A170" s="50"/>
    </row>
    <row r="171" spans="1:1" ht="20.100000000000001" customHeight="1" x14ac:dyDescent="0.25">
      <c r="A171" s="50"/>
    </row>
    <row r="172" spans="1:1" ht="20.100000000000001" customHeight="1" x14ac:dyDescent="0.25">
      <c r="A172" s="50"/>
    </row>
    <row r="173" spans="1:1" ht="20.100000000000001" customHeight="1" x14ac:dyDescent="0.25">
      <c r="A173" s="50"/>
    </row>
    <row r="174" spans="1:1" ht="20.100000000000001" customHeight="1" x14ac:dyDescent="0.25">
      <c r="A174" s="50"/>
    </row>
    <row r="175" spans="1:1" ht="20.100000000000001" customHeight="1" x14ac:dyDescent="0.25">
      <c r="A175" s="50"/>
    </row>
    <row r="176" spans="1:1" ht="20.100000000000001" customHeight="1" x14ac:dyDescent="0.25">
      <c r="A176" s="50"/>
    </row>
    <row r="177" spans="1:1" ht="20.100000000000001" customHeight="1" x14ac:dyDescent="0.25">
      <c r="A177" s="50"/>
    </row>
    <row r="178" spans="1:1" ht="20.100000000000001" customHeight="1" x14ac:dyDescent="0.25">
      <c r="A178" s="50"/>
    </row>
    <row r="179" spans="1:1" ht="20.100000000000001" customHeight="1" x14ac:dyDescent="0.25">
      <c r="A179" s="50"/>
    </row>
    <row r="180" spans="1:1" ht="20.100000000000001" customHeight="1" x14ac:dyDescent="0.25">
      <c r="A180" s="50"/>
    </row>
    <row r="181" spans="1:1" ht="20.100000000000001" customHeight="1" x14ac:dyDescent="0.25">
      <c r="A181" s="50"/>
    </row>
    <row r="182" spans="1:1" ht="20.100000000000001" customHeight="1" x14ac:dyDescent="0.25">
      <c r="A182" s="50"/>
    </row>
    <row r="183" spans="1:1" ht="20.100000000000001" customHeight="1" x14ac:dyDescent="0.25">
      <c r="A183" s="50"/>
    </row>
    <row r="184" spans="1:1" ht="20.100000000000001" customHeight="1" x14ac:dyDescent="0.25">
      <c r="A184" s="50"/>
    </row>
    <row r="185" spans="1:1" ht="20.100000000000001" customHeight="1" x14ac:dyDescent="0.25">
      <c r="A185" s="50"/>
    </row>
    <row r="186" spans="1:1" ht="20.100000000000001" customHeight="1" x14ac:dyDescent="0.25">
      <c r="A186" s="50"/>
    </row>
    <row r="187" spans="1:1" ht="20.100000000000001" customHeight="1" x14ac:dyDescent="0.25">
      <c r="A187" s="50"/>
    </row>
    <row r="188" spans="1:1" ht="20.100000000000001" customHeight="1" x14ac:dyDescent="0.25">
      <c r="A188" s="50"/>
    </row>
    <row r="189" spans="1:1" ht="20.100000000000001" customHeight="1" x14ac:dyDescent="0.25">
      <c r="A189" s="50"/>
    </row>
  </sheetData>
  <sheetProtection algorithmName="SHA-512" hashValue="7mYfWbtCfRmjqxx6DDZfzEgMq3tGheDROEg9dXmjZr54/Tl+bsLJivc1dG0ZTgRJQjSIILmHiEP1LaSvsdp82w==" saltValue="RIGWIJP7Zkj2ZMEZx+WPNQ==" spinCount="100000" sheet="1" objects="1" scenarios="1"/>
  <mergeCells count="265">
    <mergeCell ref="C119:F119"/>
    <mergeCell ref="C120:F120"/>
    <mergeCell ref="B11:L11"/>
    <mergeCell ref="B12:L12"/>
    <mergeCell ref="B13:L13"/>
    <mergeCell ref="B14:L14"/>
    <mergeCell ref="B15:L15"/>
    <mergeCell ref="B16:L16"/>
    <mergeCell ref="B17:L17"/>
    <mergeCell ref="E57:F57"/>
    <mergeCell ref="A96:B96"/>
    <mergeCell ref="C96:F96"/>
    <mergeCell ref="C89:F89"/>
    <mergeCell ref="C88:F88"/>
    <mergeCell ref="C90:F90"/>
    <mergeCell ref="C91:F91"/>
    <mergeCell ref="C92:F92"/>
    <mergeCell ref="E62:F63"/>
    <mergeCell ref="A63:B63"/>
    <mergeCell ref="C63:D63"/>
    <mergeCell ref="A88:B88"/>
    <mergeCell ref="A77:B77"/>
    <mergeCell ref="C77:D77"/>
    <mergeCell ref="A78:B78"/>
    <mergeCell ref="A117:B117"/>
    <mergeCell ref="A118:B118"/>
    <mergeCell ref="C117:F117"/>
    <mergeCell ref="C118:F118"/>
    <mergeCell ref="A115:B115"/>
    <mergeCell ref="A116:B116"/>
    <mergeCell ref="C115:F115"/>
    <mergeCell ref="A127:B127"/>
    <mergeCell ref="C126:F126"/>
    <mergeCell ref="C127:F127"/>
    <mergeCell ref="A125:B125"/>
    <mergeCell ref="C125:F125"/>
    <mergeCell ref="A123:B123"/>
    <mergeCell ref="A124:B124"/>
    <mergeCell ref="C123:F123"/>
    <mergeCell ref="C124:F124"/>
    <mergeCell ref="C116:F116"/>
    <mergeCell ref="A126:B126"/>
    <mergeCell ref="A121:B121"/>
    <mergeCell ref="A122:B122"/>
    <mergeCell ref="C121:F121"/>
    <mergeCell ref="C122:F122"/>
    <mergeCell ref="A119:B119"/>
    <mergeCell ref="A120:B120"/>
    <mergeCell ref="A113:B113"/>
    <mergeCell ref="A114:B114"/>
    <mergeCell ref="C113:F113"/>
    <mergeCell ref="C114:F114"/>
    <mergeCell ref="A111:B111"/>
    <mergeCell ref="A112:B112"/>
    <mergeCell ref="C111:F111"/>
    <mergeCell ref="C112:F112"/>
    <mergeCell ref="A109:B109"/>
    <mergeCell ref="A110:B110"/>
    <mergeCell ref="C109:F109"/>
    <mergeCell ref="C110:F110"/>
    <mergeCell ref="A107:B107"/>
    <mergeCell ref="A108:B108"/>
    <mergeCell ref="C105:F105"/>
    <mergeCell ref="C107:F108"/>
    <mergeCell ref="A93:B93"/>
    <mergeCell ref="C93:F93"/>
    <mergeCell ref="A103:B103"/>
    <mergeCell ref="A104:B104"/>
    <mergeCell ref="C103:F103"/>
    <mergeCell ref="C104:F104"/>
    <mergeCell ref="A101:B101"/>
    <mergeCell ref="A102:B102"/>
    <mergeCell ref="C101:F101"/>
    <mergeCell ref="C102:F102"/>
    <mergeCell ref="A99:B99"/>
    <mergeCell ref="A100:B100"/>
    <mergeCell ref="C99:F99"/>
    <mergeCell ref="C100:F100"/>
    <mergeCell ref="C94:F94"/>
    <mergeCell ref="C95:F95"/>
    <mergeCell ref="A72:B72"/>
    <mergeCell ref="C72:D72"/>
    <mergeCell ref="A73:B73"/>
    <mergeCell ref="C73:D73"/>
    <mergeCell ref="A74:B74"/>
    <mergeCell ref="C74:D74"/>
    <mergeCell ref="A69:B69"/>
    <mergeCell ref="C69:D69"/>
    <mergeCell ref="A70:B70"/>
    <mergeCell ref="C70:D70"/>
    <mergeCell ref="A71:B71"/>
    <mergeCell ref="C71:D71"/>
    <mergeCell ref="A89:B89"/>
    <mergeCell ref="A90:B90"/>
    <mergeCell ref="A128:B128"/>
    <mergeCell ref="C128:F128"/>
    <mergeCell ref="A81:B81"/>
    <mergeCell ref="C81:D81"/>
    <mergeCell ref="A82:B82"/>
    <mergeCell ref="C82:D82"/>
    <mergeCell ref="A83:B83"/>
    <mergeCell ref="C83:D83"/>
    <mergeCell ref="A91:B91"/>
    <mergeCell ref="A92:B92"/>
    <mergeCell ref="A85:F85"/>
    <mergeCell ref="A86:B86"/>
    <mergeCell ref="A87:B87"/>
    <mergeCell ref="C86:F87"/>
    <mergeCell ref="A97:B97"/>
    <mergeCell ref="A98:B98"/>
    <mergeCell ref="C97:F97"/>
    <mergeCell ref="C98:F98"/>
    <mergeCell ref="A94:B94"/>
    <mergeCell ref="A95:B95"/>
    <mergeCell ref="A105:B105"/>
    <mergeCell ref="A106:F106"/>
    <mergeCell ref="A66:B66"/>
    <mergeCell ref="C66:D66"/>
    <mergeCell ref="A67:B67"/>
    <mergeCell ref="C67:D67"/>
    <mergeCell ref="A56:B56"/>
    <mergeCell ref="C56:D56"/>
    <mergeCell ref="A58:B58"/>
    <mergeCell ref="C58:D58"/>
    <mergeCell ref="A62:B62"/>
    <mergeCell ref="C62:D62"/>
    <mergeCell ref="A65:B65"/>
    <mergeCell ref="C65:D65"/>
    <mergeCell ref="A51:B51"/>
    <mergeCell ref="C51:D51"/>
    <mergeCell ref="A52:B52"/>
    <mergeCell ref="C52:D52"/>
    <mergeCell ref="A53:B53"/>
    <mergeCell ref="C53:D53"/>
    <mergeCell ref="A54:B54"/>
    <mergeCell ref="A55:B55"/>
    <mergeCell ref="A57:B57"/>
    <mergeCell ref="C57:D57"/>
    <mergeCell ref="A48:B48"/>
    <mergeCell ref="C48:D48"/>
    <mergeCell ref="A49:B49"/>
    <mergeCell ref="C49:D49"/>
    <mergeCell ref="A41:F41"/>
    <mergeCell ref="G41:K41"/>
    <mergeCell ref="E42:F43"/>
    <mergeCell ref="C43:D43"/>
    <mergeCell ref="C42:D42"/>
    <mergeCell ref="A43:B43"/>
    <mergeCell ref="A42:B42"/>
    <mergeCell ref="C45:D45"/>
    <mergeCell ref="C44:D44"/>
    <mergeCell ref="A45:B45"/>
    <mergeCell ref="E48:F48"/>
    <mergeCell ref="E49:F49"/>
    <mergeCell ref="E44:F44"/>
    <mergeCell ref="E45:F45"/>
    <mergeCell ref="E46:F46"/>
    <mergeCell ref="E47:F47"/>
    <mergeCell ref="A44:B44"/>
    <mergeCell ref="A46:B46"/>
    <mergeCell ref="E74:F74"/>
    <mergeCell ref="E75:F75"/>
    <mergeCell ref="E76:F76"/>
    <mergeCell ref="A75:B75"/>
    <mergeCell ref="C75:D75"/>
    <mergeCell ref="A76:B76"/>
    <mergeCell ref="C76:D76"/>
    <mergeCell ref="E59:F59"/>
    <mergeCell ref="E60:F60"/>
    <mergeCell ref="E64:F64"/>
    <mergeCell ref="A59:B59"/>
    <mergeCell ref="C59:D59"/>
    <mergeCell ref="A60:B60"/>
    <mergeCell ref="C60:D60"/>
    <mergeCell ref="A64:B64"/>
    <mergeCell ref="C64:D64"/>
    <mergeCell ref="A61:F61"/>
    <mergeCell ref="E65:F65"/>
    <mergeCell ref="E66:F66"/>
    <mergeCell ref="E67:F67"/>
    <mergeCell ref="E68:F68"/>
    <mergeCell ref="E69:F69"/>
    <mergeCell ref="E70:F70"/>
    <mergeCell ref="E71:F71"/>
    <mergeCell ref="E50:F50"/>
    <mergeCell ref="A50:B50"/>
    <mergeCell ref="C50:D50"/>
    <mergeCell ref="E39:F39"/>
    <mergeCell ref="A24:C24"/>
    <mergeCell ref="E24:F24"/>
    <mergeCell ref="E26:F26"/>
    <mergeCell ref="A26:C26"/>
    <mergeCell ref="E25:F25"/>
    <mergeCell ref="A25:C25"/>
    <mergeCell ref="A29:C29"/>
    <mergeCell ref="E29:F29"/>
    <mergeCell ref="A30:C30"/>
    <mergeCell ref="E30:F30"/>
    <mergeCell ref="A31:C31"/>
    <mergeCell ref="E31:F31"/>
    <mergeCell ref="A32:C32"/>
    <mergeCell ref="E32:F32"/>
    <mergeCell ref="A33:C33"/>
    <mergeCell ref="E33:F33"/>
    <mergeCell ref="A34:C34"/>
    <mergeCell ref="E34:F34"/>
    <mergeCell ref="A47:B47"/>
    <mergeCell ref="C47:D47"/>
    <mergeCell ref="A19:L19"/>
    <mergeCell ref="A8:L8"/>
    <mergeCell ref="A6:L6"/>
    <mergeCell ref="A2:L2"/>
    <mergeCell ref="A1:L1"/>
    <mergeCell ref="B3:L3"/>
    <mergeCell ref="B4:L4"/>
    <mergeCell ref="B5:L5"/>
    <mergeCell ref="A9:L9"/>
    <mergeCell ref="A7:L7"/>
    <mergeCell ref="A18:L18"/>
    <mergeCell ref="B10:L10"/>
    <mergeCell ref="A39:C39"/>
    <mergeCell ref="A20:F20"/>
    <mergeCell ref="A21:F21"/>
    <mergeCell ref="A22:F22"/>
    <mergeCell ref="A23:F23"/>
    <mergeCell ref="A27:C27"/>
    <mergeCell ref="E27:F27"/>
    <mergeCell ref="A28:C28"/>
    <mergeCell ref="E28:F28"/>
    <mergeCell ref="A84:F84"/>
    <mergeCell ref="E77:F77"/>
    <mergeCell ref="E78:F78"/>
    <mergeCell ref="E79:F79"/>
    <mergeCell ref="E80:F80"/>
    <mergeCell ref="E81:F81"/>
    <mergeCell ref="E82:F82"/>
    <mergeCell ref="E83:F83"/>
    <mergeCell ref="A80:B80"/>
    <mergeCell ref="C80:D80"/>
    <mergeCell ref="C79:D79"/>
    <mergeCell ref="C78:D78"/>
    <mergeCell ref="A79:B79"/>
    <mergeCell ref="A40:F40"/>
    <mergeCell ref="A35:C35"/>
    <mergeCell ref="E35:F35"/>
    <mergeCell ref="E72:F72"/>
    <mergeCell ref="E73:F73"/>
    <mergeCell ref="A68:B68"/>
    <mergeCell ref="C68:D68"/>
    <mergeCell ref="C46:D46"/>
    <mergeCell ref="E51:F51"/>
    <mergeCell ref="E52:F52"/>
    <mergeCell ref="E53:F53"/>
    <mergeCell ref="E54:F54"/>
    <mergeCell ref="E55:F55"/>
    <mergeCell ref="E56:F56"/>
    <mergeCell ref="E58:F58"/>
    <mergeCell ref="C54:D54"/>
    <mergeCell ref="C55:D55"/>
    <mergeCell ref="A36:C36"/>
    <mergeCell ref="E36:F36"/>
    <mergeCell ref="A37:C37"/>
    <mergeCell ref="E37:F37"/>
    <mergeCell ref="A38:C38"/>
    <mergeCell ref="E38:F38"/>
  </mergeCells>
  <conditionalFormatting sqref="C44:D60">
    <cfRule type="expression" dxfId="34" priority="3">
      <formula>AND(NOT(ISBLANK(A44)),ISBLANK(C44))</formula>
    </cfRule>
  </conditionalFormatting>
  <conditionalFormatting sqref="C64:D83 C109:F128">
    <cfRule type="expression" dxfId="33" priority="5">
      <formula>AND(NOT(ISBLANK(A64)),ISBLANK(C64))</formula>
    </cfRule>
  </conditionalFormatting>
  <conditionalFormatting sqref="C88:F105">
    <cfRule type="expression" dxfId="32" priority="1">
      <formula>AND(NOT(ISBLANK(A88)),ISBLANK(C88))</formula>
    </cfRule>
  </conditionalFormatting>
  <conditionalFormatting sqref="D25:D39">
    <cfRule type="expression" dxfId="31" priority="8">
      <formula>Q25=FALSE</formula>
    </cfRule>
  </conditionalFormatting>
  <conditionalFormatting sqref="E25:E39">
    <cfRule type="expression" dxfId="30" priority="9">
      <formula>AND(Q25=TRUE,ISBLANK(E25))</formula>
    </cfRule>
  </conditionalFormatting>
  <conditionalFormatting sqref="E44:F60">
    <cfRule type="expression" dxfId="29" priority="2">
      <formula>AND(NOT(ISBLANK(A44)),NOT(ISBLANK(C44)),ISBLANK(E44))</formula>
    </cfRule>
  </conditionalFormatting>
  <conditionalFormatting sqref="E64:F83">
    <cfRule type="expression" dxfId="28" priority="4">
      <formula>AND(NOT(ISBLANK(A64)),NOT(ISBLANK(C64)),ISBLANK(E64))</formula>
    </cfRule>
  </conditionalFormatting>
  <hyperlinks>
    <hyperlink ref="A7:L7" r:id="rId1" display="Lincoln-Lancaster County Air Pollution Control Program Regulations &amp; Standards (LLCAPCPRS)" xr:uid="{00000000-0004-0000-1400-000000000000}"/>
    <hyperlink ref="A9:L9" r:id="rId2" display="Title 40, Chapter 4 of the Code of Federal Regulations (40 CFR)" xr:uid="{00000000-0004-0000-1400-000001000000}"/>
  </hyperlinks>
  <printOptions horizontalCentered="1"/>
  <pageMargins left="0.5" right="0.5" top="0.5" bottom="0.5" header="0.3" footer="0.3"/>
  <pageSetup scale="86" fitToHeight="0" orientation="portrait" r:id="rId3"/>
  <headerFooter>
    <oddFooter>&amp;LRev. 2/2014&amp;C&amp;A&amp;RPage &amp;P</oddFooter>
  </headerFooter>
  <rowBreaks count="4" manualBreakCount="4">
    <brk id="39" max="5" man="1"/>
    <brk id="60" max="5" man="1"/>
    <brk id="83" max="5" man="1"/>
    <brk id="105" max="5" man="1"/>
  </rowBreaks>
  <drawing r:id="rId4"/>
  <legacyDrawing r:id="rId5"/>
  <mc:AlternateContent xmlns:mc="http://schemas.openxmlformats.org/markup-compatibility/2006">
    <mc:Choice Requires="x14">
      <controls>
        <mc:AlternateContent xmlns:mc="http://schemas.openxmlformats.org/markup-compatibility/2006">
          <mc:Choice Requires="x14">
            <control shapeId="64583" r:id="rId6" name="Check Box 71">
              <controlPr defaultSize="0" autoFill="0" autoLine="0" autoPict="0">
                <anchor moveWithCells="1">
                  <from>
                    <xdr:col>3</xdr:col>
                    <xdr:colOff>0</xdr:colOff>
                    <xdr:row>24</xdr:row>
                    <xdr:rowOff>19050</xdr:rowOff>
                  </from>
                  <to>
                    <xdr:col>3</xdr:col>
                    <xdr:colOff>781050</xdr:colOff>
                    <xdr:row>24</xdr:row>
                    <xdr:rowOff>228600</xdr:rowOff>
                  </to>
                </anchor>
              </controlPr>
            </control>
          </mc:Choice>
        </mc:AlternateContent>
        <mc:AlternateContent xmlns:mc="http://schemas.openxmlformats.org/markup-compatibility/2006">
          <mc:Choice Requires="x14">
            <control shapeId="64584" r:id="rId7" name="Check Box 72">
              <controlPr defaultSize="0" autoFill="0" autoLine="0" autoPict="0">
                <anchor moveWithCells="1">
                  <from>
                    <xdr:col>3</xdr:col>
                    <xdr:colOff>0</xdr:colOff>
                    <xdr:row>24</xdr:row>
                    <xdr:rowOff>219075</xdr:rowOff>
                  </from>
                  <to>
                    <xdr:col>3</xdr:col>
                    <xdr:colOff>781050</xdr:colOff>
                    <xdr:row>24</xdr:row>
                    <xdr:rowOff>428625</xdr:rowOff>
                  </to>
                </anchor>
              </controlPr>
            </control>
          </mc:Choice>
        </mc:AlternateContent>
        <mc:AlternateContent xmlns:mc="http://schemas.openxmlformats.org/markup-compatibility/2006">
          <mc:Choice Requires="x14">
            <control shapeId="64587" r:id="rId8" name="Check Box 75">
              <controlPr defaultSize="0" autoFill="0" autoLine="0" autoPict="0">
                <anchor moveWithCells="1">
                  <from>
                    <xdr:col>3</xdr:col>
                    <xdr:colOff>0</xdr:colOff>
                    <xdr:row>25</xdr:row>
                    <xdr:rowOff>19050</xdr:rowOff>
                  </from>
                  <to>
                    <xdr:col>3</xdr:col>
                    <xdr:colOff>781050</xdr:colOff>
                    <xdr:row>25</xdr:row>
                    <xdr:rowOff>228600</xdr:rowOff>
                  </to>
                </anchor>
              </controlPr>
            </control>
          </mc:Choice>
        </mc:AlternateContent>
        <mc:AlternateContent xmlns:mc="http://schemas.openxmlformats.org/markup-compatibility/2006">
          <mc:Choice Requires="x14">
            <control shapeId="64588" r:id="rId9" name="Check Box 76">
              <controlPr defaultSize="0" autoFill="0" autoLine="0" autoPict="0">
                <anchor moveWithCells="1">
                  <from>
                    <xdr:col>3</xdr:col>
                    <xdr:colOff>0</xdr:colOff>
                    <xdr:row>25</xdr:row>
                    <xdr:rowOff>219075</xdr:rowOff>
                  </from>
                  <to>
                    <xdr:col>3</xdr:col>
                    <xdr:colOff>781050</xdr:colOff>
                    <xdr:row>25</xdr:row>
                    <xdr:rowOff>428625</xdr:rowOff>
                  </to>
                </anchor>
              </controlPr>
            </control>
          </mc:Choice>
        </mc:AlternateContent>
        <mc:AlternateContent xmlns:mc="http://schemas.openxmlformats.org/markup-compatibility/2006">
          <mc:Choice Requires="x14">
            <control shapeId="64589" r:id="rId10" name="Check Box 77">
              <controlPr defaultSize="0" autoFill="0" autoLine="0" autoPict="0">
                <anchor moveWithCells="1">
                  <from>
                    <xdr:col>3</xdr:col>
                    <xdr:colOff>0</xdr:colOff>
                    <xdr:row>26</xdr:row>
                    <xdr:rowOff>0</xdr:rowOff>
                  </from>
                  <to>
                    <xdr:col>3</xdr:col>
                    <xdr:colOff>781050</xdr:colOff>
                    <xdr:row>26</xdr:row>
                    <xdr:rowOff>209550</xdr:rowOff>
                  </to>
                </anchor>
              </controlPr>
            </control>
          </mc:Choice>
        </mc:AlternateContent>
        <mc:AlternateContent xmlns:mc="http://schemas.openxmlformats.org/markup-compatibility/2006">
          <mc:Choice Requires="x14">
            <control shapeId="64590" r:id="rId11" name="Check Box 78">
              <controlPr defaultSize="0" autoFill="0" autoLine="0" autoPict="0">
                <anchor moveWithCells="1">
                  <from>
                    <xdr:col>3</xdr:col>
                    <xdr:colOff>0</xdr:colOff>
                    <xdr:row>26</xdr:row>
                    <xdr:rowOff>200025</xdr:rowOff>
                  </from>
                  <to>
                    <xdr:col>3</xdr:col>
                    <xdr:colOff>781050</xdr:colOff>
                    <xdr:row>26</xdr:row>
                    <xdr:rowOff>409575</xdr:rowOff>
                  </to>
                </anchor>
              </controlPr>
            </control>
          </mc:Choice>
        </mc:AlternateContent>
        <mc:AlternateContent xmlns:mc="http://schemas.openxmlformats.org/markup-compatibility/2006">
          <mc:Choice Requires="x14">
            <control shapeId="64591" r:id="rId12" name="Check Box 79">
              <controlPr defaultSize="0" autoFill="0" autoLine="0" autoPict="0">
                <anchor moveWithCells="1">
                  <from>
                    <xdr:col>3</xdr:col>
                    <xdr:colOff>0</xdr:colOff>
                    <xdr:row>27</xdr:row>
                    <xdr:rowOff>0</xdr:rowOff>
                  </from>
                  <to>
                    <xdr:col>3</xdr:col>
                    <xdr:colOff>781050</xdr:colOff>
                    <xdr:row>27</xdr:row>
                    <xdr:rowOff>209550</xdr:rowOff>
                  </to>
                </anchor>
              </controlPr>
            </control>
          </mc:Choice>
        </mc:AlternateContent>
        <mc:AlternateContent xmlns:mc="http://schemas.openxmlformats.org/markup-compatibility/2006">
          <mc:Choice Requires="x14">
            <control shapeId="64592" r:id="rId13" name="Check Box 80">
              <controlPr defaultSize="0" autoFill="0" autoLine="0" autoPict="0">
                <anchor moveWithCells="1">
                  <from>
                    <xdr:col>3</xdr:col>
                    <xdr:colOff>0</xdr:colOff>
                    <xdr:row>27</xdr:row>
                    <xdr:rowOff>200025</xdr:rowOff>
                  </from>
                  <to>
                    <xdr:col>3</xdr:col>
                    <xdr:colOff>781050</xdr:colOff>
                    <xdr:row>27</xdr:row>
                    <xdr:rowOff>409575</xdr:rowOff>
                  </to>
                </anchor>
              </controlPr>
            </control>
          </mc:Choice>
        </mc:AlternateContent>
        <mc:AlternateContent xmlns:mc="http://schemas.openxmlformats.org/markup-compatibility/2006">
          <mc:Choice Requires="x14">
            <control shapeId="64595" r:id="rId14" name="Check Box 83">
              <controlPr defaultSize="0" autoFill="0" autoLine="0" autoPict="0">
                <anchor moveWithCells="1">
                  <from>
                    <xdr:col>3</xdr:col>
                    <xdr:colOff>0</xdr:colOff>
                    <xdr:row>28</xdr:row>
                    <xdr:rowOff>0</xdr:rowOff>
                  </from>
                  <to>
                    <xdr:col>3</xdr:col>
                    <xdr:colOff>781050</xdr:colOff>
                    <xdr:row>28</xdr:row>
                    <xdr:rowOff>209550</xdr:rowOff>
                  </to>
                </anchor>
              </controlPr>
            </control>
          </mc:Choice>
        </mc:AlternateContent>
        <mc:AlternateContent xmlns:mc="http://schemas.openxmlformats.org/markup-compatibility/2006">
          <mc:Choice Requires="x14">
            <control shapeId="64596" r:id="rId15" name="Check Box 84">
              <controlPr defaultSize="0" autoFill="0" autoLine="0" autoPict="0">
                <anchor moveWithCells="1">
                  <from>
                    <xdr:col>3</xdr:col>
                    <xdr:colOff>0</xdr:colOff>
                    <xdr:row>28</xdr:row>
                    <xdr:rowOff>200025</xdr:rowOff>
                  </from>
                  <to>
                    <xdr:col>3</xdr:col>
                    <xdr:colOff>781050</xdr:colOff>
                    <xdr:row>28</xdr:row>
                    <xdr:rowOff>409575</xdr:rowOff>
                  </to>
                </anchor>
              </controlPr>
            </control>
          </mc:Choice>
        </mc:AlternateContent>
        <mc:AlternateContent xmlns:mc="http://schemas.openxmlformats.org/markup-compatibility/2006">
          <mc:Choice Requires="x14">
            <control shapeId="64597" r:id="rId16" name="Check Box 85">
              <controlPr defaultSize="0" autoFill="0" autoLine="0" autoPict="0">
                <anchor moveWithCells="1">
                  <from>
                    <xdr:col>3</xdr:col>
                    <xdr:colOff>0</xdr:colOff>
                    <xdr:row>29</xdr:row>
                    <xdr:rowOff>0</xdr:rowOff>
                  </from>
                  <to>
                    <xdr:col>3</xdr:col>
                    <xdr:colOff>781050</xdr:colOff>
                    <xdr:row>29</xdr:row>
                    <xdr:rowOff>209550</xdr:rowOff>
                  </to>
                </anchor>
              </controlPr>
            </control>
          </mc:Choice>
        </mc:AlternateContent>
        <mc:AlternateContent xmlns:mc="http://schemas.openxmlformats.org/markup-compatibility/2006">
          <mc:Choice Requires="x14">
            <control shapeId="64598" r:id="rId17" name="Check Box 86">
              <controlPr defaultSize="0" autoFill="0" autoLine="0" autoPict="0">
                <anchor moveWithCells="1">
                  <from>
                    <xdr:col>3</xdr:col>
                    <xdr:colOff>0</xdr:colOff>
                    <xdr:row>29</xdr:row>
                    <xdr:rowOff>200025</xdr:rowOff>
                  </from>
                  <to>
                    <xdr:col>3</xdr:col>
                    <xdr:colOff>781050</xdr:colOff>
                    <xdr:row>29</xdr:row>
                    <xdr:rowOff>409575</xdr:rowOff>
                  </to>
                </anchor>
              </controlPr>
            </control>
          </mc:Choice>
        </mc:AlternateContent>
        <mc:AlternateContent xmlns:mc="http://schemas.openxmlformats.org/markup-compatibility/2006">
          <mc:Choice Requires="x14">
            <control shapeId="64599" r:id="rId18" name="Check Box 87">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0" r:id="rId19" name="Check Box 88">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1" r:id="rId20" name="Check Box 89">
              <controlPr defaultSize="0" autoFill="0" autoLine="0" autoPict="0">
                <anchor moveWithCells="1">
                  <from>
                    <xdr:col>3</xdr:col>
                    <xdr:colOff>0</xdr:colOff>
                    <xdr:row>30</xdr:row>
                    <xdr:rowOff>0</xdr:rowOff>
                  </from>
                  <to>
                    <xdr:col>3</xdr:col>
                    <xdr:colOff>781050</xdr:colOff>
                    <xdr:row>30</xdr:row>
                    <xdr:rowOff>209550</xdr:rowOff>
                  </to>
                </anchor>
              </controlPr>
            </control>
          </mc:Choice>
        </mc:AlternateContent>
        <mc:AlternateContent xmlns:mc="http://schemas.openxmlformats.org/markup-compatibility/2006">
          <mc:Choice Requires="x14">
            <control shapeId="64602" r:id="rId21" name="Check Box 90">
              <controlPr defaultSize="0" autoFill="0" autoLine="0" autoPict="0">
                <anchor moveWithCells="1">
                  <from>
                    <xdr:col>3</xdr:col>
                    <xdr:colOff>0</xdr:colOff>
                    <xdr:row>30</xdr:row>
                    <xdr:rowOff>200025</xdr:rowOff>
                  </from>
                  <to>
                    <xdr:col>3</xdr:col>
                    <xdr:colOff>781050</xdr:colOff>
                    <xdr:row>30</xdr:row>
                    <xdr:rowOff>409575</xdr:rowOff>
                  </to>
                </anchor>
              </controlPr>
            </control>
          </mc:Choice>
        </mc:AlternateContent>
        <mc:AlternateContent xmlns:mc="http://schemas.openxmlformats.org/markup-compatibility/2006">
          <mc:Choice Requires="x14">
            <control shapeId="64603" r:id="rId22" name="Check Box 91">
              <controlPr defaultSize="0" autoFill="0" autoLine="0" autoPict="0">
                <anchor moveWithCells="1">
                  <from>
                    <xdr:col>3</xdr:col>
                    <xdr:colOff>0</xdr:colOff>
                    <xdr:row>31</xdr:row>
                    <xdr:rowOff>0</xdr:rowOff>
                  </from>
                  <to>
                    <xdr:col>3</xdr:col>
                    <xdr:colOff>781050</xdr:colOff>
                    <xdr:row>31</xdr:row>
                    <xdr:rowOff>209550</xdr:rowOff>
                  </to>
                </anchor>
              </controlPr>
            </control>
          </mc:Choice>
        </mc:AlternateContent>
        <mc:AlternateContent xmlns:mc="http://schemas.openxmlformats.org/markup-compatibility/2006">
          <mc:Choice Requires="x14">
            <control shapeId="64604" r:id="rId23" name="Check Box 92">
              <controlPr defaultSize="0" autoFill="0" autoLine="0" autoPict="0">
                <anchor moveWithCells="1">
                  <from>
                    <xdr:col>3</xdr:col>
                    <xdr:colOff>0</xdr:colOff>
                    <xdr:row>31</xdr:row>
                    <xdr:rowOff>200025</xdr:rowOff>
                  </from>
                  <to>
                    <xdr:col>3</xdr:col>
                    <xdr:colOff>781050</xdr:colOff>
                    <xdr:row>31</xdr:row>
                    <xdr:rowOff>409575</xdr:rowOff>
                  </to>
                </anchor>
              </controlPr>
            </control>
          </mc:Choice>
        </mc:AlternateContent>
        <mc:AlternateContent xmlns:mc="http://schemas.openxmlformats.org/markup-compatibility/2006">
          <mc:Choice Requires="x14">
            <control shapeId="64605" r:id="rId24" name="Check Box 93">
              <controlPr defaultSize="0" autoFill="0" autoLine="0" autoPict="0">
                <anchor moveWithCells="1">
                  <from>
                    <xdr:col>3</xdr:col>
                    <xdr:colOff>0</xdr:colOff>
                    <xdr:row>32</xdr:row>
                    <xdr:rowOff>0</xdr:rowOff>
                  </from>
                  <to>
                    <xdr:col>3</xdr:col>
                    <xdr:colOff>781050</xdr:colOff>
                    <xdr:row>32</xdr:row>
                    <xdr:rowOff>209550</xdr:rowOff>
                  </to>
                </anchor>
              </controlPr>
            </control>
          </mc:Choice>
        </mc:AlternateContent>
        <mc:AlternateContent xmlns:mc="http://schemas.openxmlformats.org/markup-compatibility/2006">
          <mc:Choice Requires="x14">
            <control shapeId="64606" r:id="rId25" name="Check Box 94">
              <controlPr defaultSize="0" autoFill="0" autoLine="0" autoPict="0">
                <anchor moveWithCells="1">
                  <from>
                    <xdr:col>3</xdr:col>
                    <xdr:colOff>0</xdr:colOff>
                    <xdr:row>32</xdr:row>
                    <xdr:rowOff>200025</xdr:rowOff>
                  </from>
                  <to>
                    <xdr:col>3</xdr:col>
                    <xdr:colOff>781050</xdr:colOff>
                    <xdr:row>32</xdr:row>
                    <xdr:rowOff>409575</xdr:rowOff>
                  </to>
                </anchor>
              </controlPr>
            </control>
          </mc:Choice>
        </mc:AlternateContent>
        <mc:AlternateContent xmlns:mc="http://schemas.openxmlformats.org/markup-compatibility/2006">
          <mc:Choice Requires="x14">
            <control shapeId="64607" r:id="rId26" name="Check Box 95">
              <controlPr defaultSize="0" autoFill="0" autoLine="0" autoPict="0">
                <anchor moveWithCells="1">
                  <from>
                    <xdr:col>3</xdr:col>
                    <xdr:colOff>0</xdr:colOff>
                    <xdr:row>33</xdr:row>
                    <xdr:rowOff>0</xdr:rowOff>
                  </from>
                  <to>
                    <xdr:col>3</xdr:col>
                    <xdr:colOff>781050</xdr:colOff>
                    <xdr:row>33</xdr:row>
                    <xdr:rowOff>209550</xdr:rowOff>
                  </to>
                </anchor>
              </controlPr>
            </control>
          </mc:Choice>
        </mc:AlternateContent>
        <mc:AlternateContent xmlns:mc="http://schemas.openxmlformats.org/markup-compatibility/2006">
          <mc:Choice Requires="x14">
            <control shapeId="64608" r:id="rId27" name="Check Box 96">
              <controlPr defaultSize="0" autoFill="0" autoLine="0" autoPict="0">
                <anchor moveWithCells="1">
                  <from>
                    <xdr:col>3</xdr:col>
                    <xdr:colOff>0</xdr:colOff>
                    <xdr:row>33</xdr:row>
                    <xdr:rowOff>200025</xdr:rowOff>
                  </from>
                  <to>
                    <xdr:col>3</xdr:col>
                    <xdr:colOff>781050</xdr:colOff>
                    <xdr:row>33</xdr:row>
                    <xdr:rowOff>409575</xdr:rowOff>
                  </to>
                </anchor>
              </controlPr>
            </control>
          </mc:Choice>
        </mc:AlternateContent>
        <mc:AlternateContent xmlns:mc="http://schemas.openxmlformats.org/markup-compatibility/2006">
          <mc:Choice Requires="x14">
            <control shapeId="64609" r:id="rId28" name="Check Box 97">
              <controlPr defaultSize="0" autoFill="0" autoLine="0" autoPict="0">
                <anchor moveWithCells="1">
                  <from>
                    <xdr:col>3</xdr:col>
                    <xdr:colOff>0</xdr:colOff>
                    <xdr:row>34</xdr:row>
                    <xdr:rowOff>0</xdr:rowOff>
                  </from>
                  <to>
                    <xdr:col>3</xdr:col>
                    <xdr:colOff>781050</xdr:colOff>
                    <xdr:row>34</xdr:row>
                    <xdr:rowOff>209550</xdr:rowOff>
                  </to>
                </anchor>
              </controlPr>
            </control>
          </mc:Choice>
        </mc:AlternateContent>
        <mc:AlternateContent xmlns:mc="http://schemas.openxmlformats.org/markup-compatibility/2006">
          <mc:Choice Requires="x14">
            <control shapeId="64610" r:id="rId29" name="Check Box 98">
              <controlPr defaultSize="0" autoFill="0" autoLine="0" autoPict="0">
                <anchor moveWithCells="1">
                  <from>
                    <xdr:col>3</xdr:col>
                    <xdr:colOff>0</xdr:colOff>
                    <xdr:row>34</xdr:row>
                    <xdr:rowOff>200025</xdr:rowOff>
                  </from>
                  <to>
                    <xdr:col>3</xdr:col>
                    <xdr:colOff>781050</xdr:colOff>
                    <xdr:row>34</xdr:row>
                    <xdr:rowOff>409575</xdr:rowOff>
                  </to>
                </anchor>
              </controlPr>
            </control>
          </mc:Choice>
        </mc:AlternateContent>
        <mc:AlternateContent xmlns:mc="http://schemas.openxmlformats.org/markup-compatibility/2006">
          <mc:Choice Requires="x14">
            <control shapeId="64611" r:id="rId30" name="Check Box 99">
              <controlPr defaultSize="0" autoFill="0" autoLine="0" autoPict="0">
                <anchor moveWithCells="1">
                  <from>
                    <xdr:col>3</xdr:col>
                    <xdr:colOff>0</xdr:colOff>
                    <xdr:row>35</xdr:row>
                    <xdr:rowOff>0</xdr:rowOff>
                  </from>
                  <to>
                    <xdr:col>3</xdr:col>
                    <xdr:colOff>781050</xdr:colOff>
                    <xdr:row>35</xdr:row>
                    <xdr:rowOff>209550</xdr:rowOff>
                  </to>
                </anchor>
              </controlPr>
            </control>
          </mc:Choice>
        </mc:AlternateContent>
        <mc:AlternateContent xmlns:mc="http://schemas.openxmlformats.org/markup-compatibility/2006">
          <mc:Choice Requires="x14">
            <control shapeId="64612" r:id="rId31" name="Check Box 100">
              <controlPr defaultSize="0" autoFill="0" autoLine="0" autoPict="0">
                <anchor moveWithCells="1">
                  <from>
                    <xdr:col>3</xdr:col>
                    <xdr:colOff>0</xdr:colOff>
                    <xdr:row>35</xdr:row>
                    <xdr:rowOff>200025</xdr:rowOff>
                  </from>
                  <to>
                    <xdr:col>3</xdr:col>
                    <xdr:colOff>781050</xdr:colOff>
                    <xdr:row>35</xdr:row>
                    <xdr:rowOff>409575</xdr:rowOff>
                  </to>
                </anchor>
              </controlPr>
            </control>
          </mc:Choice>
        </mc:AlternateContent>
        <mc:AlternateContent xmlns:mc="http://schemas.openxmlformats.org/markup-compatibility/2006">
          <mc:Choice Requires="x14">
            <control shapeId="64613" r:id="rId32" name="Check Box 101">
              <controlPr defaultSize="0" autoFill="0" autoLine="0" autoPict="0">
                <anchor moveWithCells="1">
                  <from>
                    <xdr:col>3</xdr:col>
                    <xdr:colOff>0</xdr:colOff>
                    <xdr:row>36</xdr:row>
                    <xdr:rowOff>0</xdr:rowOff>
                  </from>
                  <to>
                    <xdr:col>3</xdr:col>
                    <xdr:colOff>781050</xdr:colOff>
                    <xdr:row>36</xdr:row>
                    <xdr:rowOff>209550</xdr:rowOff>
                  </to>
                </anchor>
              </controlPr>
            </control>
          </mc:Choice>
        </mc:AlternateContent>
        <mc:AlternateContent xmlns:mc="http://schemas.openxmlformats.org/markup-compatibility/2006">
          <mc:Choice Requires="x14">
            <control shapeId="64614" r:id="rId33" name="Check Box 102">
              <controlPr defaultSize="0" autoFill="0" autoLine="0" autoPict="0">
                <anchor moveWithCells="1">
                  <from>
                    <xdr:col>3</xdr:col>
                    <xdr:colOff>0</xdr:colOff>
                    <xdr:row>36</xdr:row>
                    <xdr:rowOff>200025</xdr:rowOff>
                  </from>
                  <to>
                    <xdr:col>3</xdr:col>
                    <xdr:colOff>781050</xdr:colOff>
                    <xdr:row>36</xdr:row>
                    <xdr:rowOff>409575</xdr:rowOff>
                  </to>
                </anchor>
              </controlPr>
            </control>
          </mc:Choice>
        </mc:AlternateContent>
        <mc:AlternateContent xmlns:mc="http://schemas.openxmlformats.org/markup-compatibility/2006">
          <mc:Choice Requires="x14">
            <control shapeId="64615" r:id="rId34" name="Check Box 103">
              <controlPr defaultSize="0" autoFill="0" autoLine="0" autoPict="0">
                <anchor moveWithCells="1">
                  <from>
                    <xdr:col>3</xdr:col>
                    <xdr:colOff>0</xdr:colOff>
                    <xdr:row>37</xdr:row>
                    <xdr:rowOff>0</xdr:rowOff>
                  </from>
                  <to>
                    <xdr:col>3</xdr:col>
                    <xdr:colOff>781050</xdr:colOff>
                    <xdr:row>37</xdr:row>
                    <xdr:rowOff>209550</xdr:rowOff>
                  </to>
                </anchor>
              </controlPr>
            </control>
          </mc:Choice>
        </mc:AlternateContent>
        <mc:AlternateContent xmlns:mc="http://schemas.openxmlformats.org/markup-compatibility/2006">
          <mc:Choice Requires="x14">
            <control shapeId="64616" r:id="rId35" name="Check Box 104">
              <controlPr defaultSize="0" autoFill="0" autoLine="0" autoPict="0">
                <anchor moveWithCells="1">
                  <from>
                    <xdr:col>3</xdr:col>
                    <xdr:colOff>0</xdr:colOff>
                    <xdr:row>37</xdr:row>
                    <xdr:rowOff>200025</xdr:rowOff>
                  </from>
                  <to>
                    <xdr:col>3</xdr:col>
                    <xdr:colOff>781050</xdr:colOff>
                    <xdr:row>37</xdr:row>
                    <xdr:rowOff>409575</xdr:rowOff>
                  </to>
                </anchor>
              </controlPr>
            </control>
          </mc:Choice>
        </mc:AlternateContent>
        <mc:AlternateContent xmlns:mc="http://schemas.openxmlformats.org/markup-compatibility/2006">
          <mc:Choice Requires="x14">
            <control shapeId="64617" r:id="rId36" name="Check Box 105">
              <controlPr defaultSize="0" autoFill="0" autoLine="0" autoPict="0">
                <anchor moveWithCells="1">
                  <from>
                    <xdr:col>3</xdr:col>
                    <xdr:colOff>0</xdr:colOff>
                    <xdr:row>38</xdr:row>
                    <xdr:rowOff>28575</xdr:rowOff>
                  </from>
                  <to>
                    <xdr:col>3</xdr:col>
                    <xdr:colOff>781050</xdr:colOff>
                    <xdr:row>38</xdr:row>
                    <xdr:rowOff>238125</xdr:rowOff>
                  </to>
                </anchor>
              </controlPr>
            </control>
          </mc:Choice>
        </mc:AlternateContent>
        <mc:AlternateContent xmlns:mc="http://schemas.openxmlformats.org/markup-compatibility/2006">
          <mc:Choice Requires="x14">
            <control shapeId="64618" r:id="rId37" name="Check Box 106">
              <controlPr defaultSize="0" autoFill="0" autoLine="0" autoPict="0">
                <anchor moveWithCells="1">
                  <from>
                    <xdr:col>3</xdr:col>
                    <xdr:colOff>0</xdr:colOff>
                    <xdr:row>38</xdr:row>
                    <xdr:rowOff>228600</xdr:rowOff>
                  </from>
                  <to>
                    <xdr:col>3</xdr:col>
                    <xdr:colOff>781050</xdr:colOff>
                    <xdr:row>39</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6">
    <tabColor rgb="FF002060"/>
    <pageSetUpPr fitToPage="1"/>
  </sheetPr>
  <dimension ref="A1:X91"/>
  <sheetViews>
    <sheetView showGridLines="0" zoomScaleNormal="100" workbookViewId="0">
      <selection sqref="A1:K1"/>
    </sheetView>
  </sheetViews>
  <sheetFormatPr defaultRowHeight="20.100000000000001" customHeight="1" x14ac:dyDescent="0.25"/>
  <cols>
    <col min="1" max="1" width="26" style="48" customWidth="1"/>
    <col min="2" max="2" width="16.28515625" style="48" customWidth="1"/>
    <col min="3" max="3" width="22.28515625" style="48" customWidth="1"/>
    <col min="4" max="6" width="16.2851562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122" t="s">
        <v>1857</v>
      </c>
      <c r="B1" s="1122"/>
      <c r="C1" s="1122"/>
      <c r="D1" s="1122"/>
      <c r="E1" s="1122"/>
      <c r="F1" s="1122"/>
      <c r="G1" s="1122"/>
      <c r="H1" s="1122"/>
      <c r="I1" s="1122"/>
      <c r="J1" s="1122"/>
      <c r="K1" s="1122"/>
      <c r="L1" s="79"/>
    </row>
    <row r="2" spans="1:24" s="68" customFormat="1" ht="50.1" customHeight="1" x14ac:dyDescent="0.25">
      <c r="A2" s="1075" t="s">
        <v>1859</v>
      </c>
      <c r="B2" s="1075"/>
      <c r="C2" s="1075"/>
      <c r="D2" s="1075"/>
      <c r="E2" s="1075"/>
      <c r="F2" s="1075"/>
      <c r="G2" s="1075"/>
      <c r="H2" s="1075"/>
      <c r="I2" s="1075"/>
      <c r="J2" s="1075"/>
      <c r="K2" s="1075"/>
    </row>
    <row r="3" spans="1:24" s="68" customFormat="1" ht="20.100000000000001" customHeight="1" x14ac:dyDescent="0.25">
      <c r="A3" s="1075" t="s">
        <v>1860</v>
      </c>
      <c r="B3" s="1075"/>
      <c r="C3" s="1075"/>
      <c r="D3" s="1075"/>
      <c r="E3" s="1075"/>
      <c r="F3" s="1075"/>
      <c r="G3" s="1075"/>
      <c r="H3" s="1075"/>
      <c r="I3" s="1075"/>
      <c r="J3" s="1075"/>
      <c r="K3" s="1075"/>
    </row>
    <row r="4" spans="1:24" s="68" customFormat="1" ht="20.100000000000001" customHeight="1" x14ac:dyDescent="0.25">
      <c r="A4" s="1075" t="s">
        <v>1861</v>
      </c>
      <c r="B4" s="1075"/>
      <c r="C4" s="1075"/>
      <c r="D4" s="1075"/>
      <c r="E4" s="1075"/>
      <c r="F4" s="1075"/>
      <c r="G4" s="1075"/>
      <c r="H4" s="1075"/>
      <c r="I4" s="1075"/>
      <c r="J4" s="1075"/>
      <c r="K4" s="1075"/>
    </row>
    <row r="5" spans="1:24" s="164" customFormat="1" ht="20.100000000000001" customHeight="1" x14ac:dyDescent="0.25">
      <c r="A5" s="1417"/>
      <c r="B5" s="1417"/>
      <c r="C5" s="1417"/>
      <c r="D5" s="1417"/>
      <c r="E5" s="1417"/>
      <c r="F5" s="1417"/>
      <c r="G5" s="1417"/>
      <c r="H5" s="1417"/>
      <c r="I5" s="1417"/>
      <c r="J5" s="1417"/>
      <c r="K5" s="1417"/>
    </row>
    <row r="6" spans="1:24" s="68" customFormat="1" ht="35.1" customHeight="1" thickBot="1" x14ac:dyDescent="0.3">
      <c r="A6" s="1099" t="s">
        <v>1732</v>
      </c>
      <c r="B6" s="1099"/>
      <c r="C6" s="1099"/>
      <c r="D6" s="1099"/>
      <c r="E6" s="1099"/>
      <c r="F6" s="1099"/>
      <c r="G6" s="1099"/>
      <c r="H6" s="1099"/>
      <c r="I6" s="1099"/>
      <c r="J6" s="1099"/>
      <c r="K6" s="1099"/>
      <c r="L6" s="1099"/>
    </row>
    <row r="7" spans="1:24" s="70" customFormat="1" ht="19.5" thickBot="1" x14ac:dyDescent="0.3">
      <c r="A7" s="1087" t="s">
        <v>1724</v>
      </c>
      <c r="B7" s="1087"/>
      <c r="C7" s="1087"/>
      <c r="D7" s="1087"/>
      <c r="E7" s="1087"/>
      <c r="F7" s="1087"/>
      <c r="G7" s="1087"/>
      <c r="H7" s="1087"/>
      <c r="I7" s="1087"/>
      <c r="J7" s="1087"/>
      <c r="K7" s="1087"/>
    </row>
    <row r="8" spans="1:24" ht="60" customHeight="1" x14ac:dyDescent="0.25">
      <c r="A8" s="988"/>
      <c r="B8" s="988"/>
      <c r="C8" s="988"/>
      <c r="D8" s="988"/>
      <c r="E8" s="988"/>
      <c r="F8" s="988"/>
    </row>
    <row r="9" spans="1:24" ht="24.95" customHeight="1" thickBot="1" x14ac:dyDescent="0.3">
      <c r="A9" s="885" t="s">
        <v>1858</v>
      </c>
      <c r="B9" s="885"/>
      <c r="C9" s="885"/>
      <c r="D9" s="885"/>
      <c r="E9" s="885"/>
      <c r="F9" s="885"/>
    </row>
    <row r="10" spans="1:24" ht="30" customHeight="1" thickBot="1" x14ac:dyDescent="0.3">
      <c r="A10" s="800" t="s">
        <v>1717</v>
      </c>
      <c r="B10" s="801"/>
      <c r="C10" s="801"/>
      <c r="D10" s="801"/>
      <c r="E10" s="801"/>
      <c r="F10" s="802"/>
    </row>
    <row r="11" spans="1:24" ht="39.950000000000003" customHeight="1" x14ac:dyDescent="0.25">
      <c r="A11" s="1418" t="s">
        <v>1721</v>
      </c>
      <c r="B11" s="1270"/>
      <c r="C11" s="1270"/>
      <c r="D11" s="1270"/>
      <c r="E11" s="1270"/>
      <c r="F11" s="1271"/>
    </row>
    <row r="12" spans="1:24" ht="50.1" customHeight="1" thickBot="1" x14ac:dyDescent="0.3">
      <c r="A12" s="438" t="s">
        <v>1800</v>
      </c>
      <c r="B12" s="1412" t="str">
        <f>IF(AND(M12=TRUE,P12=TRUE),"Proceed to Application Checklist.",IF(AND(N12=TRUE,P12=TRUE),"In Part B below, list all regulations for which compliance will not be achieved.  In Table 10-A, complete a form for each regulation for which compliance will not be achieved.  When finished, proceed to Application Checklist.",""))</f>
        <v/>
      </c>
      <c r="C12" s="1413"/>
      <c r="D12" s="1413"/>
      <c r="E12" s="1413"/>
      <c r="F12" s="1414"/>
      <c r="G12" s="1415" t="str">
        <f>IF(AND(M12=TRUE,N12=TRUE),"Too many boxes checked.","")</f>
        <v/>
      </c>
      <c r="H12" s="1416"/>
      <c r="I12" s="1416"/>
      <c r="M12" s="81" t="b">
        <v>0</v>
      </c>
      <c r="N12" s="81" t="b">
        <v>0</v>
      </c>
      <c r="P12" s="48" t="b">
        <f>IF(OR(AND(M12=FALSE,N12=TRUE),AND(M12=TRUE,N12=FALSE)),TRUE,FALSE)</f>
        <v>0</v>
      </c>
    </row>
    <row r="13" spans="1:24" ht="30" customHeight="1" thickBot="1" x14ac:dyDescent="0.3">
      <c r="A13" s="800" t="s">
        <v>1722</v>
      </c>
      <c r="B13" s="801"/>
      <c r="C13" s="801"/>
      <c r="D13" s="801"/>
      <c r="E13" s="801"/>
      <c r="F13" s="802"/>
      <c r="M13" s="124"/>
      <c r="N13" s="124"/>
      <c r="O13" s="124"/>
    </row>
    <row r="14" spans="1:24" ht="20.100000000000001" customHeight="1" x14ac:dyDescent="0.25">
      <c r="A14" s="745" t="s">
        <v>1665</v>
      </c>
      <c r="B14" s="1408" t="s">
        <v>1666</v>
      </c>
      <c r="C14" s="1419"/>
      <c r="D14" s="1391" t="s">
        <v>1720</v>
      </c>
      <c r="E14" s="1408"/>
      <c r="F14" s="1392"/>
      <c r="M14" s="124"/>
      <c r="N14" s="124"/>
      <c r="O14" s="124"/>
      <c r="Q14" s="124"/>
      <c r="R14" s="124"/>
    </row>
    <row r="15" spans="1:24" ht="20.100000000000001" customHeight="1" thickBot="1" x14ac:dyDescent="0.3">
      <c r="A15" s="746" t="s">
        <v>1668</v>
      </c>
      <c r="B15" s="1420" t="s">
        <v>1667</v>
      </c>
      <c r="C15" s="1421"/>
      <c r="D15" s="1393"/>
      <c r="E15" s="1409"/>
      <c r="F15" s="1394"/>
      <c r="M15" s="124"/>
      <c r="N15" s="124"/>
      <c r="O15" s="124"/>
      <c r="Q15" s="124"/>
      <c r="R15" s="124"/>
    </row>
    <row r="16" spans="1:24" ht="35.1" customHeight="1" x14ac:dyDescent="0.25">
      <c r="A16" s="444"/>
      <c r="B16" s="1422"/>
      <c r="C16" s="1423"/>
      <c r="D16" s="1422"/>
      <c r="E16" s="1424"/>
      <c r="F16" s="1425"/>
      <c r="G16" s="123"/>
      <c r="M16" s="80"/>
      <c r="N16" s="80"/>
      <c r="O16" s="80"/>
      <c r="Q16" s="80"/>
      <c r="R16" s="80"/>
      <c r="S16" s="80"/>
      <c r="T16" s="80"/>
      <c r="U16" s="80"/>
      <c r="V16" s="80"/>
      <c r="W16" s="80"/>
      <c r="X16" s="80"/>
    </row>
    <row r="17" spans="1:24" ht="35.1" customHeight="1" x14ac:dyDescent="0.25">
      <c r="A17" s="445"/>
      <c r="B17" s="1426"/>
      <c r="C17" s="1427"/>
      <c r="D17" s="1426"/>
      <c r="E17" s="1428"/>
      <c r="F17" s="1429"/>
      <c r="G17" s="123"/>
      <c r="M17" s="80"/>
      <c r="N17" s="80"/>
      <c r="O17" s="80"/>
      <c r="Q17" s="80"/>
      <c r="R17" s="80"/>
      <c r="S17" s="80"/>
      <c r="T17" s="80"/>
      <c r="U17" s="80"/>
      <c r="V17" s="80"/>
      <c r="W17" s="80"/>
      <c r="X17" s="80"/>
    </row>
    <row r="18" spans="1:24" ht="35.1" customHeight="1" x14ac:dyDescent="0.25">
      <c r="A18" s="445"/>
      <c r="B18" s="1426"/>
      <c r="C18" s="1427"/>
      <c r="D18" s="1426"/>
      <c r="E18" s="1428"/>
      <c r="F18" s="1429"/>
      <c r="G18" s="123"/>
      <c r="M18" s="80"/>
      <c r="N18" s="80"/>
      <c r="O18" s="80"/>
      <c r="Q18" s="80"/>
      <c r="R18" s="80"/>
      <c r="S18" s="80"/>
      <c r="T18" s="80"/>
      <c r="U18" s="80"/>
      <c r="V18" s="80"/>
      <c r="W18" s="80"/>
      <c r="X18" s="80"/>
    </row>
    <row r="19" spans="1:24" ht="35.1" customHeight="1" x14ac:dyDescent="0.25">
      <c r="A19" s="445"/>
      <c r="B19" s="1426"/>
      <c r="C19" s="1427"/>
      <c r="D19" s="1426"/>
      <c r="E19" s="1428"/>
      <c r="F19" s="1429"/>
      <c r="G19" s="123"/>
      <c r="M19" s="80"/>
      <c r="N19" s="80"/>
      <c r="O19" s="80"/>
      <c r="Q19" s="80"/>
      <c r="R19" s="80"/>
      <c r="S19" s="80"/>
      <c r="T19" s="80"/>
      <c r="U19" s="80"/>
      <c r="V19" s="80"/>
      <c r="W19" s="80"/>
      <c r="X19" s="80"/>
    </row>
    <row r="20" spans="1:24" ht="35.1" customHeight="1" x14ac:dyDescent="0.25">
      <c r="A20" s="445"/>
      <c r="B20" s="1426"/>
      <c r="C20" s="1427"/>
      <c r="D20" s="1426"/>
      <c r="E20" s="1428"/>
      <c r="F20" s="1429"/>
      <c r="G20" s="123"/>
      <c r="M20" s="80"/>
      <c r="N20" s="80"/>
      <c r="O20" s="80"/>
      <c r="Q20" s="80"/>
      <c r="R20" s="80"/>
      <c r="S20" s="80"/>
      <c r="T20" s="80"/>
      <c r="U20" s="80"/>
      <c r="V20" s="80"/>
      <c r="W20" s="80"/>
      <c r="X20" s="80"/>
    </row>
    <row r="21" spans="1:24" ht="35.1" customHeight="1" x14ac:dyDescent="0.25">
      <c r="A21" s="445"/>
      <c r="B21" s="1426"/>
      <c r="C21" s="1427"/>
      <c r="D21" s="1426"/>
      <c r="E21" s="1428"/>
      <c r="F21" s="1429"/>
      <c r="G21" s="123"/>
      <c r="M21" s="80"/>
      <c r="N21" s="80"/>
      <c r="O21" s="80"/>
      <c r="Q21" s="80"/>
      <c r="R21" s="80"/>
      <c r="S21" s="80"/>
      <c r="T21" s="80"/>
      <c r="U21" s="80"/>
      <c r="V21" s="80"/>
      <c r="W21" s="80"/>
      <c r="X21" s="80"/>
    </row>
    <row r="22" spans="1:24" ht="35.1" customHeight="1" x14ac:dyDescent="0.25">
      <c r="A22" s="445"/>
      <c r="B22" s="1426"/>
      <c r="C22" s="1427"/>
      <c r="D22" s="1426"/>
      <c r="E22" s="1428"/>
      <c r="F22" s="1429"/>
      <c r="G22" s="123"/>
      <c r="M22" s="80"/>
      <c r="N22" s="80"/>
      <c r="O22" s="80"/>
      <c r="Q22" s="80"/>
      <c r="R22" s="80"/>
      <c r="S22" s="80"/>
      <c r="T22" s="80"/>
      <c r="U22" s="80"/>
      <c r="V22" s="80"/>
      <c r="W22" s="80"/>
      <c r="X22" s="80"/>
    </row>
    <row r="23" spans="1:24" ht="35.1" customHeight="1" x14ac:dyDescent="0.25">
      <c r="A23" s="445"/>
      <c r="B23" s="1426"/>
      <c r="C23" s="1427"/>
      <c r="D23" s="1426"/>
      <c r="E23" s="1428"/>
      <c r="F23" s="1429"/>
      <c r="G23" s="123"/>
      <c r="M23" s="80"/>
      <c r="N23" s="80"/>
      <c r="O23" s="80"/>
      <c r="Q23" s="80"/>
      <c r="R23" s="80"/>
      <c r="S23" s="80"/>
      <c r="T23" s="80"/>
      <c r="U23" s="80"/>
      <c r="V23" s="80"/>
      <c r="W23" s="80"/>
      <c r="X23" s="80"/>
    </row>
    <row r="24" spans="1:24" ht="35.1" customHeight="1" x14ac:dyDescent="0.25">
      <c r="A24" s="445"/>
      <c r="B24" s="1426"/>
      <c r="C24" s="1427"/>
      <c r="D24" s="1426"/>
      <c r="E24" s="1428"/>
      <c r="F24" s="1429"/>
      <c r="G24" s="123"/>
      <c r="M24" s="80"/>
      <c r="N24" s="80"/>
      <c r="O24" s="80"/>
      <c r="Q24" s="80"/>
      <c r="R24" s="80"/>
      <c r="S24" s="80"/>
      <c r="T24" s="80"/>
      <c r="U24" s="80"/>
      <c r="V24" s="80"/>
      <c r="W24" s="80"/>
      <c r="X24" s="80"/>
    </row>
    <row r="25" spans="1:24" ht="35.1" customHeight="1" x14ac:dyDescent="0.25">
      <c r="A25" s="445"/>
      <c r="B25" s="1426"/>
      <c r="C25" s="1427"/>
      <c r="D25" s="1426"/>
      <c r="E25" s="1428"/>
      <c r="F25" s="1429"/>
      <c r="G25" s="123"/>
      <c r="M25" s="80"/>
      <c r="N25" s="80"/>
      <c r="O25" s="80"/>
      <c r="Q25" s="80"/>
      <c r="R25" s="80"/>
      <c r="S25" s="80"/>
      <c r="T25" s="80"/>
      <c r="U25" s="80"/>
      <c r="V25" s="80"/>
      <c r="W25" s="80"/>
      <c r="X25" s="80"/>
    </row>
    <row r="26" spans="1:24" ht="35.1" customHeight="1" x14ac:dyDescent="0.25">
      <c r="A26" s="445"/>
      <c r="B26" s="1426"/>
      <c r="C26" s="1427"/>
      <c r="D26" s="1426"/>
      <c r="E26" s="1428"/>
      <c r="F26" s="1429"/>
      <c r="G26" s="123"/>
      <c r="M26" s="80"/>
      <c r="N26" s="80"/>
      <c r="O26" s="80"/>
      <c r="Q26" s="80"/>
      <c r="R26" s="80"/>
      <c r="S26" s="80"/>
      <c r="T26" s="80"/>
      <c r="U26" s="80"/>
      <c r="V26" s="80"/>
      <c r="W26" s="80"/>
      <c r="X26" s="80"/>
    </row>
    <row r="27" spans="1:24" ht="35.1" customHeight="1" x14ac:dyDescent="0.25">
      <c r="A27" s="445"/>
      <c r="B27" s="1426"/>
      <c r="C27" s="1427"/>
      <c r="D27" s="1426"/>
      <c r="E27" s="1428"/>
      <c r="F27" s="1429"/>
      <c r="G27" s="123"/>
      <c r="M27" s="80"/>
      <c r="N27" s="80"/>
      <c r="O27" s="80"/>
      <c r="Q27" s="80"/>
      <c r="R27" s="80"/>
      <c r="S27" s="80"/>
      <c r="T27" s="80"/>
      <c r="U27" s="80"/>
      <c r="V27" s="80"/>
      <c r="W27" s="80"/>
      <c r="X27" s="80"/>
    </row>
    <row r="28" spans="1:24" ht="35.1" customHeight="1" x14ac:dyDescent="0.25">
      <c r="A28" s="445"/>
      <c r="B28" s="1426"/>
      <c r="C28" s="1427"/>
      <c r="D28" s="1426"/>
      <c r="E28" s="1428"/>
      <c r="F28" s="1429"/>
      <c r="G28" s="123"/>
      <c r="M28" s="80"/>
      <c r="N28" s="80"/>
      <c r="O28" s="80"/>
      <c r="Q28" s="80"/>
      <c r="R28" s="80"/>
      <c r="S28" s="80"/>
      <c r="T28" s="80"/>
      <c r="U28" s="80"/>
      <c r="V28" s="80"/>
      <c r="W28" s="80"/>
      <c r="X28" s="80"/>
    </row>
    <row r="29" spans="1:24" ht="35.1" customHeight="1" x14ac:dyDescent="0.25">
      <c r="A29" s="445"/>
      <c r="B29" s="1426"/>
      <c r="C29" s="1427"/>
      <c r="D29" s="1426"/>
      <c r="E29" s="1428"/>
      <c r="F29" s="1429"/>
      <c r="G29" s="123"/>
      <c r="M29" s="80"/>
      <c r="N29" s="80"/>
      <c r="O29" s="80"/>
      <c r="Q29" s="80"/>
      <c r="R29" s="80"/>
      <c r="S29" s="80"/>
      <c r="T29" s="80"/>
      <c r="U29" s="80"/>
      <c r="V29" s="80"/>
      <c r="W29" s="80"/>
      <c r="X29" s="80"/>
    </row>
    <row r="30" spans="1:24" ht="35.1" customHeight="1" thickBot="1" x14ac:dyDescent="0.3">
      <c r="A30" s="446"/>
      <c r="B30" s="1430"/>
      <c r="C30" s="1431"/>
      <c r="D30" s="1430"/>
      <c r="E30" s="1432"/>
      <c r="F30" s="1433"/>
      <c r="G30" s="123"/>
      <c r="M30" s="80"/>
      <c r="N30" s="80"/>
      <c r="O30" s="80"/>
      <c r="Q30" s="80"/>
      <c r="R30" s="80"/>
      <c r="S30" s="80"/>
      <c r="T30" s="80"/>
      <c r="U30" s="80"/>
      <c r="V30" s="80"/>
      <c r="W30" s="80"/>
      <c r="X30" s="80"/>
    </row>
    <row r="31" spans="1:24" ht="20.100000000000001" customHeight="1" x14ac:dyDescent="0.25">
      <c r="A31" s="50"/>
    </row>
    <row r="32" spans="1:24" ht="20.100000000000001" customHeight="1" x14ac:dyDescent="0.25">
      <c r="A32" s="50"/>
    </row>
    <row r="33" spans="1:1" ht="20.100000000000001" customHeight="1" x14ac:dyDescent="0.25">
      <c r="A33" s="50"/>
    </row>
    <row r="34" spans="1:1" ht="20.100000000000001" customHeight="1" x14ac:dyDescent="0.25">
      <c r="A34" s="50"/>
    </row>
    <row r="35" spans="1:1" ht="20.100000000000001" customHeight="1" x14ac:dyDescent="0.25">
      <c r="A35" s="50"/>
    </row>
    <row r="36" spans="1:1" ht="20.100000000000001" customHeight="1" x14ac:dyDescent="0.25">
      <c r="A36" s="50"/>
    </row>
    <row r="37" spans="1:1" ht="20.100000000000001" customHeight="1" x14ac:dyDescent="0.25">
      <c r="A37" s="50"/>
    </row>
    <row r="38" spans="1:1" ht="20.100000000000001" customHeight="1" x14ac:dyDescent="0.25">
      <c r="A38" s="50"/>
    </row>
    <row r="39" spans="1:1" ht="20.100000000000001" customHeight="1" x14ac:dyDescent="0.25">
      <c r="A39" s="50"/>
    </row>
    <row r="40" spans="1:1" ht="20.100000000000001" customHeight="1" x14ac:dyDescent="0.25">
      <c r="A40" s="50"/>
    </row>
    <row r="41" spans="1:1" ht="20.100000000000001" customHeight="1" x14ac:dyDescent="0.25">
      <c r="A41" s="50"/>
    </row>
    <row r="42" spans="1:1" ht="20.100000000000001" customHeight="1" x14ac:dyDescent="0.25">
      <c r="A42" s="50"/>
    </row>
    <row r="43" spans="1:1" ht="20.100000000000001" customHeight="1" x14ac:dyDescent="0.25">
      <c r="A43" s="50"/>
    </row>
    <row r="44" spans="1:1" ht="20.100000000000001" customHeight="1" x14ac:dyDescent="0.25">
      <c r="A44" s="50"/>
    </row>
    <row r="45" spans="1:1" ht="20.100000000000001" customHeight="1" x14ac:dyDescent="0.25">
      <c r="A45" s="50"/>
    </row>
    <row r="46" spans="1:1" ht="20.100000000000001" customHeight="1" x14ac:dyDescent="0.25">
      <c r="A46" s="50"/>
    </row>
    <row r="47" spans="1:1" ht="20.100000000000001" customHeight="1" x14ac:dyDescent="0.25">
      <c r="A47" s="50"/>
    </row>
    <row r="48" spans="1:1"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sheetData>
  <sheetProtection algorithmName="SHA-512" hashValue="SOwxXrLp1x3tVBVRnFHv12QAorYbLbQG1cbvZEVS+ao3WvCahcn4tjhckXCGh0pSTaJEMt9ZcmoZDUw9m9nd9g==" saltValue="EZFGTrHxddRovgDu9WReQg==" spinCount="100000" sheet="1" objects="1" scenarios="1"/>
  <mergeCells count="47">
    <mergeCell ref="B29:C29"/>
    <mergeCell ref="D29:F29"/>
    <mergeCell ref="B30:C30"/>
    <mergeCell ref="D30:F30"/>
    <mergeCell ref="B26:C26"/>
    <mergeCell ref="D26:F26"/>
    <mergeCell ref="B27:C27"/>
    <mergeCell ref="D27:F27"/>
    <mergeCell ref="B28:C28"/>
    <mergeCell ref="D28:F28"/>
    <mergeCell ref="B23:C23"/>
    <mergeCell ref="D23:F23"/>
    <mergeCell ref="B24:C24"/>
    <mergeCell ref="D24:F24"/>
    <mergeCell ref="B25:C25"/>
    <mergeCell ref="D25:F25"/>
    <mergeCell ref="B20:C20"/>
    <mergeCell ref="D20:F20"/>
    <mergeCell ref="B21:C21"/>
    <mergeCell ref="D21:F21"/>
    <mergeCell ref="B22:C22"/>
    <mergeCell ref="D22:F22"/>
    <mergeCell ref="B17:C17"/>
    <mergeCell ref="D17:F17"/>
    <mergeCell ref="B18:C18"/>
    <mergeCell ref="D18:F18"/>
    <mergeCell ref="B19:C19"/>
    <mergeCell ref="D19:F19"/>
    <mergeCell ref="A13:F13"/>
    <mergeCell ref="B14:C14"/>
    <mergeCell ref="D14:F15"/>
    <mergeCell ref="B15:C15"/>
    <mergeCell ref="B16:C16"/>
    <mergeCell ref="D16:F16"/>
    <mergeCell ref="B12:F12"/>
    <mergeCell ref="G12:I12"/>
    <mergeCell ref="A1:K1"/>
    <mergeCell ref="A2:K2"/>
    <mergeCell ref="A3:K3"/>
    <mergeCell ref="A4:K4"/>
    <mergeCell ref="A5:K5"/>
    <mergeCell ref="A6:L6"/>
    <mergeCell ref="A7:K7"/>
    <mergeCell ref="A8:F8"/>
    <mergeCell ref="A9:F9"/>
    <mergeCell ref="A10:F10"/>
    <mergeCell ref="A11:F11"/>
  </mergeCells>
  <conditionalFormatting sqref="A12">
    <cfRule type="expression" dxfId="27" priority="3">
      <formula>$P$12=FALSE</formula>
    </cfRule>
  </conditionalFormatting>
  <conditionalFormatting sqref="G12">
    <cfRule type="expression" dxfId="25" priority="2">
      <formula>AND(M12=TRUE,N12=TRUE)</formula>
    </cfRule>
  </conditionalFormatting>
  <printOptions horizontalCentered="1"/>
  <pageMargins left="0.5" right="0.5" top="0.5" bottom="0.5" header="0.3" footer="0.3"/>
  <pageSetup scale="84" fitToHeight="0" orientation="portrait" r:id="rId1"/>
  <headerFooter>
    <oddFooter xml:space="preserve">&amp;LRev. 2/2014&amp;C&amp;A&amp;RPage &amp;P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49" r:id="rId4" name="Check Box 1">
              <controlPr defaultSize="0" autoFill="0" autoLine="0" autoPict="0">
                <anchor moveWithCells="1">
                  <from>
                    <xdr:col>0</xdr:col>
                    <xdr:colOff>561975</xdr:colOff>
                    <xdr:row>11</xdr:row>
                    <xdr:rowOff>161925</xdr:rowOff>
                  </from>
                  <to>
                    <xdr:col>0</xdr:col>
                    <xdr:colOff>1485900</xdr:colOff>
                    <xdr:row>11</xdr:row>
                    <xdr:rowOff>295275</xdr:rowOff>
                  </to>
                </anchor>
              </controlPr>
            </control>
          </mc:Choice>
        </mc:AlternateContent>
        <mc:AlternateContent xmlns:mc="http://schemas.openxmlformats.org/markup-compatibility/2006">
          <mc:Choice Requires="x14">
            <control shapeId="78850" r:id="rId5" name="Check Box 2">
              <controlPr defaultSize="0" autoFill="0" autoLine="0" autoPict="0">
                <anchor moveWithCells="1">
                  <from>
                    <xdr:col>0</xdr:col>
                    <xdr:colOff>561975</xdr:colOff>
                    <xdr:row>11</xdr:row>
                    <xdr:rowOff>361950</xdr:rowOff>
                  </from>
                  <to>
                    <xdr:col>0</xdr:col>
                    <xdr:colOff>1485900</xdr:colOff>
                    <xdr:row>11</xdr:row>
                    <xdr:rowOff>495300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04" stopIfTrue="1" id="{87B00029-6C1D-42F3-BEC5-540010261EBD}">
            <xm:f>OR(AND($M$11=FALSE,$N$11=TRUE,$Q$11=FALSE,$R$11=TRUE),AND($M$11=TRUE,'Section 6| Source Class'!$M$11=TRUE,'Section 6| Source Class'!$O$11=TRUE),$O$11=TRUE)</xm:f>
            <x14:dxf>
              <fill>
                <patternFill patternType="darkUp"/>
              </fill>
            </x14:dxf>
          </x14:cfRule>
          <xm:sqref>A12</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002060"/>
    <pageSetUpPr fitToPage="1"/>
  </sheetPr>
  <dimension ref="A1:X188"/>
  <sheetViews>
    <sheetView showGridLines="0" zoomScaleNormal="100" workbookViewId="0">
      <selection sqref="A1:K1"/>
    </sheetView>
  </sheetViews>
  <sheetFormatPr defaultRowHeight="20.100000000000001" customHeight="1" x14ac:dyDescent="0.25"/>
  <cols>
    <col min="1" max="2" width="16.7109375" style="48" customWidth="1"/>
    <col min="3" max="5" width="19.28515625" style="48" customWidth="1"/>
    <col min="6" max="6" width="22.7109375" style="48" customWidth="1"/>
    <col min="7" max="10" width="9.140625" style="48" customWidth="1"/>
    <col min="11" max="11" width="23" style="48" customWidth="1"/>
    <col min="12" max="16" width="9.140625" style="48" customWidth="1"/>
    <col min="17" max="17" width="9.140625" style="48"/>
    <col min="18" max="18" width="9.140625" style="48" customWidth="1"/>
    <col min="19" max="16384" width="9.140625" style="48"/>
  </cols>
  <sheetData>
    <row r="1" spans="1:24" s="69" customFormat="1" ht="26.25" customHeight="1" thickBot="1" x14ac:dyDescent="0.3">
      <c r="A1" s="1122" t="s">
        <v>1862</v>
      </c>
      <c r="B1" s="1122"/>
      <c r="C1" s="1122"/>
      <c r="D1" s="1122"/>
      <c r="E1" s="1122"/>
      <c r="F1" s="1122"/>
      <c r="G1" s="1122"/>
      <c r="H1" s="1122"/>
      <c r="I1" s="1122"/>
      <c r="J1" s="1122"/>
      <c r="K1" s="1122"/>
      <c r="L1" s="79"/>
    </row>
    <row r="2" spans="1:24" s="68" customFormat="1" ht="35.1" customHeight="1" x14ac:dyDescent="0.25">
      <c r="A2" s="1075" t="s">
        <v>1863</v>
      </c>
      <c r="B2" s="1075"/>
      <c r="C2" s="1075"/>
      <c r="D2" s="1075"/>
      <c r="E2" s="1075"/>
      <c r="F2" s="1075"/>
      <c r="G2" s="1075"/>
      <c r="H2" s="1075"/>
      <c r="I2" s="1075"/>
      <c r="J2" s="1075"/>
      <c r="K2" s="1075"/>
    </row>
    <row r="3" spans="1:24" s="68" customFormat="1" ht="35.1" customHeight="1" x14ac:dyDescent="0.25">
      <c r="A3" s="1075" t="s">
        <v>1734</v>
      </c>
      <c r="B3" s="1075"/>
      <c r="C3" s="1075"/>
      <c r="D3" s="1075"/>
      <c r="E3" s="1075"/>
      <c r="F3" s="1075"/>
      <c r="G3" s="1075"/>
      <c r="H3" s="1075"/>
      <c r="I3" s="1075"/>
      <c r="J3" s="1075"/>
      <c r="K3" s="1075"/>
    </row>
    <row r="4" spans="1:24" s="164" customFormat="1" ht="9.9499999999999993" customHeight="1" x14ac:dyDescent="0.25">
      <c r="A4" s="1417"/>
      <c r="B4" s="1417"/>
      <c r="C4" s="1417"/>
      <c r="D4" s="1417"/>
      <c r="E4" s="1417"/>
      <c r="F4" s="1417"/>
      <c r="G4" s="1417"/>
      <c r="H4" s="1417"/>
      <c r="I4" s="1417"/>
      <c r="J4" s="1417"/>
      <c r="K4" s="1417"/>
    </row>
    <row r="5" spans="1:24" s="68" customFormat="1" ht="35.1" customHeight="1" thickBot="1" x14ac:dyDescent="0.3">
      <c r="A5" s="1099" t="s">
        <v>1733</v>
      </c>
      <c r="B5" s="1099"/>
      <c r="C5" s="1099"/>
      <c r="D5" s="1099"/>
      <c r="E5" s="1099"/>
      <c r="F5" s="1099"/>
      <c r="G5" s="1099"/>
      <c r="H5" s="1099"/>
      <c r="I5" s="1099"/>
      <c r="J5" s="1099"/>
      <c r="K5" s="1099"/>
      <c r="L5" s="1099"/>
    </row>
    <row r="6" spans="1:24" s="70" customFormat="1" ht="19.5" thickBot="1" x14ac:dyDescent="0.3">
      <c r="A6" s="1087" t="s">
        <v>1725</v>
      </c>
      <c r="B6" s="1087"/>
      <c r="C6" s="1087"/>
      <c r="D6" s="1087"/>
      <c r="E6" s="1087"/>
      <c r="F6" s="1087"/>
      <c r="G6" s="1087"/>
      <c r="H6" s="1087"/>
      <c r="I6" s="1087"/>
      <c r="J6" s="1087"/>
      <c r="K6" s="1087"/>
    </row>
    <row r="7" spans="1:24" ht="60" customHeight="1" x14ac:dyDescent="0.25">
      <c r="A7" s="988"/>
      <c r="B7" s="988"/>
      <c r="C7" s="988"/>
      <c r="D7" s="988"/>
      <c r="E7" s="988"/>
      <c r="F7" s="988"/>
    </row>
    <row r="8" spans="1:24" ht="24.95" customHeight="1" thickBot="1" x14ac:dyDescent="0.3">
      <c r="A8" s="885" t="s">
        <v>1864</v>
      </c>
      <c r="B8" s="885"/>
      <c r="C8" s="885"/>
      <c r="D8" s="885"/>
      <c r="E8" s="885"/>
      <c r="F8" s="885"/>
    </row>
    <row r="9" spans="1:24" ht="18" customHeight="1" x14ac:dyDescent="0.25">
      <c r="A9" s="1024" t="s">
        <v>1726</v>
      </c>
      <c r="B9" s="1450"/>
      <c r="C9" s="1451" t="str">
        <f>IF(ISBLANK('Section 9| Compliance Plan'!B16),"",'Section 9| Compliance Plan'!B16)</f>
        <v/>
      </c>
      <c r="D9" s="1452"/>
      <c r="E9" s="1452"/>
      <c r="F9" s="1453"/>
      <c r="G9" s="123"/>
      <c r="M9" s="80"/>
      <c r="N9" s="80"/>
      <c r="O9" s="80"/>
      <c r="Q9" s="80"/>
      <c r="R9" s="80"/>
      <c r="S9" s="80"/>
      <c r="T9" s="80"/>
      <c r="U9" s="80"/>
      <c r="V9" s="80"/>
      <c r="W9" s="80"/>
      <c r="X9" s="80"/>
    </row>
    <row r="10" spans="1:24" ht="18" customHeight="1" x14ac:dyDescent="0.25">
      <c r="A10" s="1032" t="s">
        <v>1727</v>
      </c>
      <c r="B10" s="1434"/>
      <c r="C10" s="1435" t="str">
        <f>IF(ISBLANK('Section 9| Compliance Plan'!A16),"",'Section 9| Compliance Plan'!A16)</f>
        <v/>
      </c>
      <c r="D10" s="1436"/>
      <c r="E10" s="1436"/>
      <c r="F10" s="1437"/>
      <c r="G10" s="123"/>
      <c r="M10" s="80"/>
      <c r="N10" s="80"/>
      <c r="O10" s="80"/>
      <c r="Q10" s="80"/>
      <c r="R10" s="80"/>
      <c r="S10" s="80"/>
      <c r="T10" s="80"/>
      <c r="U10" s="80"/>
      <c r="V10" s="80"/>
      <c r="W10" s="80"/>
      <c r="X10" s="80"/>
    </row>
    <row r="11" spans="1:24" ht="18" customHeight="1" x14ac:dyDescent="0.25">
      <c r="A11" s="1438" t="s">
        <v>1728</v>
      </c>
      <c r="B11" s="1439"/>
      <c r="C11" s="1439"/>
      <c r="D11" s="1439"/>
      <c r="E11" s="1439"/>
      <c r="F11" s="1440"/>
      <c r="G11" s="123"/>
      <c r="M11" s="80"/>
      <c r="N11" s="80"/>
      <c r="O11" s="80"/>
      <c r="Q11" s="80"/>
      <c r="R11" s="80"/>
      <c r="S11" s="80"/>
      <c r="T11" s="80"/>
      <c r="U11" s="80"/>
      <c r="V11" s="80"/>
      <c r="W11" s="80"/>
      <c r="X11" s="80"/>
    </row>
    <row r="12" spans="1:24" ht="65.099999999999994" customHeight="1" x14ac:dyDescent="0.25">
      <c r="A12" s="1441"/>
      <c r="B12" s="1442"/>
      <c r="C12" s="1442"/>
      <c r="D12" s="1442"/>
      <c r="E12" s="1442"/>
      <c r="F12" s="1443"/>
      <c r="G12" s="123"/>
      <c r="M12" s="80"/>
      <c r="N12" s="80"/>
      <c r="O12" s="80"/>
      <c r="Q12" s="80"/>
      <c r="R12" s="80"/>
      <c r="S12" s="80"/>
      <c r="T12" s="80"/>
      <c r="U12" s="80"/>
      <c r="V12" s="80"/>
      <c r="W12" s="80"/>
      <c r="X12" s="80"/>
    </row>
    <row r="13" spans="1:24" ht="18" customHeight="1" x14ac:dyDescent="0.25">
      <c r="A13" s="1438" t="s">
        <v>1729</v>
      </c>
      <c r="B13" s="1439"/>
      <c r="C13" s="1439"/>
      <c r="D13" s="1439"/>
      <c r="E13" s="1439"/>
      <c r="F13" s="1440"/>
      <c r="G13" s="123"/>
      <c r="M13" s="80"/>
      <c r="N13" s="80"/>
      <c r="O13" s="80"/>
      <c r="Q13" s="80"/>
      <c r="R13" s="80"/>
      <c r="S13" s="80"/>
      <c r="T13" s="80"/>
      <c r="U13" s="80"/>
      <c r="V13" s="80"/>
      <c r="W13" s="80"/>
      <c r="X13" s="80"/>
    </row>
    <row r="14" spans="1:24" ht="18" customHeight="1" x14ac:dyDescent="0.25">
      <c r="A14" s="1444" t="s">
        <v>1730</v>
      </c>
      <c r="B14" s="1445"/>
      <c r="C14" s="1445"/>
      <c r="D14" s="1445"/>
      <c r="E14" s="1446"/>
      <c r="F14" s="178" t="s">
        <v>1731</v>
      </c>
      <c r="G14" s="123"/>
      <c r="M14" s="80"/>
      <c r="N14" s="80"/>
      <c r="O14" s="80"/>
      <c r="Q14" s="80"/>
      <c r="R14" s="80"/>
      <c r="S14" s="80"/>
      <c r="T14" s="80"/>
      <c r="U14" s="80"/>
      <c r="V14" s="80"/>
      <c r="W14" s="80"/>
      <c r="X14" s="80"/>
    </row>
    <row r="15" spans="1:24" ht="18" customHeight="1" x14ac:dyDescent="0.25">
      <c r="A15" s="1447"/>
      <c r="B15" s="1424"/>
      <c r="C15" s="1424"/>
      <c r="D15" s="1424"/>
      <c r="E15" s="1423"/>
      <c r="F15" s="175"/>
      <c r="G15" s="123"/>
      <c r="M15" s="80"/>
      <c r="N15" s="80"/>
      <c r="O15" s="80"/>
      <c r="Q15" s="80"/>
      <c r="R15" s="80"/>
      <c r="S15" s="80"/>
      <c r="T15" s="80"/>
      <c r="U15" s="80"/>
      <c r="V15" s="80"/>
      <c r="W15" s="80"/>
      <c r="X15" s="80"/>
    </row>
    <row r="16" spans="1:24" ht="18" customHeight="1" x14ac:dyDescent="0.25">
      <c r="A16" s="1448"/>
      <c r="B16" s="1428"/>
      <c r="C16" s="1428"/>
      <c r="D16" s="1428"/>
      <c r="E16" s="1427"/>
      <c r="F16" s="176"/>
      <c r="G16" s="123"/>
      <c r="M16" s="80"/>
      <c r="N16" s="80"/>
      <c r="O16" s="80"/>
      <c r="Q16" s="80"/>
      <c r="R16" s="80"/>
      <c r="S16" s="80"/>
      <c r="T16" s="80"/>
      <c r="U16" s="80"/>
      <c r="V16" s="80"/>
      <c r="W16" s="80"/>
      <c r="X16" s="80"/>
    </row>
    <row r="17" spans="1:24" ht="18" customHeight="1" x14ac:dyDescent="0.25">
      <c r="A17" s="1448"/>
      <c r="B17" s="1428"/>
      <c r="C17" s="1428"/>
      <c r="D17" s="1428"/>
      <c r="E17" s="1427"/>
      <c r="F17" s="176"/>
      <c r="G17" s="123"/>
      <c r="M17" s="80"/>
      <c r="N17" s="80"/>
      <c r="O17" s="80"/>
      <c r="Q17" s="80"/>
      <c r="R17" s="80"/>
      <c r="S17" s="80"/>
      <c r="T17" s="80"/>
      <c r="U17" s="80"/>
      <c r="V17" s="80"/>
      <c r="W17" s="80"/>
      <c r="X17" s="80"/>
    </row>
    <row r="18" spans="1:24" ht="18" customHeight="1" x14ac:dyDescent="0.25">
      <c r="A18" s="1448"/>
      <c r="B18" s="1428"/>
      <c r="C18" s="1428"/>
      <c r="D18" s="1428"/>
      <c r="E18" s="1427"/>
      <c r="F18" s="176"/>
      <c r="G18" s="123"/>
      <c r="M18" s="80"/>
      <c r="N18" s="80"/>
      <c r="O18" s="80"/>
      <c r="Q18" s="80"/>
      <c r="R18" s="80"/>
      <c r="S18" s="80"/>
      <c r="T18" s="80"/>
      <c r="U18" s="80"/>
      <c r="V18" s="80"/>
      <c r="W18" s="80"/>
      <c r="X18" s="80"/>
    </row>
    <row r="19" spans="1:24" ht="18" customHeight="1" x14ac:dyDescent="0.25">
      <c r="A19" s="1448"/>
      <c r="B19" s="1428"/>
      <c r="C19" s="1428"/>
      <c r="D19" s="1428"/>
      <c r="E19" s="1427"/>
      <c r="F19" s="176"/>
      <c r="G19" s="123"/>
      <c r="M19" s="80"/>
      <c r="N19" s="80"/>
      <c r="O19" s="80"/>
      <c r="Q19" s="80"/>
      <c r="R19" s="80"/>
      <c r="S19" s="80"/>
      <c r="T19" s="80"/>
      <c r="U19" s="80"/>
      <c r="V19" s="80"/>
      <c r="W19" s="80"/>
      <c r="X19" s="80"/>
    </row>
    <row r="20" spans="1:24" ht="18" customHeight="1" thickBot="1" x14ac:dyDescent="0.3">
      <c r="A20" s="1449"/>
      <c r="B20" s="1432"/>
      <c r="C20" s="1432"/>
      <c r="D20" s="1432"/>
      <c r="E20" s="1431"/>
      <c r="F20" s="177"/>
      <c r="G20" s="123"/>
      <c r="M20" s="80"/>
      <c r="N20" s="80"/>
      <c r="O20" s="80"/>
      <c r="Q20" s="80"/>
      <c r="R20" s="80"/>
      <c r="S20" s="80"/>
      <c r="T20" s="80"/>
      <c r="U20" s="80"/>
      <c r="V20" s="80"/>
      <c r="W20" s="80"/>
      <c r="X20" s="80"/>
    </row>
    <row r="21" spans="1:24" ht="18" customHeight="1" x14ac:dyDescent="0.25">
      <c r="A21" s="1024" t="s">
        <v>1726</v>
      </c>
      <c r="B21" s="1450"/>
      <c r="C21" s="1451" t="str">
        <f>IF(ISBLANK('Section 9| Compliance Plan'!B17),"",'Section 9| Compliance Plan'!B17)</f>
        <v/>
      </c>
      <c r="D21" s="1452"/>
      <c r="E21" s="1452"/>
      <c r="F21" s="1453"/>
      <c r="G21" s="123"/>
      <c r="M21" s="80"/>
      <c r="N21" s="80"/>
      <c r="O21" s="80"/>
      <c r="Q21" s="80"/>
      <c r="R21" s="80"/>
      <c r="S21" s="80"/>
      <c r="T21" s="80"/>
      <c r="U21" s="80"/>
      <c r="V21" s="80"/>
      <c r="W21" s="80"/>
      <c r="X21" s="80"/>
    </row>
    <row r="22" spans="1:24" ht="18" customHeight="1" x14ac:dyDescent="0.25">
      <c r="A22" s="1032" t="s">
        <v>1727</v>
      </c>
      <c r="B22" s="1434"/>
      <c r="C22" s="1435" t="str">
        <f>IF(ISBLANK('Section 9| Compliance Plan'!A17),"",'Section 9| Compliance Plan'!A17)</f>
        <v/>
      </c>
      <c r="D22" s="1436"/>
      <c r="E22" s="1436"/>
      <c r="F22" s="1437"/>
      <c r="G22" s="123"/>
      <c r="M22" s="80"/>
      <c r="N22" s="80"/>
      <c r="O22" s="80"/>
      <c r="Q22" s="80"/>
      <c r="R22" s="80"/>
      <c r="S22" s="80"/>
      <c r="T22" s="80"/>
      <c r="U22" s="80"/>
      <c r="V22" s="80"/>
      <c r="W22" s="80"/>
      <c r="X22" s="80"/>
    </row>
    <row r="23" spans="1:24" ht="18" customHeight="1" x14ac:dyDescent="0.25">
      <c r="A23" s="1438" t="s">
        <v>1728</v>
      </c>
      <c r="B23" s="1439"/>
      <c r="C23" s="1439"/>
      <c r="D23" s="1439"/>
      <c r="E23" s="1439"/>
      <c r="F23" s="1440"/>
      <c r="G23" s="123"/>
      <c r="M23" s="80"/>
      <c r="N23" s="80"/>
      <c r="O23" s="80"/>
      <c r="Q23" s="80"/>
      <c r="R23" s="80"/>
      <c r="S23" s="80"/>
      <c r="T23" s="80"/>
      <c r="U23" s="80"/>
      <c r="V23" s="80"/>
      <c r="W23" s="80"/>
      <c r="X23" s="80"/>
    </row>
    <row r="24" spans="1:24" ht="65.099999999999994" customHeight="1" x14ac:dyDescent="0.25">
      <c r="A24" s="1441"/>
      <c r="B24" s="1442"/>
      <c r="C24" s="1442"/>
      <c r="D24" s="1442"/>
      <c r="E24" s="1442"/>
      <c r="F24" s="1443"/>
      <c r="G24" s="123"/>
      <c r="M24" s="80"/>
      <c r="N24" s="80"/>
      <c r="O24" s="80"/>
      <c r="Q24" s="80"/>
      <c r="R24" s="80"/>
      <c r="S24" s="80"/>
      <c r="T24" s="80"/>
      <c r="U24" s="80"/>
      <c r="V24" s="80"/>
      <c r="W24" s="80"/>
      <c r="X24" s="80"/>
    </row>
    <row r="25" spans="1:24" ht="18" customHeight="1" x14ac:dyDescent="0.25">
      <c r="A25" s="1438" t="s">
        <v>1729</v>
      </c>
      <c r="B25" s="1439"/>
      <c r="C25" s="1439"/>
      <c r="D25" s="1439"/>
      <c r="E25" s="1439"/>
      <c r="F25" s="1440"/>
      <c r="G25" s="123"/>
      <c r="M25" s="80"/>
      <c r="N25" s="80"/>
      <c r="O25" s="80"/>
      <c r="Q25" s="80"/>
      <c r="R25" s="80"/>
      <c r="S25" s="80"/>
      <c r="T25" s="80"/>
      <c r="U25" s="80"/>
      <c r="V25" s="80"/>
      <c r="W25" s="80"/>
      <c r="X25" s="80"/>
    </row>
    <row r="26" spans="1:24" ht="18" customHeight="1" x14ac:dyDescent="0.25">
      <c r="A26" s="1444" t="s">
        <v>1730</v>
      </c>
      <c r="B26" s="1445"/>
      <c r="C26" s="1445"/>
      <c r="D26" s="1445"/>
      <c r="E26" s="1446"/>
      <c r="F26" s="178" t="s">
        <v>1731</v>
      </c>
      <c r="G26" s="123"/>
      <c r="M26" s="80"/>
      <c r="N26" s="80"/>
      <c r="O26" s="80"/>
      <c r="Q26" s="80"/>
      <c r="R26" s="80"/>
      <c r="S26" s="80"/>
      <c r="T26" s="80"/>
      <c r="U26" s="80"/>
      <c r="V26" s="80"/>
      <c r="W26" s="80"/>
      <c r="X26" s="80"/>
    </row>
    <row r="27" spans="1:24" ht="18" customHeight="1" x14ac:dyDescent="0.25">
      <c r="A27" s="1447"/>
      <c r="B27" s="1424"/>
      <c r="C27" s="1424"/>
      <c r="D27" s="1424"/>
      <c r="E27" s="1423"/>
      <c r="F27" s="175"/>
      <c r="G27" s="123"/>
      <c r="M27" s="80"/>
      <c r="N27" s="80"/>
      <c r="O27" s="80"/>
      <c r="Q27" s="80"/>
      <c r="R27" s="80"/>
      <c r="S27" s="80"/>
      <c r="T27" s="80"/>
      <c r="U27" s="80"/>
      <c r="V27" s="80"/>
      <c r="W27" s="80"/>
      <c r="X27" s="80"/>
    </row>
    <row r="28" spans="1:24" ht="18" customHeight="1" x14ac:dyDescent="0.25">
      <c r="A28" s="1448"/>
      <c r="B28" s="1428"/>
      <c r="C28" s="1428"/>
      <c r="D28" s="1428"/>
      <c r="E28" s="1427"/>
      <c r="F28" s="176"/>
      <c r="G28" s="123"/>
      <c r="M28" s="80"/>
      <c r="N28" s="80"/>
      <c r="O28" s="80"/>
      <c r="Q28" s="80"/>
      <c r="R28" s="80"/>
      <c r="S28" s="80"/>
      <c r="T28" s="80"/>
      <c r="U28" s="80"/>
      <c r="V28" s="80"/>
      <c r="W28" s="80"/>
      <c r="X28" s="80"/>
    </row>
    <row r="29" spans="1:24" ht="18" customHeight="1" x14ac:dyDescent="0.25">
      <c r="A29" s="1448"/>
      <c r="B29" s="1428"/>
      <c r="C29" s="1428"/>
      <c r="D29" s="1428"/>
      <c r="E29" s="1427"/>
      <c r="F29" s="176"/>
      <c r="G29" s="123"/>
      <c r="M29" s="80"/>
      <c r="N29" s="80"/>
      <c r="O29" s="80"/>
      <c r="Q29" s="80"/>
      <c r="R29" s="80"/>
      <c r="S29" s="80"/>
      <c r="T29" s="80"/>
      <c r="U29" s="80"/>
      <c r="V29" s="80"/>
      <c r="W29" s="80"/>
      <c r="X29" s="80"/>
    </row>
    <row r="30" spans="1:24" ht="18" customHeight="1" x14ac:dyDescent="0.25">
      <c r="A30" s="1448"/>
      <c r="B30" s="1428"/>
      <c r="C30" s="1428"/>
      <c r="D30" s="1428"/>
      <c r="E30" s="1427"/>
      <c r="F30" s="176"/>
      <c r="G30" s="123"/>
      <c r="M30" s="80"/>
      <c r="N30" s="80"/>
      <c r="O30" s="80"/>
      <c r="Q30" s="80"/>
      <c r="R30" s="80"/>
      <c r="S30" s="80"/>
      <c r="T30" s="80"/>
      <c r="U30" s="80"/>
      <c r="V30" s="80"/>
      <c r="W30" s="80"/>
      <c r="X30" s="80"/>
    </row>
    <row r="31" spans="1:24" ht="18" customHeight="1" x14ac:dyDescent="0.25">
      <c r="A31" s="1448"/>
      <c r="B31" s="1428"/>
      <c r="C31" s="1428"/>
      <c r="D31" s="1428"/>
      <c r="E31" s="1427"/>
      <c r="F31" s="176"/>
      <c r="G31" s="123"/>
      <c r="M31" s="80"/>
      <c r="N31" s="80"/>
      <c r="O31" s="80"/>
      <c r="Q31" s="80"/>
      <c r="R31" s="80"/>
      <c r="S31" s="80"/>
      <c r="T31" s="80"/>
      <c r="U31" s="80"/>
      <c r="V31" s="80"/>
      <c r="W31" s="80"/>
      <c r="X31" s="80"/>
    </row>
    <row r="32" spans="1:24" ht="18" customHeight="1" thickBot="1" x14ac:dyDescent="0.3">
      <c r="A32" s="1449"/>
      <c r="B32" s="1432"/>
      <c r="C32" s="1432"/>
      <c r="D32" s="1432"/>
      <c r="E32" s="1431"/>
      <c r="F32" s="177"/>
      <c r="G32" s="123"/>
      <c r="M32" s="80"/>
      <c r="N32" s="80"/>
      <c r="O32" s="80"/>
      <c r="Q32" s="80"/>
      <c r="R32" s="80"/>
      <c r="S32" s="80"/>
      <c r="T32" s="80"/>
      <c r="U32" s="80"/>
      <c r="V32" s="80"/>
      <c r="W32" s="80"/>
      <c r="X32" s="80"/>
    </row>
    <row r="33" spans="1:24" ht="18" customHeight="1" x14ac:dyDescent="0.25">
      <c r="A33" s="1024" t="s">
        <v>1726</v>
      </c>
      <c r="B33" s="1450"/>
      <c r="C33" s="1451" t="str">
        <f>IF(ISBLANK('Section 9| Compliance Plan'!B18),"",'Section 9| Compliance Plan'!B18)</f>
        <v/>
      </c>
      <c r="D33" s="1452"/>
      <c r="E33" s="1452"/>
      <c r="F33" s="1453"/>
      <c r="G33" s="123"/>
      <c r="M33" s="80"/>
      <c r="N33" s="80"/>
      <c r="O33" s="80"/>
      <c r="Q33" s="80"/>
      <c r="R33" s="80"/>
      <c r="S33" s="80"/>
      <c r="T33" s="80"/>
      <c r="U33" s="80"/>
      <c r="V33" s="80"/>
      <c r="W33" s="80"/>
      <c r="X33" s="80"/>
    </row>
    <row r="34" spans="1:24" ht="18" customHeight="1" x14ac:dyDescent="0.25">
      <c r="A34" s="1032" t="s">
        <v>1727</v>
      </c>
      <c r="B34" s="1434"/>
      <c r="C34" s="1435" t="str">
        <f>IF(ISBLANK('Section 9| Compliance Plan'!A18),"",'Section 9| Compliance Plan'!A18)</f>
        <v/>
      </c>
      <c r="D34" s="1436"/>
      <c r="E34" s="1436"/>
      <c r="F34" s="1437"/>
      <c r="G34" s="123"/>
      <c r="M34" s="80"/>
      <c r="N34" s="80"/>
      <c r="O34" s="80"/>
      <c r="Q34" s="80"/>
      <c r="R34" s="80"/>
      <c r="S34" s="80"/>
      <c r="T34" s="80"/>
      <c r="U34" s="80"/>
      <c r="V34" s="80"/>
      <c r="W34" s="80"/>
      <c r="X34" s="80"/>
    </row>
    <row r="35" spans="1:24" ht="18" customHeight="1" x14ac:dyDescent="0.25">
      <c r="A35" s="1438" t="s">
        <v>1728</v>
      </c>
      <c r="B35" s="1439"/>
      <c r="C35" s="1439"/>
      <c r="D35" s="1439"/>
      <c r="E35" s="1439"/>
      <c r="F35" s="1440"/>
      <c r="G35" s="123"/>
      <c r="M35" s="80"/>
      <c r="N35" s="80"/>
      <c r="O35" s="80"/>
      <c r="Q35" s="80"/>
      <c r="R35" s="80"/>
      <c r="S35" s="80"/>
      <c r="T35" s="80"/>
      <c r="U35" s="80"/>
      <c r="V35" s="80"/>
      <c r="W35" s="80"/>
      <c r="X35" s="80"/>
    </row>
    <row r="36" spans="1:24" ht="65.099999999999994" customHeight="1" x14ac:dyDescent="0.25">
      <c r="A36" s="1441"/>
      <c r="B36" s="1442"/>
      <c r="C36" s="1442"/>
      <c r="D36" s="1442"/>
      <c r="E36" s="1442"/>
      <c r="F36" s="1443"/>
      <c r="G36" s="123"/>
      <c r="M36" s="80"/>
      <c r="N36" s="80"/>
      <c r="O36" s="80"/>
      <c r="Q36" s="80"/>
      <c r="R36" s="80"/>
      <c r="S36" s="80"/>
      <c r="T36" s="80"/>
      <c r="U36" s="80"/>
      <c r="V36" s="80"/>
      <c r="W36" s="80"/>
      <c r="X36" s="80"/>
    </row>
    <row r="37" spans="1:24" ht="18" customHeight="1" x14ac:dyDescent="0.25">
      <c r="A37" s="1438" t="s">
        <v>1729</v>
      </c>
      <c r="B37" s="1439"/>
      <c r="C37" s="1439"/>
      <c r="D37" s="1439"/>
      <c r="E37" s="1439"/>
      <c r="F37" s="1440"/>
      <c r="G37" s="123"/>
      <c r="M37" s="80"/>
      <c r="N37" s="80"/>
      <c r="O37" s="80"/>
      <c r="Q37" s="80"/>
      <c r="R37" s="80"/>
      <c r="S37" s="80"/>
      <c r="T37" s="80"/>
      <c r="U37" s="80"/>
      <c r="V37" s="80"/>
      <c r="W37" s="80"/>
      <c r="X37" s="80"/>
    </row>
    <row r="38" spans="1:24" ht="18" customHeight="1" x14ac:dyDescent="0.25">
      <c r="A38" s="1444" t="s">
        <v>1730</v>
      </c>
      <c r="B38" s="1445"/>
      <c r="C38" s="1445"/>
      <c r="D38" s="1445"/>
      <c r="E38" s="1446"/>
      <c r="F38" s="178" t="s">
        <v>1731</v>
      </c>
      <c r="G38" s="123"/>
      <c r="M38" s="80"/>
      <c r="N38" s="80"/>
      <c r="O38" s="80"/>
      <c r="Q38" s="80"/>
      <c r="R38" s="80"/>
      <c r="S38" s="80"/>
      <c r="T38" s="80"/>
      <c r="U38" s="80"/>
      <c r="V38" s="80"/>
      <c r="W38" s="80"/>
      <c r="X38" s="80"/>
    </row>
    <row r="39" spans="1:24" ht="18" customHeight="1" x14ac:dyDescent="0.25">
      <c r="A39" s="1447"/>
      <c r="B39" s="1424"/>
      <c r="C39" s="1424"/>
      <c r="D39" s="1424"/>
      <c r="E39" s="1423"/>
      <c r="F39" s="175"/>
      <c r="G39" s="123"/>
      <c r="M39" s="80"/>
      <c r="N39" s="80"/>
      <c r="O39" s="80"/>
      <c r="Q39" s="80"/>
      <c r="R39" s="80"/>
      <c r="S39" s="80"/>
      <c r="T39" s="80"/>
      <c r="U39" s="80"/>
      <c r="V39" s="80"/>
      <c r="W39" s="80"/>
      <c r="X39" s="80"/>
    </row>
    <row r="40" spans="1:24" ht="18" customHeight="1" x14ac:dyDescent="0.25">
      <c r="A40" s="1448"/>
      <c r="B40" s="1428"/>
      <c r="C40" s="1428"/>
      <c r="D40" s="1428"/>
      <c r="E40" s="1427"/>
      <c r="F40" s="176"/>
      <c r="G40" s="123"/>
      <c r="M40" s="80"/>
      <c r="N40" s="80"/>
      <c r="O40" s="80"/>
      <c r="Q40" s="80"/>
      <c r="R40" s="80"/>
      <c r="S40" s="80"/>
      <c r="T40" s="80"/>
      <c r="U40" s="80"/>
      <c r="V40" s="80"/>
      <c r="W40" s="80"/>
      <c r="X40" s="80"/>
    </row>
    <row r="41" spans="1:24" ht="18" customHeight="1" x14ac:dyDescent="0.25">
      <c r="A41" s="1448"/>
      <c r="B41" s="1428"/>
      <c r="C41" s="1428"/>
      <c r="D41" s="1428"/>
      <c r="E41" s="1427"/>
      <c r="F41" s="176"/>
      <c r="G41" s="123"/>
      <c r="M41" s="80"/>
      <c r="N41" s="80"/>
      <c r="O41" s="80"/>
      <c r="Q41" s="80"/>
      <c r="R41" s="80"/>
      <c r="S41" s="80"/>
      <c r="T41" s="80"/>
      <c r="U41" s="80"/>
      <c r="V41" s="80"/>
      <c r="W41" s="80"/>
      <c r="X41" s="80"/>
    </row>
    <row r="42" spans="1:24" ht="18" customHeight="1" x14ac:dyDescent="0.25">
      <c r="A42" s="1448"/>
      <c r="B42" s="1428"/>
      <c r="C42" s="1428"/>
      <c r="D42" s="1428"/>
      <c r="E42" s="1427"/>
      <c r="F42" s="176"/>
      <c r="G42" s="123"/>
      <c r="M42" s="80"/>
      <c r="N42" s="80"/>
      <c r="O42" s="80"/>
      <c r="Q42" s="80"/>
      <c r="R42" s="80"/>
      <c r="S42" s="80"/>
      <c r="T42" s="80"/>
      <c r="U42" s="80"/>
      <c r="V42" s="80"/>
      <c r="W42" s="80"/>
      <c r="X42" s="80"/>
    </row>
    <row r="43" spans="1:24" ht="18" customHeight="1" x14ac:dyDescent="0.25">
      <c r="A43" s="1448"/>
      <c r="B43" s="1428"/>
      <c r="C43" s="1428"/>
      <c r="D43" s="1428"/>
      <c r="E43" s="1427"/>
      <c r="F43" s="176"/>
      <c r="G43" s="123"/>
      <c r="M43" s="80"/>
      <c r="N43" s="80"/>
      <c r="O43" s="80"/>
      <c r="Q43" s="80"/>
      <c r="R43" s="80"/>
      <c r="S43" s="80"/>
      <c r="T43" s="80"/>
      <c r="U43" s="80"/>
      <c r="V43" s="80"/>
      <c r="W43" s="80"/>
      <c r="X43" s="80"/>
    </row>
    <row r="44" spans="1:24" ht="18" customHeight="1" thickBot="1" x14ac:dyDescent="0.3">
      <c r="A44" s="1449"/>
      <c r="B44" s="1432"/>
      <c r="C44" s="1432"/>
      <c r="D44" s="1432"/>
      <c r="E44" s="1431"/>
      <c r="F44" s="177"/>
      <c r="G44" s="123"/>
      <c r="M44" s="80"/>
      <c r="N44" s="80"/>
      <c r="O44" s="80"/>
      <c r="Q44" s="80"/>
      <c r="R44" s="80"/>
      <c r="S44" s="80"/>
      <c r="T44" s="80"/>
      <c r="U44" s="80"/>
      <c r="V44" s="80"/>
      <c r="W44" s="80"/>
      <c r="X44" s="80"/>
    </row>
    <row r="45" spans="1:24" ht="18" customHeight="1" x14ac:dyDescent="0.25">
      <c r="A45" s="1024" t="s">
        <v>1726</v>
      </c>
      <c r="B45" s="1450"/>
      <c r="C45" s="1451" t="str">
        <f>IF(ISBLANK('Section 9| Compliance Plan'!B19),"",'Section 9| Compliance Plan'!B19)</f>
        <v/>
      </c>
      <c r="D45" s="1452"/>
      <c r="E45" s="1452"/>
      <c r="F45" s="1453"/>
      <c r="G45" s="123"/>
      <c r="M45" s="80"/>
      <c r="N45" s="80"/>
      <c r="O45" s="80"/>
      <c r="Q45" s="80"/>
      <c r="R45" s="80"/>
      <c r="S45" s="80"/>
      <c r="T45" s="80"/>
      <c r="U45" s="80"/>
      <c r="V45" s="80"/>
      <c r="W45" s="80"/>
      <c r="X45" s="80"/>
    </row>
    <row r="46" spans="1:24" ht="18" customHeight="1" x14ac:dyDescent="0.25">
      <c r="A46" s="1032" t="s">
        <v>1727</v>
      </c>
      <c r="B46" s="1434"/>
      <c r="C46" s="1435" t="str">
        <f>IF(ISBLANK('Section 9| Compliance Plan'!A19),"",'Section 9| Compliance Plan'!A19)</f>
        <v/>
      </c>
      <c r="D46" s="1436"/>
      <c r="E46" s="1436"/>
      <c r="F46" s="1437"/>
      <c r="G46" s="123"/>
      <c r="M46" s="80"/>
      <c r="N46" s="80"/>
      <c r="O46" s="80"/>
      <c r="Q46" s="80"/>
      <c r="R46" s="80"/>
      <c r="S46" s="80"/>
      <c r="T46" s="80"/>
      <c r="U46" s="80"/>
      <c r="V46" s="80"/>
      <c r="W46" s="80"/>
      <c r="X46" s="80"/>
    </row>
    <row r="47" spans="1:24" ht="18" customHeight="1" x14ac:dyDescent="0.25">
      <c r="A47" s="1438" t="s">
        <v>1728</v>
      </c>
      <c r="B47" s="1439"/>
      <c r="C47" s="1439"/>
      <c r="D47" s="1439"/>
      <c r="E47" s="1439"/>
      <c r="F47" s="1440"/>
      <c r="G47" s="123"/>
      <c r="M47" s="80"/>
      <c r="N47" s="80"/>
      <c r="O47" s="80"/>
      <c r="Q47" s="80"/>
      <c r="R47" s="80"/>
      <c r="S47" s="80"/>
      <c r="T47" s="80"/>
      <c r="U47" s="80"/>
      <c r="V47" s="80"/>
      <c r="W47" s="80"/>
      <c r="X47" s="80"/>
    </row>
    <row r="48" spans="1:24" ht="65.099999999999994" customHeight="1" x14ac:dyDescent="0.25">
      <c r="A48" s="1441"/>
      <c r="B48" s="1442"/>
      <c r="C48" s="1442"/>
      <c r="D48" s="1442"/>
      <c r="E48" s="1442"/>
      <c r="F48" s="1443"/>
      <c r="G48" s="123"/>
      <c r="M48" s="80"/>
      <c r="N48" s="80"/>
      <c r="O48" s="80"/>
      <c r="Q48" s="80"/>
      <c r="R48" s="80"/>
      <c r="S48" s="80"/>
      <c r="T48" s="80"/>
      <c r="U48" s="80"/>
      <c r="V48" s="80"/>
      <c r="W48" s="80"/>
      <c r="X48" s="80"/>
    </row>
    <row r="49" spans="1:24" ht="18" customHeight="1" x14ac:dyDescent="0.25">
      <c r="A49" s="1438" t="s">
        <v>1729</v>
      </c>
      <c r="B49" s="1439"/>
      <c r="C49" s="1439"/>
      <c r="D49" s="1439"/>
      <c r="E49" s="1439"/>
      <c r="F49" s="1440"/>
      <c r="G49" s="123"/>
      <c r="M49" s="80"/>
      <c r="N49" s="80"/>
      <c r="O49" s="80"/>
      <c r="Q49" s="80"/>
      <c r="R49" s="80"/>
      <c r="S49" s="80"/>
      <c r="T49" s="80"/>
      <c r="U49" s="80"/>
      <c r="V49" s="80"/>
      <c r="W49" s="80"/>
      <c r="X49" s="80"/>
    </row>
    <row r="50" spans="1:24" ht="18" customHeight="1" x14ac:dyDescent="0.25">
      <c r="A50" s="1444" t="s">
        <v>1730</v>
      </c>
      <c r="B50" s="1445"/>
      <c r="C50" s="1445"/>
      <c r="D50" s="1445"/>
      <c r="E50" s="1446"/>
      <c r="F50" s="178" t="s">
        <v>1731</v>
      </c>
      <c r="G50" s="123"/>
      <c r="M50" s="80"/>
      <c r="N50" s="80"/>
      <c r="O50" s="80"/>
      <c r="Q50" s="80"/>
      <c r="R50" s="80"/>
      <c r="S50" s="80"/>
      <c r="T50" s="80"/>
      <c r="U50" s="80"/>
      <c r="V50" s="80"/>
      <c r="W50" s="80"/>
      <c r="X50" s="80"/>
    </row>
    <row r="51" spans="1:24" ht="18" customHeight="1" x14ac:dyDescent="0.25">
      <c r="A51" s="1447"/>
      <c r="B51" s="1424"/>
      <c r="C51" s="1424"/>
      <c r="D51" s="1424"/>
      <c r="E51" s="1423"/>
      <c r="F51" s="175"/>
      <c r="G51" s="123"/>
      <c r="M51" s="80"/>
      <c r="N51" s="80"/>
      <c r="O51" s="80"/>
      <c r="Q51" s="80"/>
      <c r="R51" s="80"/>
      <c r="S51" s="80"/>
      <c r="T51" s="80"/>
      <c r="U51" s="80"/>
      <c r="V51" s="80"/>
      <c r="W51" s="80"/>
      <c r="X51" s="80"/>
    </row>
    <row r="52" spans="1:24" ht="18" customHeight="1" x14ac:dyDescent="0.25">
      <c r="A52" s="1448"/>
      <c r="B52" s="1428"/>
      <c r="C52" s="1428"/>
      <c r="D52" s="1428"/>
      <c r="E52" s="1427"/>
      <c r="F52" s="176"/>
      <c r="G52" s="123"/>
      <c r="M52" s="80"/>
      <c r="N52" s="80"/>
      <c r="O52" s="80"/>
      <c r="Q52" s="80"/>
      <c r="R52" s="80"/>
      <c r="S52" s="80"/>
      <c r="T52" s="80"/>
      <c r="U52" s="80"/>
      <c r="V52" s="80"/>
      <c r="W52" s="80"/>
      <c r="X52" s="80"/>
    </row>
    <row r="53" spans="1:24" ht="18" customHeight="1" x14ac:dyDescent="0.25">
      <c r="A53" s="1448"/>
      <c r="B53" s="1428"/>
      <c r="C53" s="1428"/>
      <c r="D53" s="1428"/>
      <c r="E53" s="1427"/>
      <c r="F53" s="176"/>
      <c r="G53" s="123"/>
      <c r="M53" s="80"/>
      <c r="N53" s="80"/>
      <c r="O53" s="80"/>
      <c r="Q53" s="80"/>
      <c r="R53" s="80"/>
      <c r="S53" s="80"/>
      <c r="T53" s="80"/>
      <c r="U53" s="80"/>
      <c r="V53" s="80"/>
      <c r="W53" s="80"/>
      <c r="X53" s="80"/>
    </row>
    <row r="54" spans="1:24" ht="18" customHeight="1" x14ac:dyDescent="0.25">
      <c r="A54" s="1448"/>
      <c r="B54" s="1428"/>
      <c r="C54" s="1428"/>
      <c r="D54" s="1428"/>
      <c r="E54" s="1427"/>
      <c r="F54" s="176"/>
      <c r="G54" s="123"/>
      <c r="M54" s="80"/>
      <c r="N54" s="80"/>
      <c r="O54" s="80"/>
      <c r="Q54" s="80"/>
      <c r="R54" s="80"/>
      <c r="S54" s="80"/>
      <c r="T54" s="80"/>
      <c r="U54" s="80"/>
      <c r="V54" s="80"/>
      <c r="W54" s="80"/>
      <c r="X54" s="80"/>
    </row>
    <row r="55" spans="1:24" ht="18" customHeight="1" x14ac:dyDescent="0.25">
      <c r="A55" s="1448"/>
      <c r="B55" s="1428"/>
      <c r="C55" s="1428"/>
      <c r="D55" s="1428"/>
      <c r="E55" s="1427"/>
      <c r="F55" s="176"/>
      <c r="G55" s="123"/>
      <c r="M55" s="80"/>
      <c r="N55" s="80"/>
      <c r="O55" s="80"/>
      <c r="Q55" s="80"/>
      <c r="R55" s="80"/>
      <c r="S55" s="80"/>
      <c r="T55" s="80"/>
      <c r="U55" s="80"/>
      <c r="V55" s="80"/>
      <c r="W55" s="80"/>
      <c r="X55" s="80"/>
    </row>
    <row r="56" spans="1:24" ht="18" customHeight="1" thickBot="1" x14ac:dyDescent="0.3">
      <c r="A56" s="1449"/>
      <c r="B56" s="1432"/>
      <c r="C56" s="1432"/>
      <c r="D56" s="1432"/>
      <c r="E56" s="1431"/>
      <c r="F56" s="177"/>
      <c r="G56" s="123"/>
      <c r="M56" s="80"/>
      <c r="N56" s="80"/>
      <c r="O56" s="80"/>
      <c r="Q56" s="80"/>
      <c r="R56" s="80"/>
      <c r="S56" s="80"/>
      <c r="T56" s="80"/>
      <c r="U56" s="80"/>
      <c r="V56" s="80"/>
      <c r="W56" s="80"/>
      <c r="X56" s="80"/>
    </row>
    <row r="57" spans="1:24" ht="18" customHeight="1" x14ac:dyDescent="0.25">
      <c r="A57" s="1024" t="s">
        <v>1726</v>
      </c>
      <c r="B57" s="1450"/>
      <c r="C57" s="1451" t="str">
        <f>IF(ISBLANK('Section 9| Compliance Plan'!B20),"",'Section 9| Compliance Plan'!B20)</f>
        <v/>
      </c>
      <c r="D57" s="1452"/>
      <c r="E57" s="1452"/>
      <c r="F57" s="1453"/>
      <c r="G57" s="123"/>
      <c r="M57" s="80"/>
      <c r="N57" s="80"/>
      <c r="O57" s="80"/>
      <c r="Q57" s="80"/>
      <c r="R57" s="80"/>
      <c r="S57" s="80"/>
      <c r="T57" s="80"/>
      <c r="U57" s="80"/>
      <c r="V57" s="80"/>
      <c r="W57" s="80"/>
      <c r="X57" s="80"/>
    </row>
    <row r="58" spans="1:24" ht="18" customHeight="1" x14ac:dyDescent="0.25">
      <c r="A58" s="1032" t="s">
        <v>1727</v>
      </c>
      <c r="B58" s="1434"/>
      <c r="C58" s="1435" t="str">
        <f>IF(ISBLANK('Section 9| Compliance Plan'!A20),"",'Section 9| Compliance Plan'!A20)</f>
        <v/>
      </c>
      <c r="D58" s="1436"/>
      <c r="E58" s="1436"/>
      <c r="F58" s="1437"/>
      <c r="G58" s="123"/>
      <c r="M58" s="80"/>
      <c r="N58" s="80"/>
      <c r="O58" s="80"/>
      <c r="Q58" s="80"/>
      <c r="R58" s="80"/>
      <c r="S58" s="80"/>
      <c r="T58" s="80"/>
      <c r="U58" s="80"/>
      <c r="V58" s="80"/>
      <c r="W58" s="80"/>
      <c r="X58" s="80"/>
    </row>
    <row r="59" spans="1:24" ht="18" customHeight="1" x14ac:dyDescent="0.25">
      <c r="A59" s="1438" t="s">
        <v>1728</v>
      </c>
      <c r="B59" s="1439"/>
      <c r="C59" s="1439"/>
      <c r="D59" s="1439"/>
      <c r="E59" s="1439"/>
      <c r="F59" s="1440"/>
      <c r="G59" s="123"/>
      <c r="M59" s="80"/>
      <c r="N59" s="80"/>
      <c r="O59" s="80"/>
      <c r="Q59" s="80"/>
      <c r="R59" s="80"/>
      <c r="S59" s="80"/>
      <c r="T59" s="80"/>
      <c r="U59" s="80"/>
      <c r="V59" s="80"/>
      <c r="W59" s="80"/>
      <c r="X59" s="80"/>
    </row>
    <row r="60" spans="1:24" ht="65.099999999999994" customHeight="1" x14ac:dyDescent="0.25">
      <c r="A60" s="1441"/>
      <c r="B60" s="1442"/>
      <c r="C60" s="1442"/>
      <c r="D60" s="1442"/>
      <c r="E60" s="1442"/>
      <c r="F60" s="1443"/>
      <c r="G60" s="123"/>
      <c r="M60" s="80"/>
      <c r="N60" s="80"/>
      <c r="O60" s="80"/>
      <c r="Q60" s="80"/>
      <c r="R60" s="80"/>
      <c r="S60" s="80"/>
      <c r="T60" s="80"/>
      <c r="U60" s="80"/>
      <c r="V60" s="80"/>
      <c r="W60" s="80"/>
      <c r="X60" s="80"/>
    </row>
    <row r="61" spans="1:24" ht="18" customHeight="1" x14ac:dyDescent="0.25">
      <c r="A61" s="1438" t="s">
        <v>1729</v>
      </c>
      <c r="B61" s="1439"/>
      <c r="C61" s="1439"/>
      <c r="D61" s="1439"/>
      <c r="E61" s="1439"/>
      <c r="F61" s="1440"/>
      <c r="G61" s="123"/>
      <c r="M61" s="80"/>
      <c r="N61" s="80"/>
      <c r="O61" s="80"/>
      <c r="Q61" s="80"/>
      <c r="R61" s="80"/>
      <c r="S61" s="80"/>
      <c r="T61" s="80"/>
      <c r="U61" s="80"/>
      <c r="V61" s="80"/>
      <c r="W61" s="80"/>
      <c r="X61" s="80"/>
    </row>
    <row r="62" spans="1:24" ht="18" customHeight="1" x14ac:dyDescent="0.25">
      <c r="A62" s="1444" t="s">
        <v>1730</v>
      </c>
      <c r="B62" s="1445"/>
      <c r="C62" s="1445"/>
      <c r="D62" s="1445"/>
      <c r="E62" s="1446"/>
      <c r="F62" s="178" t="s">
        <v>1731</v>
      </c>
      <c r="G62" s="123"/>
      <c r="M62" s="80"/>
      <c r="N62" s="80"/>
      <c r="O62" s="80"/>
      <c r="Q62" s="80"/>
      <c r="R62" s="80"/>
      <c r="S62" s="80"/>
      <c r="T62" s="80"/>
      <c r="U62" s="80"/>
      <c r="V62" s="80"/>
      <c r="W62" s="80"/>
      <c r="X62" s="80"/>
    </row>
    <row r="63" spans="1:24" ht="18" customHeight="1" x14ac:dyDescent="0.25">
      <c r="A63" s="1447"/>
      <c r="B63" s="1424"/>
      <c r="C63" s="1424"/>
      <c r="D63" s="1424"/>
      <c r="E63" s="1423"/>
      <c r="F63" s="175"/>
      <c r="G63" s="123"/>
      <c r="M63" s="80"/>
      <c r="N63" s="80"/>
      <c r="O63" s="80"/>
      <c r="Q63" s="80"/>
      <c r="R63" s="80"/>
      <c r="S63" s="80"/>
      <c r="T63" s="80"/>
      <c r="U63" s="80"/>
      <c r="V63" s="80"/>
      <c r="W63" s="80"/>
      <c r="X63" s="80"/>
    </row>
    <row r="64" spans="1:24" ht="18" customHeight="1" x14ac:dyDescent="0.25">
      <c r="A64" s="1448"/>
      <c r="B64" s="1428"/>
      <c r="C64" s="1428"/>
      <c r="D64" s="1428"/>
      <c r="E64" s="1427"/>
      <c r="F64" s="176"/>
      <c r="G64" s="123"/>
      <c r="M64" s="80"/>
      <c r="N64" s="80"/>
      <c r="O64" s="80"/>
      <c r="Q64" s="80"/>
      <c r="R64" s="80"/>
      <c r="S64" s="80"/>
      <c r="T64" s="80"/>
      <c r="U64" s="80"/>
      <c r="V64" s="80"/>
      <c r="W64" s="80"/>
      <c r="X64" s="80"/>
    </row>
    <row r="65" spans="1:24" ht="18" customHeight="1" x14ac:dyDescent="0.25">
      <c r="A65" s="1448"/>
      <c r="B65" s="1428"/>
      <c r="C65" s="1428"/>
      <c r="D65" s="1428"/>
      <c r="E65" s="1427"/>
      <c r="F65" s="176"/>
      <c r="G65" s="123"/>
      <c r="M65" s="80"/>
      <c r="N65" s="80"/>
      <c r="O65" s="80"/>
      <c r="Q65" s="80"/>
      <c r="R65" s="80"/>
      <c r="S65" s="80"/>
      <c r="T65" s="80"/>
      <c r="U65" s="80"/>
      <c r="V65" s="80"/>
      <c r="W65" s="80"/>
      <c r="X65" s="80"/>
    </row>
    <row r="66" spans="1:24" ht="18" customHeight="1" x14ac:dyDescent="0.25">
      <c r="A66" s="1448"/>
      <c r="B66" s="1428"/>
      <c r="C66" s="1428"/>
      <c r="D66" s="1428"/>
      <c r="E66" s="1427"/>
      <c r="F66" s="176"/>
      <c r="G66" s="123"/>
      <c r="M66" s="80"/>
      <c r="N66" s="80"/>
      <c r="O66" s="80"/>
      <c r="Q66" s="80"/>
      <c r="R66" s="80"/>
      <c r="S66" s="80"/>
      <c r="T66" s="80"/>
      <c r="U66" s="80"/>
      <c r="V66" s="80"/>
      <c r="W66" s="80"/>
      <c r="X66" s="80"/>
    </row>
    <row r="67" spans="1:24" ht="18" customHeight="1" x14ac:dyDescent="0.25">
      <c r="A67" s="1448"/>
      <c r="B67" s="1428"/>
      <c r="C67" s="1428"/>
      <c r="D67" s="1428"/>
      <c r="E67" s="1427"/>
      <c r="F67" s="176"/>
      <c r="G67" s="123"/>
      <c r="M67" s="80"/>
      <c r="N67" s="80"/>
      <c r="O67" s="80"/>
      <c r="Q67" s="80"/>
      <c r="R67" s="80"/>
      <c r="S67" s="80"/>
      <c r="T67" s="80"/>
      <c r="U67" s="80"/>
      <c r="V67" s="80"/>
      <c r="W67" s="80"/>
      <c r="X67" s="80"/>
    </row>
    <row r="68" spans="1:24" ht="18" customHeight="1" thickBot="1" x14ac:dyDescent="0.3">
      <c r="A68" s="1449"/>
      <c r="B68" s="1432"/>
      <c r="C68" s="1432"/>
      <c r="D68" s="1432"/>
      <c r="E68" s="1431"/>
      <c r="F68" s="177"/>
      <c r="G68" s="123"/>
      <c r="M68" s="80"/>
      <c r="N68" s="80"/>
      <c r="O68" s="80"/>
      <c r="Q68" s="80"/>
      <c r="R68" s="80"/>
      <c r="S68" s="80"/>
      <c r="T68" s="80"/>
      <c r="U68" s="80"/>
      <c r="V68" s="80"/>
      <c r="W68" s="80"/>
      <c r="X68" s="80"/>
    </row>
    <row r="69" spans="1:24" ht="18" customHeight="1" x14ac:dyDescent="0.25">
      <c r="A69" s="1024" t="s">
        <v>1726</v>
      </c>
      <c r="B69" s="1450"/>
      <c r="C69" s="1451" t="str">
        <f>IF(ISBLANK('Section 9| Compliance Plan'!B21),"",'Section 9| Compliance Plan'!B21)</f>
        <v/>
      </c>
      <c r="D69" s="1452"/>
      <c r="E69" s="1452"/>
      <c r="F69" s="1453"/>
      <c r="G69" s="123"/>
      <c r="M69" s="80"/>
      <c r="N69" s="80"/>
      <c r="O69" s="80"/>
      <c r="Q69" s="80"/>
      <c r="R69" s="80"/>
      <c r="S69" s="80"/>
      <c r="T69" s="80"/>
      <c r="U69" s="80"/>
      <c r="V69" s="80"/>
      <c r="W69" s="80"/>
      <c r="X69" s="80"/>
    </row>
    <row r="70" spans="1:24" ht="18" customHeight="1" x14ac:dyDescent="0.25">
      <c r="A70" s="1032" t="s">
        <v>1727</v>
      </c>
      <c r="B70" s="1434"/>
      <c r="C70" s="1435" t="str">
        <f>IF(ISBLANK('Section 9| Compliance Plan'!A21),"",'Section 9| Compliance Plan'!A21)</f>
        <v/>
      </c>
      <c r="D70" s="1436"/>
      <c r="E70" s="1436"/>
      <c r="F70" s="1437"/>
      <c r="G70" s="123"/>
      <c r="M70" s="80"/>
      <c r="N70" s="80"/>
      <c r="O70" s="80"/>
      <c r="Q70" s="80"/>
      <c r="R70" s="80"/>
      <c r="S70" s="80"/>
      <c r="T70" s="80"/>
      <c r="U70" s="80"/>
      <c r="V70" s="80"/>
      <c r="W70" s="80"/>
      <c r="X70" s="80"/>
    </row>
    <row r="71" spans="1:24" ht="18" customHeight="1" x14ac:dyDescent="0.25">
      <c r="A71" s="1438" t="s">
        <v>1728</v>
      </c>
      <c r="B71" s="1439"/>
      <c r="C71" s="1439"/>
      <c r="D71" s="1439"/>
      <c r="E71" s="1439"/>
      <c r="F71" s="1440"/>
      <c r="G71" s="123"/>
      <c r="M71" s="80"/>
      <c r="N71" s="80"/>
      <c r="O71" s="80"/>
      <c r="Q71" s="80"/>
      <c r="R71" s="80"/>
      <c r="S71" s="80"/>
      <c r="T71" s="80"/>
      <c r="U71" s="80"/>
      <c r="V71" s="80"/>
      <c r="W71" s="80"/>
      <c r="X71" s="80"/>
    </row>
    <row r="72" spans="1:24" ht="65.099999999999994" customHeight="1" x14ac:dyDescent="0.25">
      <c r="A72" s="1441"/>
      <c r="B72" s="1442"/>
      <c r="C72" s="1442"/>
      <c r="D72" s="1442"/>
      <c r="E72" s="1442"/>
      <c r="F72" s="1443"/>
      <c r="G72" s="123"/>
      <c r="M72" s="80"/>
      <c r="N72" s="80"/>
      <c r="O72" s="80"/>
      <c r="Q72" s="80"/>
      <c r="R72" s="80"/>
      <c r="S72" s="80"/>
      <c r="T72" s="80"/>
      <c r="U72" s="80"/>
      <c r="V72" s="80"/>
      <c r="W72" s="80"/>
      <c r="X72" s="80"/>
    </row>
    <row r="73" spans="1:24" ht="18" customHeight="1" x14ac:dyDescent="0.25">
      <c r="A73" s="1438" t="s">
        <v>1729</v>
      </c>
      <c r="B73" s="1439"/>
      <c r="C73" s="1439"/>
      <c r="D73" s="1439"/>
      <c r="E73" s="1439"/>
      <c r="F73" s="1440"/>
      <c r="G73" s="123"/>
      <c r="M73" s="80"/>
      <c r="N73" s="80"/>
      <c r="O73" s="80"/>
      <c r="Q73" s="80"/>
      <c r="R73" s="80"/>
      <c r="S73" s="80"/>
      <c r="T73" s="80"/>
      <c r="U73" s="80"/>
      <c r="V73" s="80"/>
      <c r="W73" s="80"/>
      <c r="X73" s="80"/>
    </row>
    <row r="74" spans="1:24" ht="18" customHeight="1" x14ac:dyDescent="0.25">
      <c r="A74" s="1444" t="s">
        <v>1730</v>
      </c>
      <c r="B74" s="1445"/>
      <c r="C74" s="1445"/>
      <c r="D74" s="1445"/>
      <c r="E74" s="1446"/>
      <c r="F74" s="178" t="s">
        <v>1731</v>
      </c>
      <c r="G74" s="123"/>
      <c r="M74" s="80"/>
      <c r="N74" s="80"/>
      <c r="O74" s="80"/>
      <c r="Q74" s="80"/>
      <c r="R74" s="80"/>
      <c r="S74" s="80"/>
      <c r="T74" s="80"/>
      <c r="U74" s="80"/>
      <c r="V74" s="80"/>
      <c r="W74" s="80"/>
      <c r="X74" s="80"/>
    </row>
    <row r="75" spans="1:24" ht="18" customHeight="1" x14ac:dyDescent="0.25">
      <c r="A75" s="1447"/>
      <c r="B75" s="1424"/>
      <c r="C75" s="1424"/>
      <c r="D75" s="1424"/>
      <c r="E75" s="1423"/>
      <c r="F75" s="175"/>
      <c r="G75" s="123"/>
      <c r="M75" s="80"/>
      <c r="N75" s="80"/>
      <c r="O75" s="80"/>
      <c r="Q75" s="80"/>
      <c r="R75" s="80"/>
      <c r="S75" s="80"/>
      <c r="T75" s="80"/>
      <c r="U75" s="80"/>
      <c r="V75" s="80"/>
      <c r="W75" s="80"/>
      <c r="X75" s="80"/>
    </row>
    <row r="76" spans="1:24" ht="18" customHeight="1" x14ac:dyDescent="0.25">
      <c r="A76" s="1448"/>
      <c r="B76" s="1428"/>
      <c r="C76" s="1428"/>
      <c r="D76" s="1428"/>
      <c r="E76" s="1427"/>
      <c r="F76" s="176"/>
      <c r="G76" s="123"/>
      <c r="M76" s="80"/>
      <c r="N76" s="80"/>
      <c r="O76" s="80"/>
      <c r="Q76" s="80"/>
      <c r="R76" s="80"/>
      <c r="S76" s="80"/>
      <c r="T76" s="80"/>
      <c r="U76" s="80"/>
      <c r="V76" s="80"/>
      <c r="W76" s="80"/>
      <c r="X76" s="80"/>
    </row>
    <row r="77" spans="1:24" ht="18" customHeight="1" x14ac:dyDescent="0.25">
      <c r="A77" s="1448"/>
      <c r="B77" s="1428"/>
      <c r="C77" s="1428"/>
      <c r="D77" s="1428"/>
      <c r="E77" s="1427"/>
      <c r="F77" s="176"/>
      <c r="G77" s="123"/>
      <c r="M77" s="80"/>
      <c r="N77" s="80"/>
      <c r="O77" s="80"/>
      <c r="Q77" s="80"/>
      <c r="R77" s="80"/>
      <c r="S77" s="80"/>
      <c r="T77" s="80"/>
      <c r="U77" s="80"/>
      <c r="V77" s="80"/>
      <c r="W77" s="80"/>
      <c r="X77" s="80"/>
    </row>
    <row r="78" spans="1:24" ht="18" customHeight="1" x14ac:dyDescent="0.25">
      <c r="A78" s="1448"/>
      <c r="B78" s="1428"/>
      <c r="C78" s="1428"/>
      <c r="D78" s="1428"/>
      <c r="E78" s="1427"/>
      <c r="F78" s="176"/>
      <c r="G78" s="123"/>
      <c r="M78" s="80"/>
      <c r="N78" s="80"/>
      <c r="O78" s="80"/>
      <c r="Q78" s="80"/>
      <c r="R78" s="80"/>
      <c r="S78" s="80"/>
      <c r="T78" s="80"/>
      <c r="U78" s="80"/>
      <c r="V78" s="80"/>
      <c r="W78" s="80"/>
      <c r="X78" s="80"/>
    </row>
    <row r="79" spans="1:24" ht="18" customHeight="1" x14ac:dyDescent="0.25">
      <c r="A79" s="1448"/>
      <c r="B79" s="1428"/>
      <c r="C79" s="1428"/>
      <c r="D79" s="1428"/>
      <c r="E79" s="1427"/>
      <c r="F79" s="176"/>
      <c r="G79" s="123"/>
      <c r="M79" s="80"/>
      <c r="N79" s="80"/>
      <c r="O79" s="80"/>
      <c r="Q79" s="80"/>
      <c r="R79" s="80"/>
      <c r="S79" s="80"/>
      <c r="T79" s="80"/>
      <c r="U79" s="80"/>
      <c r="V79" s="80"/>
      <c r="W79" s="80"/>
      <c r="X79" s="80"/>
    </row>
    <row r="80" spans="1:24" ht="18" customHeight="1" thickBot="1" x14ac:dyDescent="0.3">
      <c r="A80" s="1449"/>
      <c r="B80" s="1432"/>
      <c r="C80" s="1432"/>
      <c r="D80" s="1432"/>
      <c r="E80" s="1431"/>
      <c r="F80" s="177"/>
      <c r="G80" s="123"/>
      <c r="M80" s="80"/>
      <c r="N80" s="80"/>
      <c r="O80" s="80"/>
      <c r="Q80" s="80"/>
      <c r="R80" s="80"/>
      <c r="S80" s="80"/>
      <c r="T80" s="80"/>
      <c r="U80" s="80"/>
      <c r="V80" s="80"/>
      <c r="W80" s="80"/>
      <c r="X80" s="80"/>
    </row>
    <row r="81" spans="1:24" ht="18" customHeight="1" x14ac:dyDescent="0.25">
      <c r="A81" s="1024" t="s">
        <v>1726</v>
      </c>
      <c r="B81" s="1450"/>
      <c r="C81" s="1451" t="str">
        <f>IF(ISBLANK('Section 9| Compliance Plan'!B22),"",'Section 9| Compliance Plan'!B22)</f>
        <v/>
      </c>
      <c r="D81" s="1452"/>
      <c r="E81" s="1452"/>
      <c r="F81" s="1453"/>
      <c r="G81" s="123"/>
      <c r="M81" s="80"/>
      <c r="N81" s="80"/>
      <c r="O81" s="80"/>
      <c r="Q81" s="80"/>
      <c r="R81" s="80"/>
      <c r="S81" s="80"/>
      <c r="T81" s="80"/>
      <c r="U81" s="80"/>
      <c r="V81" s="80"/>
      <c r="W81" s="80"/>
      <c r="X81" s="80"/>
    </row>
    <row r="82" spans="1:24" ht="18" customHeight="1" x14ac:dyDescent="0.25">
      <c r="A82" s="1032" t="s">
        <v>1727</v>
      </c>
      <c r="B82" s="1434"/>
      <c r="C82" s="1435" t="str">
        <f>IF(ISBLANK('Section 9| Compliance Plan'!A22),"",'Section 9| Compliance Plan'!A22)</f>
        <v/>
      </c>
      <c r="D82" s="1436"/>
      <c r="E82" s="1436"/>
      <c r="F82" s="1437"/>
      <c r="G82" s="123"/>
      <c r="M82" s="80"/>
      <c r="N82" s="80"/>
      <c r="O82" s="80"/>
      <c r="Q82" s="80"/>
      <c r="R82" s="80"/>
      <c r="S82" s="80"/>
      <c r="T82" s="80"/>
      <c r="U82" s="80"/>
      <c r="V82" s="80"/>
      <c r="W82" s="80"/>
      <c r="X82" s="80"/>
    </row>
    <row r="83" spans="1:24" ht="18" customHeight="1" x14ac:dyDescent="0.25">
      <c r="A83" s="1438" t="s">
        <v>1728</v>
      </c>
      <c r="B83" s="1439"/>
      <c r="C83" s="1439"/>
      <c r="D83" s="1439"/>
      <c r="E83" s="1439"/>
      <c r="F83" s="1440"/>
      <c r="G83" s="123"/>
      <c r="M83" s="80"/>
      <c r="N83" s="80"/>
      <c r="O83" s="80"/>
      <c r="Q83" s="80"/>
      <c r="R83" s="80"/>
      <c r="S83" s="80"/>
      <c r="T83" s="80"/>
      <c r="U83" s="80"/>
      <c r="V83" s="80"/>
      <c r="W83" s="80"/>
      <c r="X83" s="80"/>
    </row>
    <row r="84" spans="1:24" ht="65.099999999999994" customHeight="1" x14ac:dyDescent="0.25">
      <c r="A84" s="1441"/>
      <c r="B84" s="1442"/>
      <c r="C84" s="1442"/>
      <c r="D84" s="1442"/>
      <c r="E84" s="1442"/>
      <c r="F84" s="1443"/>
      <c r="G84" s="123"/>
      <c r="M84" s="80"/>
      <c r="N84" s="80"/>
      <c r="O84" s="80"/>
      <c r="Q84" s="80"/>
      <c r="R84" s="80"/>
      <c r="S84" s="80"/>
      <c r="T84" s="80"/>
      <c r="U84" s="80"/>
      <c r="V84" s="80"/>
      <c r="W84" s="80"/>
      <c r="X84" s="80"/>
    </row>
    <row r="85" spans="1:24" ht="18" customHeight="1" x14ac:dyDescent="0.25">
      <c r="A85" s="1438" t="s">
        <v>1729</v>
      </c>
      <c r="B85" s="1439"/>
      <c r="C85" s="1439"/>
      <c r="D85" s="1439"/>
      <c r="E85" s="1439"/>
      <c r="F85" s="1440"/>
      <c r="G85" s="123"/>
      <c r="M85" s="80"/>
      <c r="N85" s="80"/>
      <c r="O85" s="80"/>
      <c r="Q85" s="80"/>
      <c r="R85" s="80"/>
      <c r="S85" s="80"/>
      <c r="T85" s="80"/>
      <c r="U85" s="80"/>
      <c r="V85" s="80"/>
      <c r="W85" s="80"/>
      <c r="X85" s="80"/>
    </row>
    <row r="86" spans="1:24" ht="18" customHeight="1" x14ac:dyDescent="0.25">
      <c r="A86" s="1444" t="s">
        <v>1730</v>
      </c>
      <c r="B86" s="1445"/>
      <c r="C86" s="1445"/>
      <c r="D86" s="1445"/>
      <c r="E86" s="1446"/>
      <c r="F86" s="178" t="s">
        <v>1731</v>
      </c>
      <c r="G86" s="123"/>
      <c r="M86" s="80"/>
      <c r="N86" s="80"/>
      <c r="O86" s="80"/>
      <c r="Q86" s="80"/>
      <c r="R86" s="80"/>
      <c r="S86" s="80"/>
      <c r="T86" s="80"/>
      <c r="U86" s="80"/>
      <c r="V86" s="80"/>
      <c r="W86" s="80"/>
      <c r="X86" s="80"/>
    </row>
    <row r="87" spans="1:24" ht="18" customHeight="1" x14ac:dyDescent="0.25">
      <c r="A87" s="1447"/>
      <c r="B87" s="1424"/>
      <c r="C87" s="1424"/>
      <c r="D87" s="1424"/>
      <c r="E87" s="1423"/>
      <c r="F87" s="175"/>
      <c r="G87" s="123"/>
      <c r="M87" s="80"/>
      <c r="N87" s="80"/>
      <c r="O87" s="80"/>
      <c r="Q87" s="80"/>
      <c r="R87" s="80"/>
      <c r="S87" s="80"/>
      <c r="T87" s="80"/>
      <c r="U87" s="80"/>
      <c r="V87" s="80"/>
      <c r="W87" s="80"/>
      <c r="X87" s="80"/>
    </row>
    <row r="88" spans="1:24" ht="18" customHeight="1" x14ac:dyDescent="0.25">
      <c r="A88" s="1448"/>
      <c r="B88" s="1428"/>
      <c r="C88" s="1428"/>
      <c r="D88" s="1428"/>
      <c r="E88" s="1427"/>
      <c r="F88" s="176"/>
      <c r="G88" s="123"/>
      <c r="M88" s="80"/>
      <c r="N88" s="80"/>
      <c r="O88" s="80"/>
      <c r="Q88" s="80"/>
      <c r="R88" s="80"/>
      <c r="S88" s="80"/>
      <c r="T88" s="80"/>
      <c r="U88" s="80"/>
      <c r="V88" s="80"/>
      <c r="W88" s="80"/>
      <c r="X88" s="80"/>
    </row>
    <row r="89" spans="1:24" ht="18" customHeight="1" x14ac:dyDescent="0.25">
      <c r="A89" s="1448"/>
      <c r="B89" s="1428"/>
      <c r="C89" s="1428"/>
      <c r="D89" s="1428"/>
      <c r="E89" s="1427"/>
      <c r="F89" s="176"/>
      <c r="G89" s="123"/>
      <c r="M89" s="80"/>
      <c r="N89" s="80"/>
      <c r="O89" s="80"/>
      <c r="Q89" s="80"/>
      <c r="R89" s="80"/>
      <c r="S89" s="80"/>
      <c r="T89" s="80"/>
      <c r="U89" s="80"/>
      <c r="V89" s="80"/>
      <c r="W89" s="80"/>
      <c r="X89" s="80"/>
    </row>
    <row r="90" spans="1:24" ht="18" customHeight="1" x14ac:dyDescent="0.25">
      <c r="A90" s="1448"/>
      <c r="B90" s="1428"/>
      <c r="C90" s="1428"/>
      <c r="D90" s="1428"/>
      <c r="E90" s="1427"/>
      <c r="F90" s="176"/>
      <c r="G90" s="123"/>
      <c r="M90" s="80"/>
      <c r="N90" s="80"/>
      <c r="O90" s="80"/>
      <c r="Q90" s="80"/>
      <c r="R90" s="80"/>
      <c r="S90" s="80"/>
      <c r="T90" s="80"/>
      <c r="U90" s="80"/>
      <c r="V90" s="80"/>
      <c r="W90" s="80"/>
      <c r="X90" s="80"/>
    </row>
    <row r="91" spans="1:24" ht="18" customHeight="1" x14ac:dyDescent="0.25">
      <c r="A91" s="1448"/>
      <c r="B91" s="1428"/>
      <c r="C91" s="1428"/>
      <c r="D91" s="1428"/>
      <c r="E91" s="1427"/>
      <c r="F91" s="176"/>
      <c r="G91" s="123"/>
      <c r="M91" s="80"/>
      <c r="N91" s="80"/>
      <c r="O91" s="80"/>
      <c r="Q91" s="80"/>
      <c r="R91" s="80"/>
      <c r="S91" s="80"/>
      <c r="T91" s="80"/>
      <c r="U91" s="80"/>
      <c r="V91" s="80"/>
      <c r="W91" s="80"/>
      <c r="X91" s="80"/>
    </row>
    <row r="92" spans="1:24" ht="18" customHeight="1" thickBot="1" x14ac:dyDescent="0.3">
      <c r="A92" s="1449"/>
      <c r="B92" s="1432"/>
      <c r="C92" s="1432"/>
      <c r="D92" s="1432"/>
      <c r="E92" s="1431"/>
      <c r="F92" s="177"/>
      <c r="G92" s="123"/>
      <c r="M92" s="80"/>
      <c r="N92" s="80"/>
      <c r="O92" s="80"/>
      <c r="Q92" s="80"/>
      <c r="R92" s="80"/>
      <c r="S92" s="80"/>
      <c r="T92" s="80"/>
      <c r="U92" s="80"/>
      <c r="V92" s="80"/>
      <c r="W92" s="80"/>
      <c r="X92" s="80"/>
    </row>
    <row r="93" spans="1:24" ht="18" customHeight="1" x14ac:dyDescent="0.25">
      <c r="A93" s="1024" t="s">
        <v>1726</v>
      </c>
      <c r="B93" s="1450"/>
      <c r="C93" s="1451" t="str">
        <f>IF(ISBLANK('Section 9| Compliance Plan'!B23),"",'Section 9| Compliance Plan'!B23)</f>
        <v/>
      </c>
      <c r="D93" s="1452"/>
      <c r="E93" s="1452"/>
      <c r="F93" s="1453"/>
      <c r="G93" s="123"/>
      <c r="M93" s="80"/>
      <c r="N93" s="80"/>
      <c r="O93" s="80"/>
      <c r="Q93" s="80"/>
      <c r="R93" s="80"/>
      <c r="S93" s="80"/>
      <c r="T93" s="80"/>
      <c r="U93" s="80"/>
      <c r="V93" s="80"/>
      <c r="W93" s="80"/>
      <c r="X93" s="80"/>
    </row>
    <row r="94" spans="1:24" ht="18" customHeight="1" x14ac:dyDescent="0.25">
      <c r="A94" s="1032" t="s">
        <v>1727</v>
      </c>
      <c r="B94" s="1434"/>
      <c r="C94" s="1435" t="str">
        <f>IF(ISBLANK('Section 9| Compliance Plan'!A23),"",'Section 9| Compliance Plan'!A23)</f>
        <v/>
      </c>
      <c r="D94" s="1436"/>
      <c r="E94" s="1436"/>
      <c r="F94" s="1437"/>
      <c r="G94" s="123"/>
      <c r="M94" s="80"/>
      <c r="N94" s="80"/>
      <c r="O94" s="80"/>
      <c r="Q94" s="80"/>
      <c r="R94" s="80"/>
      <c r="S94" s="80"/>
      <c r="T94" s="80"/>
      <c r="U94" s="80"/>
      <c r="V94" s="80"/>
      <c r="W94" s="80"/>
      <c r="X94" s="80"/>
    </row>
    <row r="95" spans="1:24" ht="18" customHeight="1" x14ac:dyDescent="0.25">
      <c r="A95" s="1438" t="s">
        <v>1728</v>
      </c>
      <c r="B95" s="1439"/>
      <c r="C95" s="1439"/>
      <c r="D95" s="1439"/>
      <c r="E95" s="1439"/>
      <c r="F95" s="1440"/>
      <c r="G95" s="123"/>
      <c r="M95" s="80"/>
      <c r="N95" s="80"/>
      <c r="O95" s="80"/>
      <c r="Q95" s="80"/>
      <c r="R95" s="80"/>
      <c r="S95" s="80"/>
      <c r="T95" s="80"/>
      <c r="U95" s="80"/>
      <c r="V95" s="80"/>
      <c r="W95" s="80"/>
      <c r="X95" s="80"/>
    </row>
    <row r="96" spans="1:24" ht="65.099999999999994" customHeight="1" x14ac:dyDescent="0.25">
      <c r="A96" s="1441"/>
      <c r="B96" s="1442"/>
      <c r="C96" s="1442"/>
      <c r="D96" s="1442"/>
      <c r="E96" s="1442"/>
      <c r="F96" s="1443"/>
      <c r="G96" s="123"/>
      <c r="M96" s="80"/>
      <c r="N96" s="80"/>
      <c r="O96" s="80"/>
      <c r="Q96" s="80"/>
      <c r="R96" s="80"/>
      <c r="S96" s="80"/>
      <c r="T96" s="80"/>
      <c r="U96" s="80"/>
      <c r="V96" s="80"/>
      <c r="W96" s="80"/>
      <c r="X96" s="80"/>
    </row>
    <row r="97" spans="1:24" ht="18" customHeight="1" x14ac:dyDescent="0.25">
      <c r="A97" s="1438" t="s">
        <v>1729</v>
      </c>
      <c r="B97" s="1439"/>
      <c r="C97" s="1439"/>
      <c r="D97" s="1439"/>
      <c r="E97" s="1439"/>
      <c r="F97" s="1440"/>
      <c r="G97" s="123"/>
      <c r="M97" s="80"/>
      <c r="N97" s="80"/>
      <c r="O97" s="80"/>
      <c r="Q97" s="80"/>
      <c r="R97" s="80"/>
      <c r="S97" s="80"/>
      <c r="T97" s="80"/>
      <c r="U97" s="80"/>
      <c r="V97" s="80"/>
      <c r="W97" s="80"/>
      <c r="X97" s="80"/>
    </row>
    <row r="98" spans="1:24" ht="18" customHeight="1" x14ac:dyDescent="0.25">
      <c r="A98" s="1444" t="s">
        <v>1730</v>
      </c>
      <c r="B98" s="1445"/>
      <c r="C98" s="1445"/>
      <c r="D98" s="1445"/>
      <c r="E98" s="1446"/>
      <c r="F98" s="178" t="s">
        <v>1731</v>
      </c>
      <c r="G98" s="123"/>
      <c r="M98" s="80"/>
      <c r="N98" s="80"/>
      <c r="O98" s="80"/>
      <c r="Q98" s="80"/>
      <c r="R98" s="80"/>
      <c r="S98" s="80"/>
      <c r="T98" s="80"/>
      <c r="U98" s="80"/>
      <c r="V98" s="80"/>
      <c r="W98" s="80"/>
      <c r="X98" s="80"/>
    </row>
    <row r="99" spans="1:24" ht="18" customHeight="1" x14ac:dyDescent="0.25">
      <c r="A99" s="1447"/>
      <c r="B99" s="1424"/>
      <c r="C99" s="1424"/>
      <c r="D99" s="1424"/>
      <c r="E99" s="1423"/>
      <c r="F99" s="175"/>
      <c r="G99" s="123"/>
      <c r="M99" s="80"/>
      <c r="N99" s="80"/>
      <c r="O99" s="80"/>
      <c r="Q99" s="80"/>
      <c r="R99" s="80"/>
      <c r="S99" s="80"/>
      <c r="T99" s="80"/>
      <c r="U99" s="80"/>
      <c r="V99" s="80"/>
      <c r="W99" s="80"/>
      <c r="X99" s="80"/>
    </row>
    <row r="100" spans="1:24" ht="18" customHeight="1" x14ac:dyDescent="0.25">
      <c r="A100" s="1448"/>
      <c r="B100" s="1428"/>
      <c r="C100" s="1428"/>
      <c r="D100" s="1428"/>
      <c r="E100" s="1427"/>
      <c r="F100" s="176"/>
      <c r="G100" s="123"/>
      <c r="M100" s="80"/>
      <c r="N100" s="80"/>
      <c r="O100" s="80"/>
      <c r="Q100" s="80"/>
      <c r="R100" s="80"/>
      <c r="S100" s="80"/>
      <c r="T100" s="80"/>
      <c r="U100" s="80"/>
      <c r="V100" s="80"/>
      <c r="W100" s="80"/>
      <c r="X100" s="80"/>
    </row>
    <row r="101" spans="1:24" ht="18" customHeight="1" x14ac:dyDescent="0.25">
      <c r="A101" s="1448"/>
      <c r="B101" s="1428"/>
      <c r="C101" s="1428"/>
      <c r="D101" s="1428"/>
      <c r="E101" s="1427"/>
      <c r="F101" s="176"/>
      <c r="G101" s="123"/>
      <c r="M101" s="80"/>
      <c r="N101" s="80"/>
      <c r="O101" s="80"/>
      <c r="Q101" s="80"/>
      <c r="R101" s="80"/>
      <c r="S101" s="80"/>
      <c r="T101" s="80"/>
      <c r="U101" s="80"/>
      <c r="V101" s="80"/>
      <c r="W101" s="80"/>
      <c r="X101" s="80"/>
    </row>
    <row r="102" spans="1:24" ht="18" customHeight="1" x14ac:dyDescent="0.25">
      <c r="A102" s="1448"/>
      <c r="B102" s="1428"/>
      <c r="C102" s="1428"/>
      <c r="D102" s="1428"/>
      <c r="E102" s="1427"/>
      <c r="F102" s="176"/>
      <c r="G102" s="123"/>
      <c r="M102" s="80"/>
      <c r="N102" s="80"/>
      <c r="O102" s="80"/>
      <c r="Q102" s="80"/>
      <c r="R102" s="80"/>
      <c r="S102" s="80"/>
      <c r="T102" s="80"/>
      <c r="U102" s="80"/>
      <c r="V102" s="80"/>
      <c r="W102" s="80"/>
      <c r="X102" s="80"/>
    </row>
    <row r="103" spans="1:24" ht="18" customHeight="1" x14ac:dyDescent="0.25">
      <c r="A103" s="1448"/>
      <c r="B103" s="1428"/>
      <c r="C103" s="1428"/>
      <c r="D103" s="1428"/>
      <c r="E103" s="1427"/>
      <c r="F103" s="176"/>
      <c r="G103" s="123"/>
      <c r="M103" s="80"/>
      <c r="N103" s="80"/>
      <c r="O103" s="80"/>
      <c r="Q103" s="80"/>
      <c r="R103" s="80"/>
      <c r="S103" s="80"/>
      <c r="T103" s="80"/>
      <c r="U103" s="80"/>
      <c r="V103" s="80"/>
      <c r="W103" s="80"/>
      <c r="X103" s="80"/>
    </row>
    <row r="104" spans="1:24" ht="18" customHeight="1" thickBot="1" x14ac:dyDescent="0.3">
      <c r="A104" s="1449"/>
      <c r="B104" s="1432"/>
      <c r="C104" s="1432"/>
      <c r="D104" s="1432"/>
      <c r="E104" s="1431"/>
      <c r="F104" s="177"/>
      <c r="G104" s="123"/>
      <c r="M104" s="80"/>
      <c r="N104" s="80"/>
      <c r="O104" s="80"/>
      <c r="Q104" s="80"/>
      <c r="R104" s="80"/>
      <c r="S104" s="80"/>
      <c r="T104" s="80"/>
      <c r="U104" s="80"/>
      <c r="V104" s="80"/>
      <c r="W104" s="80"/>
      <c r="X104" s="80"/>
    </row>
    <row r="105" spans="1:24" ht="18" customHeight="1" x14ac:dyDescent="0.25">
      <c r="A105" s="1024" t="s">
        <v>1726</v>
      </c>
      <c r="B105" s="1450"/>
      <c r="C105" s="1451" t="str">
        <f>IF(ISBLANK('Section 9| Compliance Plan'!B24),"",'Section 9| Compliance Plan'!B24)</f>
        <v/>
      </c>
      <c r="D105" s="1452"/>
      <c r="E105" s="1452"/>
      <c r="F105" s="1453"/>
      <c r="G105" s="123"/>
      <c r="M105" s="80"/>
      <c r="N105" s="80"/>
      <c r="O105" s="80"/>
      <c r="Q105" s="80"/>
      <c r="R105" s="80"/>
      <c r="S105" s="80"/>
      <c r="T105" s="80"/>
      <c r="U105" s="80"/>
      <c r="V105" s="80"/>
      <c r="W105" s="80"/>
      <c r="X105" s="80"/>
    </row>
    <row r="106" spans="1:24" ht="18" customHeight="1" x14ac:dyDescent="0.25">
      <c r="A106" s="1032" t="s">
        <v>1727</v>
      </c>
      <c r="B106" s="1434"/>
      <c r="C106" s="1435" t="str">
        <f>IF(ISBLANK('Section 9| Compliance Plan'!A24),"",'Section 9| Compliance Plan'!A24)</f>
        <v/>
      </c>
      <c r="D106" s="1436"/>
      <c r="E106" s="1436"/>
      <c r="F106" s="1437"/>
      <c r="G106" s="123"/>
      <c r="M106" s="80"/>
      <c r="N106" s="80"/>
      <c r="O106" s="80"/>
      <c r="Q106" s="80"/>
      <c r="R106" s="80"/>
      <c r="S106" s="80"/>
      <c r="T106" s="80"/>
      <c r="U106" s="80"/>
      <c r="V106" s="80"/>
      <c r="W106" s="80"/>
      <c r="X106" s="80"/>
    </row>
    <row r="107" spans="1:24" ht="18" customHeight="1" x14ac:dyDescent="0.25">
      <c r="A107" s="1438" t="s">
        <v>1728</v>
      </c>
      <c r="B107" s="1439"/>
      <c r="C107" s="1439"/>
      <c r="D107" s="1439"/>
      <c r="E107" s="1439"/>
      <c r="F107" s="1440"/>
      <c r="G107" s="123"/>
      <c r="M107" s="80"/>
      <c r="N107" s="80"/>
      <c r="O107" s="80"/>
      <c r="Q107" s="80"/>
      <c r="R107" s="80"/>
      <c r="S107" s="80"/>
      <c r="T107" s="80"/>
      <c r="U107" s="80"/>
      <c r="V107" s="80"/>
      <c r="W107" s="80"/>
      <c r="X107" s="80"/>
    </row>
    <row r="108" spans="1:24" ht="65.099999999999994" customHeight="1" x14ac:dyDescent="0.25">
      <c r="A108" s="1441"/>
      <c r="B108" s="1442"/>
      <c r="C108" s="1442"/>
      <c r="D108" s="1442"/>
      <c r="E108" s="1442"/>
      <c r="F108" s="1443"/>
      <c r="G108" s="123"/>
      <c r="M108" s="80"/>
      <c r="N108" s="80"/>
      <c r="O108" s="80"/>
      <c r="Q108" s="80"/>
      <c r="R108" s="80"/>
      <c r="S108" s="80"/>
      <c r="T108" s="80"/>
      <c r="U108" s="80"/>
      <c r="V108" s="80"/>
      <c r="W108" s="80"/>
      <c r="X108" s="80"/>
    </row>
    <row r="109" spans="1:24" ht="18" customHeight="1" x14ac:dyDescent="0.25">
      <c r="A109" s="1438" t="s">
        <v>1729</v>
      </c>
      <c r="B109" s="1439"/>
      <c r="C109" s="1439"/>
      <c r="D109" s="1439"/>
      <c r="E109" s="1439"/>
      <c r="F109" s="1440"/>
      <c r="G109" s="123"/>
      <c r="M109" s="80"/>
      <c r="N109" s="80"/>
      <c r="O109" s="80"/>
      <c r="Q109" s="80"/>
      <c r="R109" s="80"/>
      <c r="S109" s="80"/>
      <c r="T109" s="80"/>
      <c r="U109" s="80"/>
      <c r="V109" s="80"/>
      <c r="W109" s="80"/>
      <c r="X109" s="80"/>
    </row>
    <row r="110" spans="1:24" ht="18" customHeight="1" x14ac:dyDescent="0.25">
      <c r="A110" s="1444" t="s">
        <v>1730</v>
      </c>
      <c r="B110" s="1445"/>
      <c r="C110" s="1445"/>
      <c r="D110" s="1445"/>
      <c r="E110" s="1446"/>
      <c r="F110" s="178" t="s">
        <v>1731</v>
      </c>
      <c r="G110" s="123"/>
      <c r="M110" s="80"/>
      <c r="N110" s="80"/>
      <c r="O110" s="80"/>
      <c r="Q110" s="80"/>
      <c r="R110" s="80"/>
      <c r="S110" s="80"/>
      <c r="T110" s="80"/>
      <c r="U110" s="80"/>
      <c r="V110" s="80"/>
      <c r="W110" s="80"/>
      <c r="X110" s="80"/>
    </row>
    <row r="111" spans="1:24" ht="18" customHeight="1" x14ac:dyDescent="0.25">
      <c r="A111" s="1447"/>
      <c r="B111" s="1424"/>
      <c r="C111" s="1424"/>
      <c r="D111" s="1424"/>
      <c r="E111" s="1423"/>
      <c r="F111" s="175"/>
      <c r="G111" s="123"/>
      <c r="M111" s="80"/>
      <c r="N111" s="80"/>
      <c r="O111" s="80"/>
      <c r="Q111" s="80"/>
      <c r="R111" s="80"/>
      <c r="S111" s="80"/>
      <c r="T111" s="80"/>
      <c r="U111" s="80"/>
      <c r="V111" s="80"/>
      <c r="W111" s="80"/>
      <c r="X111" s="80"/>
    </row>
    <row r="112" spans="1:24" ht="18" customHeight="1" x14ac:dyDescent="0.25">
      <c r="A112" s="1448"/>
      <c r="B112" s="1428"/>
      <c r="C112" s="1428"/>
      <c r="D112" s="1428"/>
      <c r="E112" s="1427"/>
      <c r="F112" s="176"/>
      <c r="G112" s="123"/>
      <c r="M112" s="80"/>
      <c r="N112" s="80"/>
      <c r="O112" s="80"/>
      <c r="Q112" s="80"/>
      <c r="R112" s="80"/>
      <c r="S112" s="80"/>
      <c r="T112" s="80"/>
      <c r="U112" s="80"/>
      <c r="V112" s="80"/>
      <c r="W112" s="80"/>
      <c r="X112" s="80"/>
    </row>
    <row r="113" spans="1:24" ht="18" customHeight="1" x14ac:dyDescent="0.25">
      <c r="A113" s="1448"/>
      <c r="B113" s="1428"/>
      <c r="C113" s="1428"/>
      <c r="D113" s="1428"/>
      <c r="E113" s="1427"/>
      <c r="F113" s="176"/>
      <c r="G113" s="123"/>
      <c r="M113" s="80"/>
      <c r="N113" s="80"/>
      <c r="O113" s="80"/>
      <c r="Q113" s="80"/>
      <c r="R113" s="80"/>
      <c r="S113" s="80"/>
      <c r="T113" s="80"/>
      <c r="U113" s="80"/>
      <c r="V113" s="80"/>
      <c r="W113" s="80"/>
      <c r="X113" s="80"/>
    </row>
    <row r="114" spans="1:24" ht="18" customHeight="1" x14ac:dyDescent="0.25">
      <c r="A114" s="1448"/>
      <c r="B114" s="1428"/>
      <c r="C114" s="1428"/>
      <c r="D114" s="1428"/>
      <c r="E114" s="1427"/>
      <c r="F114" s="176"/>
      <c r="G114" s="123"/>
      <c r="M114" s="80"/>
      <c r="N114" s="80"/>
      <c r="O114" s="80"/>
      <c r="Q114" s="80"/>
      <c r="R114" s="80"/>
      <c r="S114" s="80"/>
      <c r="T114" s="80"/>
      <c r="U114" s="80"/>
      <c r="V114" s="80"/>
      <c r="W114" s="80"/>
      <c r="X114" s="80"/>
    </row>
    <row r="115" spans="1:24" ht="18" customHeight="1" x14ac:dyDescent="0.25">
      <c r="A115" s="1448"/>
      <c r="B115" s="1428"/>
      <c r="C115" s="1428"/>
      <c r="D115" s="1428"/>
      <c r="E115" s="1427"/>
      <c r="F115" s="176"/>
      <c r="G115" s="123"/>
      <c r="M115" s="80"/>
      <c r="N115" s="80"/>
      <c r="O115" s="80"/>
      <c r="Q115" s="80"/>
      <c r="R115" s="80"/>
      <c r="S115" s="80"/>
      <c r="T115" s="80"/>
      <c r="U115" s="80"/>
      <c r="V115" s="80"/>
      <c r="W115" s="80"/>
      <c r="X115" s="80"/>
    </row>
    <row r="116" spans="1:24" ht="18" customHeight="1" thickBot="1" x14ac:dyDescent="0.3">
      <c r="A116" s="1449"/>
      <c r="B116" s="1432"/>
      <c r="C116" s="1432"/>
      <c r="D116" s="1432"/>
      <c r="E116" s="1431"/>
      <c r="F116" s="177"/>
      <c r="G116" s="123"/>
      <c r="M116" s="80"/>
      <c r="N116" s="80"/>
      <c r="O116" s="80"/>
      <c r="Q116" s="80"/>
      <c r="R116" s="80"/>
      <c r="S116" s="80"/>
      <c r="T116" s="80"/>
      <c r="U116" s="80"/>
      <c r="V116" s="80"/>
      <c r="W116" s="80"/>
      <c r="X116" s="80"/>
    </row>
    <row r="117" spans="1:24" ht="18" customHeight="1" x14ac:dyDescent="0.25">
      <c r="A117" s="1024" t="s">
        <v>1726</v>
      </c>
      <c r="B117" s="1450"/>
      <c r="C117" s="1451" t="str">
        <f>IF(ISBLANK('Section 9| Compliance Plan'!B25),"",'Section 9| Compliance Plan'!B25)</f>
        <v/>
      </c>
      <c r="D117" s="1452"/>
      <c r="E117" s="1452"/>
      <c r="F117" s="1453"/>
      <c r="G117" s="123"/>
      <c r="M117" s="80"/>
      <c r="N117" s="80"/>
      <c r="O117" s="80"/>
      <c r="Q117" s="80"/>
      <c r="R117" s="80"/>
      <c r="S117" s="80"/>
      <c r="T117" s="80"/>
      <c r="U117" s="80"/>
      <c r="V117" s="80"/>
      <c r="W117" s="80"/>
      <c r="X117" s="80"/>
    </row>
    <row r="118" spans="1:24" ht="18" customHeight="1" x14ac:dyDescent="0.25">
      <c r="A118" s="1032" t="s">
        <v>1727</v>
      </c>
      <c r="B118" s="1434"/>
      <c r="C118" s="1435" t="str">
        <f>IF(ISBLANK('Section 9| Compliance Plan'!A25),"",'Section 9| Compliance Plan'!A25)</f>
        <v/>
      </c>
      <c r="D118" s="1436"/>
      <c r="E118" s="1436"/>
      <c r="F118" s="1437"/>
      <c r="G118" s="123"/>
      <c r="M118" s="80"/>
      <c r="N118" s="80"/>
      <c r="O118" s="80"/>
      <c r="Q118" s="80"/>
      <c r="R118" s="80"/>
      <c r="S118" s="80"/>
      <c r="T118" s="80"/>
      <c r="U118" s="80"/>
      <c r="V118" s="80"/>
      <c r="W118" s="80"/>
      <c r="X118" s="80"/>
    </row>
    <row r="119" spans="1:24" ht="18" customHeight="1" x14ac:dyDescent="0.25">
      <c r="A119" s="1438" t="s">
        <v>1728</v>
      </c>
      <c r="B119" s="1439"/>
      <c r="C119" s="1439"/>
      <c r="D119" s="1439"/>
      <c r="E119" s="1439"/>
      <c r="F119" s="1440"/>
      <c r="G119" s="123"/>
      <c r="M119" s="80"/>
      <c r="N119" s="80"/>
      <c r="O119" s="80"/>
      <c r="Q119" s="80"/>
      <c r="R119" s="80"/>
      <c r="S119" s="80"/>
      <c r="T119" s="80"/>
      <c r="U119" s="80"/>
      <c r="V119" s="80"/>
      <c r="W119" s="80"/>
      <c r="X119" s="80"/>
    </row>
    <row r="120" spans="1:24" ht="65.099999999999994" customHeight="1" x14ac:dyDescent="0.25">
      <c r="A120" s="1441"/>
      <c r="B120" s="1442"/>
      <c r="C120" s="1442"/>
      <c r="D120" s="1442"/>
      <c r="E120" s="1442"/>
      <c r="F120" s="1443"/>
      <c r="G120" s="123"/>
      <c r="M120" s="80"/>
      <c r="N120" s="80"/>
      <c r="O120" s="80"/>
      <c r="Q120" s="80"/>
      <c r="R120" s="80"/>
      <c r="S120" s="80"/>
      <c r="T120" s="80"/>
      <c r="U120" s="80"/>
      <c r="V120" s="80"/>
      <c r="W120" s="80"/>
      <c r="X120" s="80"/>
    </row>
    <row r="121" spans="1:24" ht="18" customHeight="1" x14ac:dyDescent="0.25">
      <c r="A121" s="1438" t="s">
        <v>1729</v>
      </c>
      <c r="B121" s="1439"/>
      <c r="C121" s="1439"/>
      <c r="D121" s="1439"/>
      <c r="E121" s="1439"/>
      <c r="F121" s="1440"/>
      <c r="G121" s="123"/>
      <c r="M121" s="80"/>
      <c r="N121" s="80"/>
      <c r="O121" s="80"/>
      <c r="Q121" s="80"/>
      <c r="R121" s="80"/>
      <c r="S121" s="80"/>
      <c r="T121" s="80"/>
      <c r="U121" s="80"/>
      <c r="V121" s="80"/>
      <c r="W121" s="80"/>
      <c r="X121" s="80"/>
    </row>
    <row r="122" spans="1:24" ht="18" customHeight="1" x14ac:dyDescent="0.25">
      <c r="A122" s="1444" t="s">
        <v>1730</v>
      </c>
      <c r="B122" s="1445"/>
      <c r="C122" s="1445"/>
      <c r="D122" s="1445"/>
      <c r="E122" s="1446"/>
      <c r="F122" s="178" t="s">
        <v>1731</v>
      </c>
      <c r="G122" s="123"/>
      <c r="M122" s="80"/>
      <c r="N122" s="80"/>
      <c r="O122" s="80"/>
      <c r="Q122" s="80"/>
      <c r="R122" s="80"/>
      <c r="S122" s="80"/>
      <c r="T122" s="80"/>
      <c r="U122" s="80"/>
      <c r="V122" s="80"/>
      <c r="W122" s="80"/>
      <c r="X122" s="80"/>
    </row>
    <row r="123" spans="1:24" ht="18" customHeight="1" x14ac:dyDescent="0.25">
      <c r="A123" s="1447"/>
      <c r="B123" s="1424"/>
      <c r="C123" s="1424"/>
      <c r="D123" s="1424"/>
      <c r="E123" s="1423"/>
      <c r="F123" s="175"/>
      <c r="G123" s="123"/>
      <c r="M123" s="80"/>
      <c r="N123" s="80"/>
      <c r="O123" s="80"/>
      <c r="Q123" s="80"/>
      <c r="R123" s="80"/>
      <c r="S123" s="80"/>
      <c r="T123" s="80"/>
      <c r="U123" s="80"/>
      <c r="V123" s="80"/>
      <c r="W123" s="80"/>
      <c r="X123" s="80"/>
    </row>
    <row r="124" spans="1:24" ht="18" customHeight="1" x14ac:dyDescent="0.25">
      <c r="A124" s="1448"/>
      <c r="B124" s="1428"/>
      <c r="C124" s="1428"/>
      <c r="D124" s="1428"/>
      <c r="E124" s="1427"/>
      <c r="F124" s="176"/>
      <c r="G124" s="123"/>
      <c r="M124" s="80"/>
      <c r="N124" s="80"/>
      <c r="O124" s="80"/>
      <c r="Q124" s="80"/>
      <c r="R124" s="80"/>
      <c r="S124" s="80"/>
      <c r="T124" s="80"/>
      <c r="U124" s="80"/>
      <c r="V124" s="80"/>
      <c r="W124" s="80"/>
      <c r="X124" s="80"/>
    </row>
    <row r="125" spans="1:24" ht="18" customHeight="1" x14ac:dyDescent="0.25">
      <c r="A125" s="1448"/>
      <c r="B125" s="1428"/>
      <c r="C125" s="1428"/>
      <c r="D125" s="1428"/>
      <c r="E125" s="1427"/>
      <c r="F125" s="176"/>
      <c r="G125" s="123"/>
      <c r="M125" s="80"/>
      <c r="N125" s="80"/>
      <c r="O125" s="80"/>
      <c r="Q125" s="80"/>
      <c r="R125" s="80"/>
      <c r="S125" s="80"/>
      <c r="T125" s="80"/>
      <c r="U125" s="80"/>
      <c r="V125" s="80"/>
      <c r="W125" s="80"/>
      <c r="X125" s="80"/>
    </row>
    <row r="126" spans="1:24" ht="18" customHeight="1" x14ac:dyDescent="0.25">
      <c r="A126" s="1448"/>
      <c r="B126" s="1428"/>
      <c r="C126" s="1428"/>
      <c r="D126" s="1428"/>
      <c r="E126" s="1427"/>
      <c r="F126" s="176"/>
      <c r="G126" s="123"/>
      <c r="M126" s="80"/>
      <c r="N126" s="80"/>
      <c r="O126" s="80"/>
      <c r="Q126" s="80"/>
      <c r="R126" s="80"/>
      <c r="S126" s="80"/>
      <c r="T126" s="80"/>
      <c r="U126" s="80"/>
      <c r="V126" s="80"/>
      <c r="W126" s="80"/>
      <c r="X126" s="80"/>
    </row>
    <row r="127" spans="1:24" ht="18" customHeight="1" x14ac:dyDescent="0.25">
      <c r="A127" s="1448"/>
      <c r="B127" s="1428"/>
      <c r="C127" s="1428"/>
      <c r="D127" s="1428"/>
      <c r="E127" s="1427"/>
      <c r="F127" s="176"/>
      <c r="G127" s="123"/>
      <c r="M127" s="80"/>
      <c r="N127" s="80"/>
      <c r="O127" s="80"/>
      <c r="Q127" s="80"/>
      <c r="R127" s="80"/>
      <c r="S127" s="80"/>
      <c r="T127" s="80"/>
      <c r="U127" s="80"/>
      <c r="V127" s="80"/>
      <c r="W127" s="80"/>
      <c r="X127" s="80"/>
    </row>
    <row r="128" spans="1:24" ht="18" customHeight="1" thickBot="1" x14ac:dyDescent="0.3">
      <c r="A128" s="1449"/>
      <c r="B128" s="1432"/>
      <c r="C128" s="1432"/>
      <c r="D128" s="1432"/>
      <c r="E128" s="1431"/>
      <c r="F128" s="177"/>
      <c r="G128" s="123"/>
      <c r="M128" s="80"/>
      <c r="N128" s="80"/>
      <c r="O128" s="80"/>
      <c r="Q128" s="80"/>
      <c r="R128" s="80"/>
      <c r="S128" s="80"/>
      <c r="T128" s="80"/>
      <c r="U128" s="80"/>
      <c r="V128" s="80"/>
      <c r="W128" s="80"/>
      <c r="X128" s="80"/>
    </row>
    <row r="129" spans="1:24" ht="18" customHeight="1" x14ac:dyDescent="0.25">
      <c r="A129" s="1024" t="s">
        <v>1726</v>
      </c>
      <c r="B129" s="1450"/>
      <c r="C129" s="1451" t="str">
        <f>IF(ISBLANK('Section 9| Compliance Plan'!B26),"",'Section 9| Compliance Plan'!B26)</f>
        <v/>
      </c>
      <c r="D129" s="1452"/>
      <c r="E129" s="1452"/>
      <c r="F129" s="1453"/>
      <c r="G129" s="123"/>
      <c r="M129" s="80"/>
      <c r="N129" s="80"/>
      <c r="O129" s="80"/>
      <c r="Q129" s="80"/>
      <c r="R129" s="80"/>
      <c r="S129" s="80"/>
      <c r="T129" s="80"/>
      <c r="U129" s="80"/>
      <c r="V129" s="80"/>
      <c r="W129" s="80"/>
      <c r="X129" s="80"/>
    </row>
    <row r="130" spans="1:24" ht="18" customHeight="1" x14ac:dyDescent="0.25">
      <c r="A130" s="1032" t="s">
        <v>1727</v>
      </c>
      <c r="B130" s="1434"/>
      <c r="C130" s="1435" t="str">
        <f>IF(ISBLANK('Section 9| Compliance Plan'!A26),"",'Section 9| Compliance Plan'!A26)</f>
        <v/>
      </c>
      <c r="D130" s="1436"/>
      <c r="E130" s="1436"/>
      <c r="F130" s="1437"/>
      <c r="G130" s="123"/>
      <c r="M130" s="80"/>
      <c r="N130" s="80"/>
      <c r="O130" s="80"/>
      <c r="Q130" s="80"/>
      <c r="R130" s="80"/>
      <c r="S130" s="80"/>
      <c r="T130" s="80"/>
      <c r="U130" s="80"/>
      <c r="V130" s="80"/>
      <c r="W130" s="80"/>
      <c r="X130" s="80"/>
    </row>
    <row r="131" spans="1:24" ht="18" customHeight="1" x14ac:dyDescent="0.25">
      <c r="A131" s="1438" t="s">
        <v>1728</v>
      </c>
      <c r="B131" s="1439"/>
      <c r="C131" s="1439"/>
      <c r="D131" s="1439"/>
      <c r="E131" s="1439"/>
      <c r="F131" s="1440"/>
      <c r="G131" s="123"/>
      <c r="M131" s="80"/>
      <c r="N131" s="80"/>
      <c r="O131" s="80"/>
      <c r="Q131" s="80"/>
      <c r="R131" s="80"/>
      <c r="S131" s="80"/>
      <c r="T131" s="80"/>
      <c r="U131" s="80"/>
      <c r="V131" s="80"/>
      <c r="W131" s="80"/>
      <c r="X131" s="80"/>
    </row>
    <row r="132" spans="1:24" ht="65.099999999999994" customHeight="1" x14ac:dyDescent="0.25">
      <c r="A132" s="1441"/>
      <c r="B132" s="1442"/>
      <c r="C132" s="1442"/>
      <c r="D132" s="1442"/>
      <c r="E132" s="1442"/>
      <c r="F132" s="1443"/>
      <c r="G132" s="123"/>
      <c r="M132" s="80"/>
      <c r="N132" s="80"/>
      <c r="O132" s="80"/>
      <c r="Q132" s="80"/>
      <c r="R132" s="80"/>
      <c r="S132" s="80"/>
      <c r="T132" s="80"/>
      <c r="U132" s="80"/>
      <c r="V132" s="80"/>
      <c r="W132" s="80"/>
      <c r="X132" s="80"/>
    </row>
    <row r="133" spans="1:24" ht="18" customHeight="1" x14ac:dyDescent="0.25">
      <c r="A133" s="1438" t="s">
        <v>1729</v>
      </c>
      <c r="B133" s="1439"/>
      <c r="C133" s="1439"/>
      <c r="D133" s="1439"/>
      <c r="E133" s="1439"/>
      <c r="F133" s="1440"/>
      <c r="G133" s="123"/>
      <c r="M133" s="80"/>
      <c r="N133" s="80"/>
      <c r="O133" s="80"/>
      <c r="Q133" s="80"/>
      <c r="R133" s="80"/>
      <c r="S133" s="80"/>
      <c r="T133" s="80"/>
      <c r="U133" s="80"/>
      <c r="V133" s="80"/>
      <c r="W133" s="80"/>
      <c r="X133" s="80"/>
    </row>
    <row r="134" spans="1:24" ht="18" customHeight="1" x14ac:dyDescent="0.25">
      <c r="A134" s="1444" t="s">
        <v>1730</v>
      </c>
      <c r="B134" s="1445"/>
      <c r="C134" s="1445"/>
      <c r="D134" s="1445"/>
      <c r="E134" s="1446"/>
      <c r="F134" s="178" t="s">
        <v>1731</v>
      </c>
      <c r="G134" s="123"/>
      <c r="M134" s="80"/>
      <c r="N134" s="80"/>
      <c r="O134" s="80"/>
      <c r="Q134" s="80"/>
      <c r="R134" s="80"/>
      <c r="S134" s="80"/>
      <c r="T134" s="80"/>
      <c r="U134" s="80"/>
      <c r="V134" s="80"/>
      <c r="W134" s="80"/>
      <c r="X134" s="80"/>
    </row>
    <row r="135" spans="1:24" ht="18" customHeight="1" x14ac:dyDescent="0.25">
      <c r="A135" s="1447"/>
      <c r="B135" s="1424"/>
      <c r="C135" s="1424"/>
      <c r="D135" s="1424"/>
      <c r="E135" s="1423"/>
      <c r="F135" s="175"/>
      <c r="G135" s="123"/>
      <c r="M135" s="80"/>
      <c r="N135" s="80"/>
      <c r="O135" s="80"/>
      <c r="Q135" s="80"/>
      <c r="R135" s="80"/>
      <c r="S135" s="80"/>
      <c r="T135" s="80"/>
      <c r="U135" s="80"/>
      <c r="V135" s="80"/>
      <c r="W135" s="80"/>
      <c r="X135" s="80"/>
    </row>
    <row r="136" spans="1:24" ht="18" customHeight="1" x14ac:dyDescent="0.25">
      <c r="A136" s="1448"/>
      <c r="B136" s="1428"/>
      <c r="C136" s="1428"/>
      <c r="D136" s="1428"/>
      <c r="E136" s="1427"/>
      <c r="F136" s="176"/>
      <c r="G136" s="123"/>
      <c r="M136" s="80"/>
      <c r="N136" s="80"/>
      <c r="O136" s="80"/>
      <c r="Q136" s="80"/>
      <c r="R136" s="80"/>
      <c r="S136" s="80"/>
      <c r="T136" s="80"/>
      <c r="U136" s="80"/>
      <c r="V136" s="80"/>
      <c r="W136" s="80"/>
      <c r="X136" s="80"/>
    </row>
    <row r="137" spans="1:24" ht="18" customHeight="1" x14ac:dyDescent="0.25">
      <c r="A137" s="1448"/>
      <c r="B137" s="1428"/>
      <c r="C137" s="1428"/>
      <c r="D137" s="1428"/>
      <c r="E137" s="1427"/>
      <c r="F137" s="176"/>
      <c r="G137" s="123"/>
      <c r="M137" s="80"/>
      <c r="N137" s="80"/>
      <c r="O137" s="80"/>
      <c r="Q137" s="80"/>
      <c r="R137" s="80"/>
      <c r="S137" s="80"/>
      <c r="T137" s="80"/>
      <c r="U137" s="80"/>
      <c r="V137" s="80"/>
      <c r="W137" s="80"/>
      <c r="X137" s="80"/>
    </row>
    <row r="138" spans="1:24" ht="18" customHeight="1" x14ac:dyDescent="0.25">
      <c r="A138" s="1448"/>
      <c r="B138" s="1428"/>
      <c r="C138" s="1428"/>
      <c r="D138" s="1428"/>
      <c r="E138" s="1427"/>
      <c r="F138" s="176"/>
      <c r="G138" s="123"/>
      <c r="M138" s="80"/>
      <c r="N138" s="80"/>
      <c r="O138" s="80"/>
      <c r="Q138" s="80"/>
      <c r="R138" s="80"/>
      <c r="S138" s="80"/>
      <c r="T138" s="80"/>
      <c r="U138" s="80"/>
      <c r="V138" s="80"/>
      <c r="W138" s="80"/>
      <c r="X138" s="80"/>
    </row>
    <row r="139" spans="1:24" ht="18" customHeight="1" x14ac:dyDescent="0.25">
      <c r="A139" s="1448"/>
      <c r="B139" s="1428"/>
      <c r="C139" s="1428"/>
      <c r="D139" s="1428"/>
      <c r="E139" s="1427"/>
      <c r="F139" s="176"/>
      <c r="G139" s="123"/>
      <c r="M139" s="80"/>
      <c r="N139" s="80"/>
      <c r="O139" s="80"/>
      <c r="Q139" s="80"/>
      <c r="R139" s="80"/>
      <c r="S139" s="80"/>
      <c r="T139" s="80"/>
      <c r="U139" s="80"/>
      <c r="V139" s="80"/>
      <c r="W139" s="80"/>
      <c r="X139" s="80"/>
    </row>
    <row r="140" spans="1:24" ht="18" customHeight="1" thickBot="1" x14ac:dyDescent="0.3">
      <c r="A140" s="1449"/>
      <c r="B140" s="1432"/>
      <c r="C140" s="1432"/>
      <c r="D140" s="1432"/>
      <c r="E140" s="1431"/>
      <c r="F140" s="177"/>
      <c r="G140" s="123"/>
      <c r="M140" s="80"/>
      <c r="N140" s="80"/>
      <c r="O140" s="80"/>
      <c r="Q140" s="80"/>
      <c r="R140" s="80"/>
      <c r="S140" s="80"/>
      <c r="T140" s="80"/>
      <c r="U140" s="80"/>
      <c r="V140" s="80"/>
      <c r="W140" s="80"/>
      <c r="X140" s="80"/>
    </row>
    <row r="141" spans="1:24" ht="18" customHeight="1" x14ac:dyDescent="0.25">
      <c r="A141" s="1024" t="s">
        <v>1726</v>
      </c>
      <c r="B141" s="1450"/>
      <c r="C141" s="1451" t="str">
        <f>IF(ISBLANK('Section 9| Compliance Plan'!B27),"",'Section 9| Compliance Plan'!B27)</f>
        <v/>
      </c>
      <c r="D141" s="1452"/>
      <c r="E141" s="1452"/>
      <c r="F141" s="1453"/>
      <c r="G141" s="123"/>
      <c r="M141" s="80"/>
      <c r="N141" s="80"/>
      <c r="O141" s="80"/>
      <c r="Q141" s="80"/>
      <c r="R141" s="80"/>
      <c r="S141" s="80"/>
      <c r="T141" s="80"/>
      <c r="U141" s="80"/>
      <c r="V141" s="80"/>
      <c r="W141" s="80"/>
      <c r="X141" s="80"/>
    </row>
    <row r="142" spans="1:24" ht="18" customHeight="1" x14ac:dyDescent="0.25">
      <c r="A142" s="1032" t="s">
        <v>1727</v>
      </c>
      <c r="B142" s="1434"/>
      <c r="C142" s="1435" t="str">
        <f>IF(ISBLANK('Section 9| Compliance Plan'!A27),"",'Section 9| Compliance Plan'!A27)</f>
        <v/>
      </c>
      <c r="D142" s="1436"/>
      <c r="E142" s="1436"/>
      <c r="F142" s="1437"/>
      <c r="G142" s="123"/>
      <c r="M142" s="80"/>
      <c r="N142" s="80"/>
      <c r="O142" s="80"/>
      <c r="Q142" s="80"/>
      <c r="R142" s="80"/>
      <c r="S142" s="80"/>
      <c r="T142" s="80"/>
      <c r="U142" s="80"/>
      <c r="V142" s="80"/>
      <c r="W142" s="80"/>
      <c r="X142" s="80"/>
    </row>
    <row r="143" spans="1:24" ht="18" customHeight="1" x14ac:dyDescent="0.25">
      <c r="A143" s="1438" t="s">
        <v>1728</v>
      </c>
      <c r="B143" s="1439"/>
      <c r="C143" s="1439"/>
      <c r="D143" s="1439"/>
      <c r="E143" s="1439"/>
      <c r="F143" s="1440"/>
      <c r="G143" s="123"/>
      <c r="M143" s="80"/>
      <c r="N143" s="80"/>
      <c r="O143" s="80"/>
      <c r="Q143" s="80"/>
      <c r="R143" s="80"/>
      <c r="S143" s="80"/>
      <c r="T143" s="80"/>
      <c r="U143" s="80"/>
      <c r="V143" s="80"/>
      <c r="W143" s="80"/>
      <c r="X143" s="80"/>
    </row>
    <row r="144" spans="1:24" ht="65.099999999999994" customHeight="1" x14ac:dyDescent="0.25">
      <c r="A144" s="1441"/>
      <c r="B144" s="1442"/>
      <c r="C144" s="1442"/>
      <c r="D144" s="1442"/>
      <c r="E144" s="1442"/>
      <c r="F144" s="1443"/>
      <c r="G144" s="123"/>
      <c r="M144" s="80"/>
      <c r="N144" s="80"/>
      <c r="O144" s="80"/>
      <c r="Q144" s="80"/>
      <c r="R144" s="80"/>
      <c r="S144" s="80"/>
      <c r="T144" s="80"/>
      <c r="U144" s="80"/>
      <c r="V144" s="80"/>
      <c r="W144" s="80"/>
      <c r="X144" s="80"/>
    </row>
    <row r="145" spans="1:24" ht="18" customHeight="1" x14ac:dyDescent="0.25">
      <c r="A145" s="1438" t="s">
        <v>1729</v>
      </c>
      <c r="B145" s="1439"/>
      <c r="C145" s="1439"/>
      <c r="D145" s="1439"/>
      <c r="E145" s="1439"/>
      <c r="F145" s="1440"/>
      <c r="G145" s="123"/>
      <c r="M145" s="80"/>
      <c r="N145" s="80"/>
      <c r="O145" s="80"/>
      <c r="Q145" s="80"/>
      <c r="R145" s="80"/>
      <c r="S145" s="80"/>
      <c r="T145" s="80"/>
      <c r="U145" s="80"/>
      <c r="V145" s="80"/>
      <c r="W145" s="80"/>
      <c r="X145" s="80"/>
    </row>
    <row r="146" spans="1:24" ht="18" customHeight="1" x14ac:dyDescent="0.25">
      <c r="A146" s="1444" t="s">
        <v>1730</v>
      </c>
      <c r="B146" s="1445"/>
      <c r="C146" s="1445"/>
      <c r="D146" s="1445"/>
      <c r="E146" s="1446"/>
      <c r="F146" s="178" t="s">
        <v>1731</v>
      </c>
      <c r="G146" s="123"/>
      <c r="M146" s="80"/>
      <c r="N146" s="80"/>
      <c r="O146" s="80"/>
      <c r="Q146" s="80"/>
      <c r="R146" s="80"/>
      <c r="S146" s="80"/>
      <c r="T146" s="80"/>
      <c r="U146" s="80"/>
      <c r="V146" s="80"/>
      <c r="W146" s="80"/>
      <c r="X146" s="80"/>
    </row>
    <row r="147" spans="1:24" ht="18" customHeight="1" x14ac:dyDescent="0.25">
      <c r="A147" s="1447"/>
      <c r="B147" s="1424"/>
      <c r="C147" s="1424"/>
      <c r="D147" s="1424"/>
      <c r="E147" s="1423"/>
      <c r="F147" s="175"/>
      <c r="G147" s="123"/>
      <c r="M147" s="80"/>
      <c r="N147" s="80"/>
      <c r="O147" s="80"/>
      <c r="Q147" s="80"/>
      <c r="R147" s="80"/>
      <c r="S147" s="80"/>
      <c r="T147" s="80"/>
      <c r="U147" s="80"/>
      <c r="V147" s="80"/>
      <c r="W147" s="80"/>
      <c r="X147" s="80"/>
    </row>
    <row r="148" spans="1:24" ht="18" customHeight="1" x14ac:dyDescent="0.25">
      <c r="A148" s="1448"/>
      <c r="B148" s="1428"/>
      <c r="C148" s="1428"/>
      <c r="D148" s="1428"/>
      <c r="E148" s="1427"/>
      <c r="F148" s="176"/>
      <c r="G148" s="123"/>
      <c r="M148" s="80"/>
      <c r="N148" s="80"/>
      <c r="O148" s="80"/>
      <c r="Q148" s="80"/>
      <c r="R148" s="80"/>
      <c r="S148" s="80"/>
      <c r="T148" s="80"/>
      <c r="U148" s="80"/>
      <c r="V148" s="80"/>
      <c r="W148" s="80"/>
      <c r="X148" s="80"/>
    </row>
    <row r="149" spans="1:24" ht="18" customHeight="1" x14ac:dyDescent="0.25">
      <c r="A149" s="1448"/>
      <c r="B149" s="1428"/>
      <c r="C149" s="1428"/>
      <c r="D149" s="1428"/>
      <c r="E149" s="1427"/>
      <c r="F149" s="176"/>
      <c r="G149" s="123"/>
      <c r="M149" s="80"/>
      <c r="N149" s="80"/>
      <c r="O149" s="80"/>
      <c r="Q149" s="80"/>
      <c r="R149" s="80"/>
      <c r="S149" s="80"/>
      <c r="T149" s="80"/>
      <c r="U149" s="80"/>
      <c r="V149" s="80"/>
      <c r="W149" s="80"/>
      <c r="X149" s="80"/>
    </row>
    <row r="150" spans="1:24" ht="18" customHeight="1" x14ac:dyDescent="0.25">
      <c r="A150" s="1448"/>
      <c r="B150" s="1428"/>
      <c r="C150" s="1428"/>
      <c r="D150" s="1428"/>
      <c r="E150" s="1427"/>
      <c r="F150" s="176"/>
      <c r="G150" s="123"/>
      <c r="M150" s="80"/>
      <c r="N150" s="80"/>
      <c r="O150" s="80"/>
      <c r="Q150" s="80"/>
      <c r="R150" s="80"/>
      <c r="S150" s="80"/>
      <c r="T150" s="80"/>
      <c r="U150" s="80"/>
      <c r="V150" s="80"/>
      <c r="W150" s="80"/>
      <c r="X150" s="80"/>
    </row>
    <row r="151" spans="1:24" ht="18" customHeight="1" x14ac:dyDescent="0.25">
      <c r="A151" s="1448"/>
      <c r="B151" s="1428"/>
      <c r="C151" s="1428"/>
      <c r="D151" s="1428"/>
      <c r="E151" s="1427"/>
      <c r="F151" s="176"/>
      <c r="G151" s="123"/>
      <c r="M151" s="80"/>
      <c r="N151" s="80"/>
      <c r="O151" s="80"/>
      <c r="Q151" s="80"/>
      <c r="R151" s="80"/>
      <c r="S151" s="80"/>
      <c r="T151" s="80"/>
      <c r="U151" s="80"/>
      <c r="V151" s="80"/>
      <c r="W151" s="80"/>
      <c r="X151" s="80"/>
    </row>
    <row r="152" spans="1:24" ht="18" customHeight="1" thickBot="1" x14ac:dyDescent="0.3">
      <c r="A152" s="1449"/>
      <c r="B152" s="1432"/>
      <c r="C152" s="1432"/>
      <c r="D152" s="1432"/>
      <c r="E152" s="1431"/>
      <c r="F152" s="177"/>
      <c r="G152" s="123"/>
      <c r="M152" s="80"/>
      <c r="N152" s="80"/>
      <c r="O152" s="80"/>
      <c r="Q152" s="80"/>
      <c r="R152" s="80"/>
      <c r="S152" s="80"/>
      <c r="T152" s="80"/>
      <c r="U152" s="80"/>
      <c r="V152" s="80"/>
      <c r="W152" s="80"/>
      <c r="X152" s="80"/>
    </row>
    <row r="153" spans="1:24" ht="18" customHeight="1" x14ac:dyDescent="0.25">
      <c r="A153" s="1024" t="s">
        <v>1726</v>
      </c>
      <c r="B153" s="1450"/>
      <c r="C153" s="1451" t="str">
        <f>IF(ISBLANK('Section 9| Compliance Plan'!B28),"",'Section 9| Compliance Plan'!B28)</f>
        <v/>
      </c>
      <c r="D153" s="1452"/>
      <c r="E153" s="1452"/>
      <c r="F153" s="1453"/>
      <c r="G153" s="123"/>
      <c r="M153" s="80"/>
      <c r="N153" s="80"/>
      <c r="O153" s="80"/>
      <c r="Q153" s="80"/>
      <c r="R153" s="80"/>
      <c r="S153" s="80"/>
      <c r="T153" s="80"/>
      <c r="U153" s="80"/>
      <c r="V153" s="80"/>
      <c r="W153" s="80"/>
      <c r="X153" s="80"/>
    </row>
    <row r="154" spans="1:24" ht="18" customHeight="1" x14ac:dyDescent="0.25">
      <c r="A154" s="1032" t="s">
        <v>1727</v>
      </c>
      <c r="B154" s="1434"/>
      <c r="C154" s="1435" t="str">
        <f>IF(ISBLANK('Section 9| Compliance Plan'!A28),"",'Section 9| Compliance Plan'!A28)</f>
        <v/>
      </c>
      <c r="D154" s="1436"/>
      <c r="E154" s="1436"/>
      <c r="F154" s="1437"/>
      <c r="G154" s="123"/>
      <c r="M154" s="80"/>
      <c r="N154" s="80"/>
      <c r="O154" s="80"/>
      <c r="Q154" s="80"/>
      <c r="R154" s="80"/>
      <c r="S154" s="80"/>
      <c r="T154" s="80"/>
      <c r="U154" s="80"/>
      <c r="V154" s="80"/>
      <c r="W154" s="80"/>
      <c r="X154" s="80"/>
    </row>
    <row r="155" spans="1:24" ht="18" customHeight="1" x14ac:dyDescent="0.25">
      <c r="A155" s="1438" t="s">
        <v>1728</v>
      </c>
      <c r="B155" s="1439"/>
      <c r="C155" s="1439"/>
      <c r="D155" s="1439"/>
      <c r="E155" s="1439"/>
      <c r="F155" s="1440"/>
      <c r="G155" s="123"/>
      <c r="M155" s="80"/>
      <c r="N155" s="80"/>
      <c r="O155" s="80"/>
      <c r="Q155" s="80"/>
      <c r="R155" s="80"/>
      <c r="S155" s="80"/>
      <c r="T155" s="80"/>
      <c r="U155" s="80"/>
      <c r="V155" s="80"/>
      <c r="W155" s="80"/>
      <c r="X155" s="80"/>
    </row>
    <row r="156" spans="1:24" ht="65.099999999999994" customHeight="1" x14ac:dyDescent="0.25">
      <c r="A156" s="1441"/>
      <c r="B156" s="1442"/>
      <c r="C156" s="1442"/>
      <c r="D156" s="1442"/>
      <c r="E156" s="1442"/>
      <c r="F156" s="1443"/>
      <c r="G156" s="123"/>
      <c r="M156" s="80"/>
      <c r="N156" s="80"/>
      <c r="O156" s="80"/>
      <c r="Q156" s="80"/>
      <c r="R156" s="80"/>
      <c r="S156" s="80"/>
      <c r="T156" s="80"/>
      <c r="U156" s="80"/>
      <c r="V156" s="80"/>
      <c r="W156" s="80"/>
      <c r="X156" s="80"/>
    </row>
    <row r="157" spans="1:24" ht="18" customHeight="1" x14ac:dyDescent="0.25">
      <c r="A157" s="1438" t="s">
        <v>1729</v>
      </c>
      <c r="B157" s="1439"/>
      <c r="C157" s="1439"/>
      <c r="D157" s="1439"/>
      <c r="E157" s="1439"/>
      <c r="F157" s="1440"/>
      <c r="G157" s="123"/>
      <c r="M157" s="80"/>
      <c r="N157" s="80"/>
      <c r="O157" s="80"/>
      <c r="Q157" s="80"/>
      <c r="R157" s="80"/>
      <c r="S157" s="80"/>
      <c r="T157" s="80"/>
      <c r="U157" s="80"/>
      <c r="V157" s="80"/>
      <c r="W157" s="80"/>
      <c r="X157" s="80"/>
    </row>
    <row r="158" spans="1:24" ht="18" customHeight="1" x14ac:dyDescent="0.25">
      <c r="A158" s="1444" t="s">
        <v>1730</v>
      </c>
      <c r="B158" s="1445"/>
      <c r="C158" s="1445"/>
      <c r="D158" s="1445"/>
      <c r="E158" s="1446"/>
      <c r="F158" s="178" t="s">
        <v>1731</v>
      </c>
      <c r="G158" s="123"/>
      <c r="M158" s="80"/>
      <c r="N158" s="80"/>
      <c r="O158" s="80"/>
      <c r="Q158" s="80"/>
      <c r="R158" s="80"/>
      <c r="S158" s="80"/>
      <c r="T158" s="80"/>
      <c r="U158" s="80"/>
      <c r="V158" s="80"/>
      <c r="W158" s="80"/>
      <c r="X158" s="80"/>
    </row>
    <row r="159" spans="1:24" ht="18" customHeight="1" x14ac:dyDescent="0.25">
      <c r="A159" s="1447"/>
      <c r="B159" s="1424"/>
      <c r="C159" s="1424"/>
      <c r="D159" s="1424"/>
      <c r="E159" s="1423"/>
      <c r="F159" s="175"/>
      <c r="G159" s="123"/>
      <c r="M159" s="80"/>
      <c r="N159" s="80"/>
      <c r="O159" s="80"/>
      <c r="Q159" s="80"/>
      <c r="R159" s="80"/>
      <c r="S159" s="80"/>
      <c r="T159" s="80"/>
      <c r="U159" s="80"/>
      <c r="V159" s="80"/>
      <c r="W159" s="80"/>
      <c r="X159" s="80"/>
    </row>
    <row r="160" spans="1:24" ht="18" customHeight="1" x14ac:dyDescent="0.25">
      <c r="A160" s="1448"/>
      <c r="B160" s="1428"/>
      <c r="C160" s="1428"/>
      <c r="D160" s="1428"/>
      <c r="E160" s="1427"/>
      <c r="F160" s="176"/>
      <c r="G160" s="123"/>
      <c r="M160" s="80"/>
      <c r="N160" s="80"/>
      <c r="O160" s="80"/>
      <c r="Q160" s="80"/>
      <c r="R160" s="80"/>
      <c r="S160" s="80"/>
      <c r="T160" s="80"/>
      <c r="U160" s="80"/>
      <c r="V160" s="80"/>
      <c r="W160" s="80"/>
      <c r="X160" s="80"/>
    </row>
    <row r="161" spans="1:24" ht="18" customHeight="1" x14ac:dyDescent="0.25">
      <c r="A161" s="1448"/>
      <c r="B161" s="1428"/>
      <c r="C161" s="1428"/>
      <c r="D161" s="1428"/>
      <c r="E161" s="1427"/>
      <c r="F161" s="176"/>
      <c r="G161" s="123"/>
      <c r="M161" s="80"/>
      <c r="N161" s="80"/>
      <c r="O161" s="80"/>
      <c r="Q161" s="80"/>
      <c r="R161" s="80"/>
      <c r="S161" s="80"/>
      <c r="T161" s="80"/>
      <c r="U161" s="80"/>
      <c r="V161" s="80"/>
      <c r="W161" s="80"/>
      <c r="X161" s="80"/>
    </row>
    <row r="162" spans="1:24" ht="18" customHeight="1" x14ac:dyDescent="0.25">
      <c r="A162" s="1448"/>
      <c r="B162" s="1428"/>
      <c r="C162" s="1428"/>
      <c r="D162" s="1428"/>
      <c r="E162" s="1427"/>
      <c r="F162" s="176"/>
      <c r="G162" s="123"/>
      <c r="M162" s="80"/>
      <c r="N162" s="80"/>
      <c r="O162" s="80"/>
      <c r="Q162" s="80"/>
      <c r="R162" s="80"/>
      <c r="S162" s="80"/>
      <c r="T162" s="80"/>
      <c r="U162" s="80"/>
      <c r="V162" s="80"/>
      <c r="W162" s="80"/>
      <c r="X162" s="80"/>
    </row>
    <row r="163" spans="1:24" ht="18" customHeight="1" x14ac:dyDescent="0.25">
      <c r="A163" s="1448"/>
      <c r="B163" s="1428"/>
      <c r="C163" s="1428"/>
      <c r="D163" s="1428"/>
      <c r="E163" s="1427"/>
      <c r="F163" s="176"/>
      <c r="G163" s="123"/>
      <c r="M163" s="80"/>
      <c r="N163" s="80"/>
      <c r="O163" s="80"/>
      <c r="Q163" s="80"/>
      <c r="R163" s="80"/>
      <c r="S163" s="80"/>
      <c r="T163" s="80"/>
      <c r="U163" s="80"/>
      <c r="V163" s="80"/>
      <c r="W163" s="80"/>
      <c r="X163" s="80"/>
    </row>
    <row r="164" spans="1:24" ht="18" customHeight="1" thickBot="1" x14ac:dyDescent="0.3">
      <c r="A164" s="1449"/>
      <c r="B164" s="1432"/>
      <c r="C164" s="1432"/>
      <c r="D164" s="1432"/>
      <c r="E164" s="1431"/>
      <c r="F164" s="177"/>
      <c r="G164" s="123"/>
      <c r="M164" s="80"/>
      <c r="N164" s="80"/>
      <c r="O164" s="80"/>
      <c r="Q164" s="80"/>
      <c r="R164" s="80"/>
      <c r="S164" s="80"/>
      <c r="T164" s="80"/>
      <c r="U164" s="80"/>
      <c r="V164" s="80"/>
      <c r="W164" s="80"/>
      <c r="X164" s="80"/>
    </row>
    <row r="165" spans="1:24" ht="18" customHeight="1" x14ac:dyDescent="0.25">
      <c r="A165" s="1024" t="s">
        <v>1726</v>
      </c>
      <c r="B165" s="1450"/>
      <c r="C165" s="1451" t="str">
        <f>IF(ISBLANK('Section 9| Compliance Plan'!B29),"",'Section 9| Compliance Plan'!B29)</f>
        <v/>
      </c>
      <c r="D165" s="1452"/>
      <c r="E165" s="1452"/>
      <c r="F165" s="1453"/>
      <c r="G165" s="123"/>
      <c r="M165" s="80"/>
      <c r="N165" s="80"/>
      <c r="O165" s="80"/>
      <c r="Q165" s="80"/>
      <c r="R165" s="80"/>
      <c r="S165" s="80"/>
      <c r="T165" s="80"/>
      <c r="U165" s="80"/>
      <c r="V165" s="80"/>
      <c r="W165" s="80"/>
      <c r="X165" s="80"/>
    </row>
    <row r="166" spans="1:24" ht="18" customHeight="1" x14ac:dyDescent="0.25">
      <c r="A166" s="1032" t="s">
        <v>1727</v>
      </c>
      <c r="B166" s="1434"/>
      <c r="C166" s="1435" t="str">
        <f>IF(ISBLANK('Section 9| Compliance Plan'!A29),"",'Section 9| Compliance Plan'!A29)</f>
        <v/>
      </c>
      <c r="D166" s="1436"/>
      <c r="E166" s="1436"/>
      <c r="F166" s="1437"/>
      <c r="G166" s="123"/>
      <c r="M166" s="80"/>
      <c r="N166" s="80"/>
      <c r="O166" s="80"/>
      <c r="Q166" s="80"/>
      <c r="R166" s="80"/>
      <c r="S166" s="80"/>
      <c r="T166" s="80"/>
      <c r="U166" s="80"/>
      <c r="V166" s="80"/>
      <c r="W166" s="80"/>
      <c r="X166" s="80"/>
    </row>
    <row r="167" spans="1:24" ht="18" customHeight="1" x14ac:dyDescent="0.25">
      <c r="A167" s="1438" t="s">
        <v>1728</v>
      </c>
      <c r="B167" s="1439"/>
      <c r="C167" s="1439"/>
      <c r="D167" s="1439"/>
      <c r="E167" s="1439"/>
      <c r="F167" s="1440"/>
      <c r="G167" s="123"/>
      <c r="M167" s="80"/>
      <c r="N167" s="80"/>
      <c r="O167" s="80"/>
      <c r="Q167" s="80"/>
      <c r="R167" s="80"/>
      <c r="S167" s="80"/>
      <c r="T167" s="80"/>
      <c r="U167" s="80"/>
      <c r="V167" s="80"/>
      <c r="W167" s="80"/>
      <c r="X167" s="80"/>
    </row>
    <row r="168" spans="1:24" ht="65.099999999999994" customHeight="1" x14ac:dyDescent="0.25">
      <c r="A168" s="1441"/>
      <c r="B168" s="1442"/>
      <c r="C168" s="1442"/>
      <c r="D168" s="1442"/>
      <c r="E168" s="1442"/>
      <c r="F168" s="1443"/>
      <c r="G168" s="123"/>
      <c r="M168" s="80"/>
      <c r="N168" s="80"/>
      <c r="O168" s="80"/>
      <c r="Q168" s="80"/>
      <c r="R168" s="80"/>
      <c r="S168" s="80"/>
      <c r="T168" s="80"/>
      <c r="U168" s="80"/>
      <c r="V168" s="80"/>
      <c r="W168" s="80"/>
      <c r="X168" s="80"/>
    </row>
    <row r="169" spans="1:24" ht="18" customHeight="1" x14ac:dyDescent="0.25">
      <c r="A169" s="1438" t="s">
        <v>1729</v>
      </c>
      <c r="B169" s="1439"/>
      <c r="C169" s="1439"/>
      <c r="D169" s="1439"/>
      <c r="E169" s="1439"/>
      <c r="F169" s="1440"/>
      <c r="G169" s="123"/>
      <c r="M169" s="80"/>
      <c r="N169" s="80"/>
      <c r="O169" s="80"/>
      <c r="Q169" s="80"/>
      <c r="R169" s="80"/>
      <c r="S169" s="80"/>
      <c r="T169" s="80"/>
      <c r="U169" s="80"/>
      <c r="V169" s="80"/>
      <c r="W169" s="80"/>
      <c r="X169" s="80"/>
    </row>
    <row r="170" spans="1:24" ht="18" customHeight="1" x14ac:dyDescent="0.25">
      <c r="A170" s="1444" t="s">
        <v>1730</v>
      </c>
      <c r="B170" s="1445"/>
      <c r="C170" s="1445"/>
      <c r="D170" s="1445"/>
      <c r="E170" s="1446"/>
      <c r="F170" s="178" t="s">
        <v>1731</v>
      </c>
      <c r="G170" s="123"/>
      <c r="M170" s="80"/>
      <c r="N170" s="80"/>
      <c r="O170" s="80"/>
      <c r="Q170" s="80"/>
      <c r="R170" s="80"/>
      <c r="S170" s="80"/>
      <c r="T170" s="80"/>
      <c r="U170" s="80"/>
      <c r="V170" s="80"/>
      <c r="W170" s="80"/>
      <c r="X170" s="80"/>
    </row>
    <row r="171" spans="1:24" ht="18" customHeight="1" x14ac:dyDescent="0.25">
      <c r="A171" s="1447"/>
      <c r="B171" s="1424"/>
      <c r="C171" s="1424"/>
      <c r="D171" s="1424"/>
      <c r="E171" s="1423"/>
      <c r="F171" s="175"/>
      <c r="G171" s="123"/>
      <c r="M171" s="80"/>
      <c r="N171" s="80"/>
      <c r="O171" s="80"/>
      <c r="Q171" s="80"/>
      <c r="R171" s="80"/>
      <c r="S171" s="80"/>
      <c r="T171" s="80"/>
      <c r="U171" s="80"/>
      <c r="V171" s="80"/>
      <c r="W171" s="80"/>
      <c r="X171" s="80"/>
    </row>
    <row r="172" spans="1:24" ht="18" customHeight="1" x14ac:dyDescent="0.25">
      <c r="A172" s="1448"/>
      <c r="B172" s="1428"/>
      <c r="C172" s="1428"/>
      <c r="D172" s="1428"/>
      <c r="E172" s="1427"/>
      <c r="F172" s="176"/>
      <c r="G172" s="123"/>
      <c r="M172" s="80"/>
      <c r="N172" s="80"/>
      <c r="O172" s="80"/>
      <c r="Q172" s="80"/>
      <c r="R172" s="80"/>
      <c r="S172" s="80"/>
      <c r="T172" s="80"/>
      <c r="U172" s="80"/>
      <c r="V172" s="80"/>
      <c r="W172" s="80"/>
      <c r="X172" s="80"/>
    </row>
    <row r="173" spans="1:24" ht="18" customHeight="1" x14ac:dyDescent="0.25">
      <c r="A173" s="1448"/>
      <c r="B173" s="1428"/>
      <c r="C173" s="1428"/>
      <c r="D173" s="1428"/>
      <c r="E173" s="1427"/>
      <c r="F173" s="176"/>
      <c r="G173" s="123"/>
      <c r="M173" s="80"/>
      <c r="N173" s="80"/>
      <c r="O173" s="80"/>
      <c r="Q173" s="80"/>
      <c r="R173" s="80"/>
      <c r="S173" s="80"/>
      <c r="T173" s="80"/>
      <c r="U173" s="80"/>
      <c r="V173" s="80"/>
      <c r="W173" s="80"/>
      <c r="X173" s="80"/>
    </row>
    <row r="174" spans="1:24" ht="18" customHeight="1" x14ac:dyDescent="0.25">
      <c r="A174" s="1448"/>
      <c r="B174" s="1428"/>
      <c r="C174" s="1428"/>
      <c r="D174" s="1428"/>
      <c r="E174" s="1427"/>
      <c r="F174" s="176"/>
      <c r="G174" s="123"/>
      <c r="M174" s="80"/>
      <c r="N174" s="80"/>
      <c r="O174" s="80"/>
      <c r="Q174" s="80"/>
      <c r="R174" s="80"/>
      <c r="S174" s="80"/>
      <c r="T174" s="80"/>
      <c r="U174" s="80"/>
      <c r="V174" s="80"/>
      <c r="W174" s="80"/>
      <c r="X174" s="80"/>
    </row>
    <row r="175" spans="1:24" ht="18" customHeight="1" x14ac:dyDescent="0.25">
      <c r="A175" s="1448"/>
      <c r="B175" s="1428"/>
      <c r="C175" s="1428"/>
      <c r="D175" s="1428"/>
      <c r="E175" s="1427"/>
      <c r="F175" s="176"/>
      <c r="G175" s="123"/>
      <c r="M175" s="80"/>
      <c r="N175" s="80"/>
      <c r="O175" s="80"/>
      <c r="Q175" s="80"/>
      <c r="R175" s="80"/>
      <c r="S175" s="80"/>
      <c r="T175" s="80"/>
      <c r="U175" s="80"/>
      <c r="V175" s="80"/>
      <c r="W175" s="80"/>
      <c r="X175" s="80"/>
    </row>
    <row r="176" spans="1:24" ht="18" customHeight="1" thickBot="1" x14ac:dyDescent="0.3">
      <c r="A176" s="1449"/>
      <c r="B176" s="1432"/>
      <c r="C176" s="1432"/>
      <c r="D176" s="1432"/>
      <c r="E176" s="1431"/>
      <c r="F176" s="177"/>
      <c r="G176" s="123"/>
      <c r="M176" s="80"/>
      <c r="N176" s="80"/>
      <c r="O176" s="80"/>
      <c r="Q176" s="80"/>
      <c r="R176" s="80"/>
      <c r="S176" s="80"/>
      <c r="T176" s="80"/>
      <c r="U176" s="80"/>
      <c r="V176" s="80"/>
      <c r="W176" s="80"/>
      <c r="X176" s="80"/>
    </row>
    <row r="177" spans="1:24" ht="18" customHeight="1" x14ac:dyDescent="0.25">
      <c r="A177" s="1024" t="s">
        <v>1726</v>
      </c>
      <c r="B177" s="1450"/>
      <c r="C177" s="1451" t="str">
        <f>IF(ISBLANK('Section 9| Compliance Plan'!B30),"",'Section 9| Compliance Plan'!B30)</f>
        <v/>
      </c>
      <c r="D177" s="1452"/>
      <c r="E177" s="1452"/>
      <c r="F177" s="1453"/>
      <c r="G177" s="123"/>
      <c r="M177" s="80"/>
      <c r="N177" s="80"/>
      <c r="O177" s="80"/>
      <c r="Q177" s="80"/>
      <c r="R177" s="80"/>
      <c r="S177" s="80"/>
      <c r="T177" s="80"/>
      <c r="U177" s="80"/>
      <c r="V177" s="80"/>
      <c r="W177" s="80"/>
      <c r="X177" s="80"/>
    </row>
    <row r="178" spans="1:24" ht="18" customHeight="1" x14ac:dyDescent="0.25">
      <c r="A178" s="1032" t="s">
        <v>1727</v>
      </c>
      <c r="B178" s="1434"/>
      <c r="C178" s="1435" t="str">
        <f>IF(ISBLANK('Section 9| Compliance Plan'!A30),"",'Section 9| Compliance Plan'!A30)</f>
        <v/>
      </c>
      <c r="D178" s="1436"/>
      <c r="E178" s="1436"/>
      <c r="F178" s="1437"/>
      <c r="G178" s="123"/>
      <c r="M178" s="80"/>
      <c r="N178" s="80"/>
      <c r="O178" s="80"/>
      <c r="Q178" s="80"/>
      <c r="R178" s="80"/>
      <c r="S178" s="80"/>
      <c r="T178" s="80"/>
      <c r="U178" s="80"/>
      <c r="V178" s="80"/>
      <c r="W178" s="80"/>
      <c r="X178" s="80"/>
    </row>
    <row r="179" spans="1:24" ht="18" customHeight="1" x14ac:dyDescent="0.25">
      <c r="A179" s="1438" t="s">
        <v>1728</v>
      </c>
      <c r="B179" s="1439"/>
      <c r="C179" s="1439"/>
      <c r="D179" s="1439"/>
      <c r="E179" s="1439"/>
      <c r="F179" s="1440"/>
      <c r="G179" s="123"/>
      <c r="M179" s="80"/>
      <c r="N179" s="80"/>
      <c r="O179" s="80"/>
      <c r="Q179" s="80"/>
      <c r="R179" s="80"/>
      <c r="S179" s="80"/>
      <c r="T179" s="80"/>
      <c r="U179" s="80"/>
      <c r="V179" s="80"/>
      <c r="W179" s="80"/>
      <c r="X179" s="80"/>
    </row>
    <row r="180" spans="1:24" ht="65.099999999999994" customHeight="1" x14ac:dyDescent="0.25">
      <c r="A180" s="1441"/>
      <c r="B180" s="1442"/>
      <c r="C180" s="1442"/>
      <c r="D180" s="1442"/>
      <c r="E180" s="1442"/>
      <c r="F180" s="1443"/>
      <c r="G180" s="123"/>
      <c r="M180" s="80"/>
      <c r="N180" s="80"/>
      <c r="O180" s="80"/>
      <c r="Q180" s="80"/>
      <c r="R180" s="80"/>
      <c r="S180" s="80"/>
      <c r="T180" s="80"/>
      <c r="U180" s="80"/>
      <c r="V180" s="80"/>
      <c r="W180" s="80"/>
      <c r="X180" s="80"/>
    </row>
    <row r="181" spans="1:24" ht="18" customHeight="1" x14ac:dyDescent="0.25">
      <c r="A181" s="1438" t="s">
        <v>1729</v>
      </c>
      <c r="B181" s="1439"/>
      <c r="C181" s="1439"/>
      <c r="D181" s="1439"/>
      <c r="E181" s="1439"/>
      <c r="F181" s="1440"/>
      <c r="G181" s="123"/>
      <c r="M181" s="80"/>
      <c r="N181" s="80"/>
      <c r="O181" s="80"/>
      <c r="Q181" s="80"/>
      <c r="R181" s="80"/>
      <c r="S181" s="80"/>
      <c r="T181" s="80"/>
      <c r="U181" s="80"/>
      <c r="V181" s="80"/>
      <c r="W181" s="80"/>
      <c r="X181" s="80"/>
    </row>
    <row r="182" spans="1:24" ht="18" customHeight="1" x14ac:dyDescent="0.25">
      <c r="A182" s="1444" t="s">
        <v>1730</v>
      </c>
      <c r="B182" s="1445"/>
      <c r="C182" s="1445"/>
      <c r="D182" s="1445"/>
      <c r="E182" s="1446"/>
      <c r="F182" s="178" t="s">
        <v>1731</v>
      </c>
      <c r="G182" s="123"/>
      <c r="M182" s="80"/>
      <c r="N182" s="80"/>
      <c r="O182" s="80"/>
      <c r="Q182" s="80"/>
      <c r="R182" s="80"/>
      <c r="S182" s="80"/>
      <c r="T182" s="80"/>
      <c r="U182" s="80"/>
      <c r="V182" s="80"/>
      <c r="W182" s="80"/>
      <c r="X182" s="80"/>
    </row>
    <row r="183" spans="1:24" ht="18" customHeight="1" x14ac:dyDescent="0.25">
      <c r="A183" s="1447"/>
      <c r="B183" s="1424"/>
      <c r="C183" s="1424"/>
      <c r="D183" s="1424"/>
      <c r="E183" s="1423"/>
      <c r="F183" s="175"/>
      <c r="G183" s="123"/>
      <c r="M183" s="80"/>
      <c r="N183" s="80"/>
      <c r="O183" s="80"/>
      <c r="Q183" s="80"/>
      <c r="R183" s="80"/>
      <c r="S183" s="80"/>
      <c r="T183" s="80"/>
      <c r="U183" s="80"/>
      <c r="V183" s="80"/>
      <c r="W183" s="80"/>
      <c r="X183" s="80"/>
    </row>
    <row r="184" spans="1:24" ht="18" customHeight="1" x14ac:dyDescent="0.25">
      <c r="A184" s="1448"/>
      <c r="B184" s="1428"/>
      <c r="C184" s="1428"/>
      <c r="D184" s="1428"/>
      <c r="E184" s="1427"/>
      <c r="F184" s="176"/>
      <c r="G184" s="123"/>
      <c r="M184" s="80"/>
      <c r="N184" s="80"/>
      <c r="O184" s="80"/>
      <c r="Q184" s="80"/>
      <c r="R184" s="80"/>
      <c r="S184" s="80"/>
      <c r="T184" s="80"/>
      <c r="U184" s="80"/>
      <c r="V184" s="80"/>
      <c r="W184" s="80"/>
      <c r="X184" s="80"/>
    </row>
    <row r="185" spans="1:24" ht="18" customHeight="1" x14ac:dyDescent="0.25">
      <c r="A185" s="1448"/>
      <c r="B185" s="1428"/>
      <c r="C185" s="1428"/>
      <c r="D185" s="1428"/>
      <c r="E185" s="1427"/>
      <c r="F185" s="176"/>
      <c r="G185" s="123"/>
      <c r="M185" s="80"/>
      <c r="N185" s="80"/>
      <c r="O185" s="80"/>
      <c r="Q185" s="80"/>
      <c r="R185" s="80"/>
      <c r="S185" s="80"/>
      <c r="T185" s="80"/>
      <c r="U185" s="80"/>
      <c r="V185" s="80"/>
      <c r="W185" s="80"/>
      <c r="X185" s="80"/>
    </row>
    <row r="186" spans="1:24" ht="18" customHeight="1" x14ac:dyDescent="0.25">
      <c r="A186" s="1448"/>
      <c r="B186" s="1428"/>
      <c r="C186" s="1428"/>
      <c r="D186" s="1428"/>
      <c r="E186" s="1427"/>
      <c r="F186" s="176"/>
      <c r="G186" s="123"/>
      <c r="M186" s="80"/>
      <c r="N186" s="80"/>
      <c r="O186" s="80"/>
      <c r="Q186" s="80"/>
      <c r="R186" s="80"/>
      <c r="S186" s="80"/>
      <c r="T186" s="80"/>
      <c r="U186" s="80"/>
      <c r="V186" s="80"/>
      <c r="W186" s="80"/>
      <c r="X186" s="80"/>
    </row>
    <row r="187" spans="1:24" ht="18" customHeight="1" x14ac:dyDescent="0.25">
      <c r="A187" s="1448"/>
      <c r="B187" s="1428"/>
      <c r="C187" s="1428"/>
      <c r="D187" s="1428"/>
      <c r="E187" s="1427"/>
      <c r="F187" s="176"/>
      <c r="G187" s="123"/>
      <c r="M187" s="80"/>
      <c r="N187" s="80"/>
      <c r="O187" s="80"/>
      <c r="Q187" s="80"/>
      <c r="R187" s="80"/>
      <c r="S187" s="80"/>
      <c r="T187" s="80"/>
      <c r="U187" s="80"/>
      <c r="V187" s="80"/>
      <c r="W187" s="80"/>
      <c r="X187" s="80"/>
    </row>
    <row r="188" spans="1:24" ht="18" customHeight="1" thickBot="1" x14ac:dyDescent="0.3">
      <c r="A188" s="1449"/>
      <c r="B188" s="1432"/>
      <c r="C188" s="1432"/>
      <c r="D188" s="1432"/>
      <c r="E188" s="1431"/>
      <c r="F188" s="177"/>
      <c r="G188" s="123"/>
      <c r="M188" s="80"/>
      <c r="N188" s="80"/>
      <c r="O188" s="80"/>
      <c r="Q188" s="80"/>
      <c r="R188" s="80"/>
      <c r="S188" s="80"/>
      <c r="T188" s="80"/>
      <c r="U188" s="80"/>
      <c r="V188" s="80"/>
      <c r="W188" s="80"/>
      <c r="X188" s="80"/>
    </row>
  </sheetData>
  <sheetProtection algorithmName="SHA-512" hashValue="87nfRo0achnXWY85SyZffpEI96adnJf6LRjiN/zH/2mtmUKh/BAQb87oezQ+3fbmhMI4LzPpnQdNEEMYb1O71w==" saltValue="wMRwYWilYy1aCfp9+n7Vyw==" spinCount="100000" sheet="1" objects="1" scenarios="1"/>
  <mergeCells count="218">
    <mergeCell ref="A186:E186"/>
    <mergeCell ref="A187:E187"/>
    <mergeCell ref="A188:E188"/>
    <mergeCell ref="A178:B178"/>
    <mergeCell ref="C178:F178"/>
    <mergeCell ref="A179:F179"/>
    <mergeCell ref="A180:F180"/>
    <mergeCell ref="A181:F181"/>
    <mergeCell ref="A182:E182"/>
    <mergeCell ref="A183:E183"/>
    <mergeCell ref="A184:E184"/>
    <mergeCell ref="A185:E185"/>
    <mergeCell ref="A169:F169"/>
    <mergeCell ref="A170:E170"/>
    <mergeCell ref="A171:E171"/>
    <mergeCell ref="A172:E172"/>
    <mergeCell ref="A173:E173"/>
    <mergeCell ref="A174:E174"/>
    <mergeCell ref="A175:E175"/>
    <mergeCell ref="A176:E176"/>
    <mergeCell ref="A177:B177"/>
    <mergeCell ref="C177:F177"/>
    <mergeCell ref="A162:E162"/>
    <mergeCell ref="A163:E163"/>
    <mergeCell ref="A164:E164"/>
    <mergeCell ref="A165:B165"/>
    <mergeCell ref="C165:F165"/>
    <mergeCell ref="A166:B166"/>
    <mergeCell ref="C166:F166"/>
    <mergeCell ref="A167:F167"/>
    <mergeCell ref="A168:F168"/>
    <mergeCell ref="A154:B154"/>
    <mergeCell ref="C154:F154"/>
    <mergeCell ref="A155:F155"/>
    <mergeCell ref="A156:F156"/>
    <mergeCell ref="A157:F157"/>
    <mergeCell ref="A158:E158"/>
    <mergeCell ref="A159:E159"/>
    <mergeCell ref="A160:E160"/>
    <mergeCell ref="A161:E161"/>
    <mergeCell ref="A145:F145"/>
    <mergeCell ref="A146:E146"/>
    <mergeCell ref="A147:E147"/>
    <mergeCell ref="A148:E148"/>
    <mergeCell ref="A149:E149"/>
    <mergeCell ref="A150:E150"/>
    <mergeCell ref="A151:E151"/>
    <mergeCell ref="A152:E152"/>
    <mergeCell ref="A153:B153"/>
    <mergeCell ref="C153:F153"/>
    <mergeCell ref="A138:E138"/>
    <mergeCell ref="A139:E139"/>
    <mergeCell ref="A140:E140"/>
    <mergeCell ref="A141:B141"/>
    <mergeCell ref="C141:F141"/>
    <mergeCell ref="A142:B142"/>
    <mergeCell ref="C142:F142"/>
    <mergeCell ref="A143:F143"/>
    <mergeCell ref="A144:F144"/>
    <mergeCell ref="A130:B130"/>
    <mergeCell ref="C130:F130"/>
    <mergeCell ref="A131:F131"/>
    <mergeCell ref="A132:F132"/>
    <mergeCell ref="A133:F133"/>
    <mergeCell ref="A134:E134"/>
    <mergeCell ref="A135:E135"/>
    <mergeCell ref="A136:E136"/>
    <mergeCell ref="A137:E137"/>
    <mergeCell ref="A121:F121"/>
    <mergeCell ref="A122:E122"/>
    <mergeCell ref="A123:E123"/>
    <mergeCell ref="A124:E124"/>
    <mergeCell ref="A125:E125"/>
    <mergeCell ref="A126:E126"/>
    <mergeCell ref="A127:E127"/>
    <mergeCell ref="A128:E128"/>
    <mergeCell ref="A129:B129"/>
    <mergeCell ref="C129:F129"/>
    <mergeCell ref="A1:K1"/>
    <mergeCell ref="A2:K2"/>
    <mergeCell ref="A3:K3"/>
    <mergeCell ref="A5:L5"/>
    <mergeCell ref="A4:K4"/>
    <mergeCell ref="A6:K6"/>
    <mergeCell ref="A7:F7"/>
    <mergeCell ref="A8:F8"/>
    <mergeCell ref="A21:B21"/>
    <mergeCell ref="C21:F21"/>
    <mergeCell ref="A10:B10"/>
    <mergeCell ref="A9:B9"/>
    <mergeCell ref="C10:F10"/>
    <mergeCell ref="C9:F9"/>
    <mergeCell ref="A12:F12"/>
    <mergeCell ref="A11:F11"/>
    <mergeCell ref="A13:F13"/>
    <mergeCell ref="A20:E20"/>
    <mergeCell ref="A19:E19"/>
    <mergeCell ref="A18:E18"/>
    <mergeCell ref="A17:E17"/>
    <mergeCell ref="A16:E16"/>
    <mergeCell ref="A15:E15"/>
    <mergeCell ref="A14:E14"/>
    <mergeCell ref="A22:B22"/>
    <mergeCell ref="C22:F22"/>
    <mergeCell ref="A23:F23"/>
    <mergeCell ref="A24:F24"/>
    <mergeCell ref="A25:F25"/>
    <mergeCell ref="A26:E26"/>
    <mergeCell ref="A27:E27"/>
    <mergeCell ref="A28:E28"/>
    <mergeCell ref="A29:E29"/>
    <mergeCell ref="A30:E30"/>
    <mergeCell ref="A31:E31"/>
    <mergeCell ref="A32:E32"/>
    <mergeCell ref="A33:B33"/>
    <mergeCell ref="C33:F33"/>
    <mergeCell ref="A34:B34"/>
    <mergeCell ref="C34:F34"/>
    <mergeCell ref="A35:F35"/>
    <mergeCell ref="A36:F36"/>
    <mergeCell ref="A37:F37"/>
    <mergeCell ref="A38:E38"/>
    <mergeCell ref="A39:E39"/>
    <mergeCell ref="A40:E40"/>
    <mergeCell ref="A41:E41"/>
    <mergeCell ref="A42:E42"/>
    <mergeCell ref="A43:E43"/>
    <mergeCell ref="A44:E44"/>
    <mergeCell ref="A45:B45"/>
    <mergeCell ref="C45:F45"/>
    <mergeCell ref="A46:B46"/>
    <mergeCell ref="C46:F46"/>
    <mergeCell ref="A47:F47"/>
    <mergeCell ref="A48:F48"/>
    <mergeCell ref="A49:F49"/>
    <mergeCell ref="A50:E50"/>
    <mergeCell ref="A51:E51"/>
    <mergeCell ref="A52:E52"/>
    <mergeCell ref="A53:E53"/>
    <mergeCell ref="A54:E54"/>
    <mergeCell ref="A55:E55"/>
    <mergeCell ref="A56:E56"/>
    <mergeCell ref="A57:B57"/>
    <mergeCell ref="C57:F57"/>
    <mergeCell ref="A58:B58"/>
    <mergeCell ref="C58:F58"/>
    <mergeCell ref="A59:F59"/>
    <mergeCell ref="A60:F60"/>
    <mergeCell ref="A61:F61"/>
    <mergeCell ref="A62:E62"/>
    <mergeCell ref="A63:E63"/>
    <mergeCell ref="A64:E64"/>
    <mergeCell ref="A65:E65"/>
    <mergeCell ref="A66:E66"/>
    <mergeCell ref="A67:E67"/>
    <mergeCell ref="A68:E68"/>
    <mergeCell ref="A69:B69"/>
    <mergeCell ref="C69:F69"/>
    <mergeCell ref="A70:B70"/>
    <mergeCell ref="C70:F70"/>
    <mergeCell ref="A71:F71"/>
    <mergeCell ref="A72:F72"/>
    <mergeCell ref="A73:F73"/>
    <mergeCell ref="A74:E74"/>
    <mergeCell ref="A75:E75"/>
    <mergeCell ref="A76:E76"/>
    <mergeCell ref="A77:E77"/>
    <mergeCell ref="A78:E78"/>
    <mergeCell ref="A79:E79"/>
    <mergeCell ref="A80:E80"/>
    <mergeCell ref="A81:B81"/>
    <mergeCell ref="C81:F81"/>
    <mergeCell ref="A82:B82"/>
    <mergeCell ref="C82:F82"/>
    <mergeCell ref="A83:F83"/>
    <mergeCell ref="A84:F84"/>
    <mergeCell ref="A85:F85"/>
    <mergeCell ref="A86:E86"/>
    <mergeCell ref="A87:E87"/>
    <mergeCell ref="A88:E88"/>
    <mergeCell ref="A89:E89"/>
    <mergeCell ref="A90:E90"/>
    <mergeCell ref="A91:E91"/>
    <mergeCell ref="A92:E92"/>
    <mergeCell ref="A93:B93"/>
    <mergeCell ref="C93:F93"/>
    <mergeCell ref="A94:B94"/>
    <mergeCell ref="C94:F94"/>
    <mergeCell ref="A95:F95"/>
    <mergeCell ref="A96:F96"/>
    <mergeCell ref="A97:F97"/>
    <mergeCell ref="A98:E98"/>
    <mergeCell ref="A99:E99"/>
    <mergeCell ref="A100:E100"/>
    <mergeCell ref="A101:E101"/>
    <mergeCell ref="A102:E102"/>
    <mergeCell ref="A103:E103"/>
    <mergeCell ref="A104:E104"/>
    <mergeCell ref="A105:B105"/>
    <mergeCell ref="C105:F105"/>
    <mergeCell ref="A106:B106"/>
    <mergeCell ref="C106:F106"/>
    <mergeCell ref="A107:F107"/>
    <mergeCell ref="A108:F108"/>
    <mergeCell ref="A118:B118"/>
    <mergeCell ref="C118:F118"/>
    <mergeCell ref="A119:F119"/>
    <mergeCell ref="A120:F120"/>
    <mergeCell ref="A109:F109"/>
    <mergeCell ref="A110:E110"/>
    <mergeCell ref="A111:E111"/>
    <mergeCell ref="A112:E112"/>
    <mergeCell ref="A113:E113"/>
    <mergeCell ref="A114:E114"/>
    <mergeCell ref="A115:E115"/>
    <mergeCell ref="A116:E116"/>
    <mergeCell ref="A117:B117"/>
    <mergeCell ref="C117:F117"/>
  </mergeCells>
  <conditionalFormatting sqref="A12:F12">
    <cfRule type="expression" dxfId="24" priority="47">
      <formula>AND(NOT(C9=""),NOT(C10=""),ISBLANK(A12))</formula>
    </cfRule>
  </conditionalFormatting>
  <conditionalFormatting sqref="A24:F24">
    <cfRule type="expression" dxfId="23" priority="14">
      <formula>AND(NOT(C21=""),NOT(C22=""),ISBLANK(A24))</formula>
    </cfRule>
  </conditionalFormatting>
  <conditionalFormatting sqref="A36:F36">
    <cfRule type="expression" dxfId="22" priority="13">
      <formula>AND(NOT(C33=""),NOT(C34=""),ISBLANK(A36))</formula>
    </cfRule>
  </conditionalFormatting>
  <conditionalFormatting sqref="A48:F48">
    <cfRule type="expression" dxfId="21" priority="12">
      <formula>AND(NOT(C45=""),NOT(C46=""),ISBLANK(A48))</formula>
    </cfRule>
  </conditionalFormatting>
  <conditionalFormatting sqref="A60:F60">
    <cfRule type="expression" dxfId="20" priority="11">
      <formula>AND(NOT(C57=""),NOT(C58=""),ISBLANK(A60))</formula>
    </cfRule>
  </conditionalFormatting>
  <conditionalFormatting sqref="A72:F72">
    <cfRule type="expression" dxfId="19" priority="10">
      <formula>AND(NOT(C69=""),NOT(C70=""),ISBLANK(A72))</formula>
    </cfRule>
  </conditionalFormatting>
  <conditionalFormatting sqref="A84:F84">
    <cfRule type="expression" dxfId="18" priority="9">
      <formula>AND(NOT(C81=""),NOT(C82=""),ISBLANK(A84))</formula>
    </cfRule>
  </conditionalFormatting>
  <conditionalFormatting sqref="A96:F96">
    <cfRule type="expression" dxfId="17" priority="8">
      <formula>AND(NOT(C93=""),NOT(C94=""),ISBLANK(A96))</formula>
    </cfRule>
  </conditionalFormatting>
  <conditionalFormatting sqref="A108:F108">
    <cfRule type="expression" dxfId="16" priority="7">
      <formula>AND(NOT(C105=""),NOT(C106=""),ISBLANK(A108))</formula>
    </cfRule>
  </conditionalFormatting>
  <conditionalFormatting sqref="A120:F120">
    <cfRule type="expression" dxfId="15" priority="6">
      <formula>AND(NOT(C117=""),NOT(C118=""),ISBLANK(A120))</formula>
    </cfRule>
  </conditionalFormatting>
  <conditionalFormatting sqref="A132:F132">
    <cfRule type="expression" dxfId="14" priority="5">
      <formula>AND(NOT(C129=""),NOT(C130=""),ISBLANK(A132))</formula>
    </cfRule>
  </conditionalFormatting>
  <conditionalFormatting sqref="A144:F144">
    <cfRule type="expression" dxfId="13" priority="4">
      <formula>AND(NOT(C141=""),NOT(C142=""),ISBLANK(A144))</formula>
    </cfRule>
  </conditionalFormatting>
  <conditionalFormatting sqref="A156:F156">
    <cfRule type="expression" dxfId="12" priority="3">
      <formula>AND(NOT(C153=""),NOT(C154=""),ISBLANK(A156))</formula>
    </cfRule>
  </conditionalFormatting>
  <conditionalFormatting sqref="A168:F168">
    <cfRule type="expression" dxfId="11" priority="2">
      <formula>AND(NOT(C165=""),NOT(C166=""),ISBLANK(A168))</formula>
    </cfRule>
  </conditionalFormatting>
  <conditionalFormatting sqref="A180:F180">
    <cfRule type="expression" dxfId="10" priority="1">
      <formula>AND(NOT(C177=""),NOT(C178=""),ISBLANK(A180))</formula>
    </cfRule>
  </conditionalFormatting>
  <printOptions horizontalCentered="1"/>
  <pageMargins left="0.5" right="0.5" top="0.5" bottom="0.5" header="0.3" footer="0.3"/>
  <pageSetup scale="84" fitToHeight="0" orientation="portrait" r:id="rId1"/>
  <headerFooter>
    <oddFooter xml:space="preserve">&amp;LRev. 2/2014&amp;C&amp;A&amp;RPage &amp;P </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tabColor rgb="FFFFFF00"/>
    <pageSetUpPr fitToPage="1"/>
  </sheetPr>
  <dimension ref="A1:X90"/>
  <sheetViews>
    <sheetView showGridLines="0" zoomScaleNormal="100" workbookViewId="0">
      <selection sqref="A1:H1"/>
    </sheetView>
  </sheetViews>
  <sheetFormatPr defaultRowHeight="20.100000000000001" customHeight="1" x14ac:dyDescent="0.25"/>
  <cols>
    <col min="1" max="3" width="18.28515625" style="48" customWidth="1"/>
    <col min="4" max="4" width="13.7109375" style="48" customWidth="1"/>
    <col min="5" max="5" width="38" style="48" customWidth="1"/>
    <col min="6" max="6" width="15.42578125" style="48" customWidth="1"/>
    <col min="7" max="7" width="51.140625" style="48" customWidth="1"/>
    <col min="8" max="8" width="6.7109375" style="48" customWidth="1"/>
    <col min="9" max="12" width="10.7109375" style="48" customWidth="1"/>
    <col min="13" max="16" width="9.140625" style="48" customWidth="1"/>
    <col min="17" max="17" width="9.140625" style="48"/>
    <col min="18" max="18" width="9.140625" style="48" customWidth="1"/>
    <col min="19" max="16384" width="9.140625" style="48"/>
  </cols>
  <sheetData>
    <row r="1" spans="1:24" s="69" customFormat="1" ht="26.25" customHeight="1" thickBot="1" x14ac:dyDescent="0.3">
      <c r="A1" s="1122" t="s">
        <v>1771</v>
      </c>
      <c r="B1" s="1122"/>
      <c r="C1" s="1122"/>
      <c r="D1" s="1122"/>
      <c r="E1" s="1122"/>
      <c r="F1" s="1122"/>
      <c r="G1" s="1122"/>
      <c r="H1" s="1122"/>
      <c r="I1" s="79"/>
      <c r="J1" s="79"/>
      <c r="K1" s="79"/>
      <c r="L1" s="79"/>
    </row>
    <row r="2" spans="1:24" s="164" customFormat="1" ht="35.1" customHeight="1" x14ac:dyDescent="0.25">
      <c r="A2" s="1172" t="s">
        <v>1867</v>
      </c>
      <c r="B2" s="1172"/>
      <c r="C2" s="1172"/>
      <c r="D2" s="1172"/>
      <c r="E2" s="1172"/>
      <c r="F2" s="1172"/>
      <c r="G2" s="1172"/>
      <c r="H2" s="167"/>
      <c r="I2" s="167"/>
      <c r="J2" s="167"/>
      <c r="K2" s="167"/>
      <c r="L2" s="167"/>
    </row>
    <row r="3" spans="1:24" s="164" customFormat="1" ht="20.100000000000001" customHeight="1" x14ac:dyDescent="0.25">
      <c r="A3" s="1454" t="s">
        <v>1772</v>
      </c>
      <c r="B3" s="1454"/>
      <c r="C3" s="1454"/>
      <c r="D3" s="1454"/>
      <c r="E3" s="1454"/>
      <c r="F3" s="1454"/>
      <c r="G3" s="1454"/>
      <c r="H3" s="224"/>
      <c r="I3" s="224"/>
      <c r="J3" s="224"/>
      <c r="K3" s="224"/>
      <c r="L3" s="224"/>
    </row>
    <row r="4" spans="1:24" s="164" customFormat="1" ht="20.100000000000001" customHeight="1" x14ac:dyDescent="0.25">
      <c r="A4" s="1454" t="s">
        <v>1773</v>
      </c>
      <c r="B4" s="1454"/>
      <c r="C4" s="1454"/>
      <c r="D4" s="1454"/>
      <c r="E4" s="1454"/>
      <c r="F4" s="1454"/>
      <c r="G4" s="1454"/>
      <c r="H4" s="224"/>
      <c r="I4" s="224"/>
      <c r="J4" s="224"/>
      <c r="K4" s="224"/>
      <c r="L4" s="224"/>
    </row>
    <row r="5" spans="1:24" s="164" customFormat="1" ht="35.1" customHeight="1" thickBot="1" x14ac:dyDescent="0.3">
      <c r="A5" s="1195" t="s">
        <v>1866</v>
      </c>
      <c r="B5" s="1195"/>
      <c r="C5" s="1195"/>
      <c r="D5" s="1195"/>
      <c r="E5" s="1195"/>
      <c r="F5" s="1195"/>
      <c r="G5" s="1195"/>
      <c r="H5" s="470"/>
      <c r="I5" s="218"/>
      <c r="J5" s="218"/>
      <c r="K5" s="218"/>
      <c r="L5" s="218"/>
    </row>
    <row r="6" spans="1:24" s="70" customFormat="1" ht="19.5" thickBot="1" x14ac:dyDescent="0.3">
      <c r="A6" s="1087" t="s">
        <v>1724</v>
      </c>
      <c r="B6" s="1087"/>
      <c r="C6" s="1087"/>
      <c r="D6" s="1087"/>
      <c r="E6" s="1087"/>
      <c r="F6" s="1087"/>
      <c r="G6" s="1087"/>
      <c r="H6" s="1087"/>
      <c r="I6" s="90"/>
      <c r="J6" s="90"/>
      <c r="K6" s="90"/>
      <c r="L6" s="90"/>
    </row>
    <row r="7" spans="1:24" ht="60" customHeight="1" x14ac:dyDescent="0.25">
      <c r="A7" s="988"/>
      <c r="B7" s="988"/>
      <c r="C7" s="988"/>
      <c r="D7" s="988"/>
      <c r="E7" s="988"/>
      <c r="F7" s="988"/>
    </row>
    <row r="8" spans="1:24" ht="24.95" customHeight="1" thickBot="1" x14ac:dyDescent="0.3">
      <c r="A8" s="885" t="s">
        <v>1770</v>
      </c>
      <c r="B8" s="885"/>
      <c r="C8" s="885"/>
      <c r="D8" s="885"/>
      <c r="E8" s="885"/>
      <c r="F8" s="885"/>
    </row>
    <row r="9" spans="1:24" ht="35.1" customHeight="1" thickBot="1" x14ac:dyDescent="0.3">
      <c r="A9" s="1475" t="s">
        <v>1784</v>
      </c>
      <c r="B9" s="1476"/>
      <c r="C9" s="1476"/>
      <c r="D9" s="226" t="s">
        <v>1801</v>
      </c>
      <c r="E9" s="227" t="s">
        <v>1785</v>
      </c>
      <c r="F9" s="228" t="s">
        <v>2363</v>
      </c>
      <c r="M9" s="80"/>
      <c r="N9" s="81" t="b">
        <v>0</v>
      </c>
      <c r="O9" s="81" t="b">
        <v>0</v>
      </c>
      <c r="Q9" s="124" t="b">
        <f>IF(OR(AND(N9=TRUE,O9=FALSE),AND(N9=FALSE,O9=TRUE)),TRUE,FALSE)</f>
        <v>0</v>
      </c>
      <c r="R9" s="124"/>
      <c r="S9" s="81" t="b">
        <v>0</v>
      </c>
      <c r="T9" s="81" t="b">
        <v>0</v>
      </c>
      <c r="U9" s="80"/>
      <c r="V9" s="124" t="b">
        <f>IF(OR(AND(S9=TRUE,T9=FALSE),AND(S9=FALSE,T9=TRUE)),TRUE,FALSE)</f>
        <v>0</v>
      </c>
      <c r="W9" s="80" t="b">
        <f>IF(AND(Q9=TRUE,V9=TRUE),TRUE,FALSE)</f>
        <v>0</v>
      </c>
      <c r="X9" s="80"/>
    </row>
    <row r="10" spans="1:24" ht="50.25" customHeight="1" thickBot="1" x14ac:dyDescent="0.3">
      <c r="A10" s="1386" t="str">
        <f>IF(OR(AND(N9=TRUE,Q9=TRUE,S9=TRUE,V9=TRUE),AND(O9=TRUE,Q9=TRUE)),"Continue with the remainder of the checklist.",IF(AND(N9=TRUE,Q9=TRUE,T9=TRUE,V9=TRUE),"Any pages not marked confidential will be considered open to the public.  Properly mark all forms you wish to remain confidential, then make necessary changes to answers provided above.",""))</f>
        <v/>
      </c>
      <c r="B10" s="1387"/>
      <c r="C10" s="1387"/>
      <c r="D10" s="1387"/>
      <c r="E10" s="1387"/>
      <c r="F10" s="1388"/>
    </row>
    <row r="11" spans="1:24" ht="35.1" customHeight="1" thickBot="1" x14ac:dyDescent="0.3">
      <c r="A11" s="1472" t="s">
        <v>1865</v>
      </c>
      <c r="B11" s="1473"/>
      <c r="C11" s="1473"/>
      <c r="D11" s="1473"/>
      <c r="E11" s="1474"/>
      <c r="F11" s="226" t="s">
        <v>1801</v>
      </c>
      <c r="M11" s="80"/>
      <c r="N11" s="81" t="b">
        <v>0</v>
      </c>
      <c r="O11" s="81" t="b">
        <v>0</v>
      </c>
      <c r="Q11" s="124" t="b">
        <f>IF(OR(AND(N11=TRUE,O11=FALSE),AND(N11=FALSE,O11=TRUE)),TRUE,FALSE)</f>
        <v>0</v>
      </c>
      <c r="R11" s="124"/>
      <c r="S11" s="80"/>
      <c r="T11" s="80"/>
      <c r="U11" s="80"/>
      <c r="V11" s="124"/>
      <c r="W11" s="80"/>
      <c r="X11" s="80"/>
    </row>
    <row r="12" spans="1:24" ht="50.25" customHeight="1" thickBot="1" x14ac:dyDescent="0.3">
      <c r="A12" s="1386" t="str">
        <f>IF(AND(N11=TRUE,Q11=TRUE),"You must submit the original signed operating permit application, as well as two (2) additional signed copies of the permit application.",IF(AND(O11=TRUE,Q11=TRUE),"Continue with the remainder of the checklist, and submit the original signed copy of the permit application when complete.",""))</f>
        <v/>
      </c>
      <c r="B12" s="1387"/>
      <c r="C12" s="1387"/>
      <c r="D12" s="1387"/>
      <c r="E12" s="1387"/>
      <c r="F12" s="1388"/>
    </row>
    <row r="13" spans="1:24" ht="50.1" customHeight="1" thickBot="1" x14ac:dyDescent="0.3">
      <c r="A13" s="1378" t="s">
        <v>1774</v>
      </c>
      <c r="B13" s="1379"/>
      <c r="C13" s="1379"/>
      <c r="D13" s="722" t="s">
        <v>1775</v>
      </c>
      <c r="E13" s="1380" t="s">
        <v>1776</v>
      </c>
      <c r="F13" s="1092"/>
      <c r="G13" s="107" t="s">
        <v>1783</v>
      </c>
      <c r="M13" s="124"/>
      <c r="N13" s="124" t="b">
        <f>IF(AND(W9=TRUE,Q11=TRUE),TRUE,FALSE)</f>
        <v>0</v>
      </c>
      <c r="O13" s="124"/>
      <c r="Q13" s="124"/>
      <c r="R13" s="124"/>
    </row>
    <row r="14" spans="1:24" ht="35.1" customHeight="1" x14ac:dyDescent="0.25">
      <c r="A14" s="1464" t="str">
        <f>PROPER('Section 1| General Information'!A9:F9)</f>
        <v>Section 1:  Administrative Information And Responsible Official Certification</v>
      </c>
      <c r="B14" s="1465"/>
      <c r="C14" s="1465"/>
      <c r="D14" s="161" t="s">
        <v>1799</v>
      </c>
      <c r="E14" s="1466"/>
      <c r="F14" s="1467"/>
      <c r="G14" s="221" t="str">
        <f>A14</f>
        <v>Section 1:  Administrative Information And Responsible Official Certification</v>
      </c>
      <c r="M14" s="124"/>
      <c r="N14" s="162" t="b">
        <v>0</v>
      </c>
      <c r="O14" s="162" t="b">
        <v>0</v>
      </c>
      <c r="Q14" s="124" t="b">
        <f>IF(OR(AND(N14=TRUE,O14=FALSE),AND(N14=FALSE,O14=TRUE)),TRUE,FALSE)</f>
        <v>0</v>
      </c>
      <c r="R14" s="124"/>
    </row>
    <row r="15" spans="1:24" ht="35.1" customHeight="1" x14ac:dyDescent="0.25">
      <c r="A15" s="1462" t="str">
        <f>PROPER('Section 2| Source Information'!A2:G2)</f>
        <v>Section 2:  Detailed Source Information</v>
      </c>
      <c r="B15" s="1463"/>
      <c r="C15" s="1463"/>
      <c r="D15" s="225" t="s">
        <v>1799</v>
      </c>
      <c r="E15" s="1460"/>
      <c r="F15" s="1461"/>
      <c r="G15" s="222" t="str">
        <f t="shared" ref="G15:G34" si="0">A15</f>
        <v>Section 2:  Detailed Source Information</v>
      </c>
      <c r="M15" s="80"/>
      <c r="N15" s="81" t="b">
        <v>0</v>
      </c>
      <c r="O15" s="81" t="b">
        <v>0</v>
      </c>
      <c r="Q15" s="124" t="b">
        <f t="shared" ref="Q15:Q31" si="1">IF(OR(AND(N15=TRUE,O15=FALSE),AND(N15=FALSE,O15=TRUE)),TRUE,FALSE)</f>
        <v>0</v>
      </c>
      <c r="R15" s="124"/>
      <c r="S15" s="80"/>
      <c r="T15" s="80"/>
      <c r="U15" s="80"/>
      <c r="V15" s="80"/>
      <c r="W15" s="80"/>
      <c r="X15" s="80"/>
    </row>
    <row r="16" spans="1:24" ht="35.1" customHeight="1" x14ac:dyDescent="0.25">
      <c r="A16" s="1462" t="str">
        <f>'Table 3-A| Emission Units'!A39</f>
        <v>Table 3-A:  Emission Unit Identification</v>
      </c>
      <c r="B16" s="1463"/>
      <c r="C16" s="1463"/>
      <c r="D16" s="225" t="s">
        <v>1799</v>
      </c>
      <c r="E16" s="1460"/>
      <c r="F16" s="1461"/>
      <c r="G16" s="222" t="str">
        <f t="shared" si="0"/>
        <v>Table 3-A:  Emission Unit Identification</v>
      </c>
      <c r="M16" s="80"/>
      <c r="N16" s="81" t="b">
        <v>0</v>
      </c>
      <c r="O16" s="81" t="b">
        <v>0</v>
      </c>
      <c r="Q16" s="124" t="b">
        <f t="shared" si="1"/>
        <v>0</v>
      </c>
      <c r="R16" s="124"/>
      <c r="S16" s="80"/>
      <c r="T16" s="80"/>
      <c r="U16" s="80"/>
      <c r="V16" s="80"/>
      <c r="W16" s="80"/>
      <c r="X16" s="80"/>
    </row>
    <row r="17" spans="1:24" ht="35.1" customHeight="1" x14ac:dyDescent="0.25">
      <c r="A17" s="1462" t="str">
        <f>'Table 3-B| Stack Info'!A35</f>
        <v>Table 3-B:  New/Modified/Reconstructed Stack / Release Point Information</v>
      </c>
      <c r="B17" s="1463"/>
      <c r="C17" s="1463"/>
      <c r="D17" s="225" t="s">
        <v>1799</v>
      </c>
      <c r="E17" s="1460"/>
      <c r="F17" s="1461"/>
      <c r="G17" s="222" t="str">
        <f t="shared" si="0"/>
        <v>Table 3-B:  New/Modified/Reconstructed Stack / Release Point Information</v>
      </c>
      <c r="M17" s="80"/>
      <c r="N17" s="81" t="b">
        <v>0</v>
      </c>
      <c r="O17" s="81" t="b">
        <v>0</v>
      </c>
      <c r="Q17" s="124" t="b">
        <f t="shared" si="1"/>
        <v>0</v>
      </c>
      <c r="R17" s="124"/>
      <c r="S17" s="80"/>
      <c r="T17" s="80"/>
      <c r="U17" s="80"/>
      <c r="V17" s="80"/>
      <c r="W17" s="80"/>
      <c r="X17" s="80"/>
    </row>
    <row r="18" spans="1:24" ht="35.1" customHeight="1" x14ac:dyDescent="0.25">
      <c r="A18" s="1462" t="str">
        <f>'Table 4-A| Insignificant List'!A11</f>
        <v>Table 4-A:  Insignificant Activities List</v>
      </c>
      <c r="B18" s="1463"/>
      <c r="C18" s="1463"/>
      <c r="D18" s="225" t="s">
        <v>1799</v>
      </c>
      <c r="E18" s="1460"/>
      <c r="F18" s="1461"/>
      <c r="G18" s="222" t="str">
        <f t="shared" si="0"/>
        <v>Table 4-A:  Insignificant Activities List</v>
      </c>
      <c r="M18" s="80"/>
      <c r="N18" s="81" t="b">
        <v>0</v>
      </c>
      <c r="O18" s="81" t="b">
        <v>0</v>
      </c>
      <c r="Q18" s="124" t="b">
        <f t="shared" si="1"/>
        <v>0</v>
      </c>
      <c r="R18" s="124"/>
      <c r="S18" s="80"/>
      <c r="T18" s="80"/>
      <c r="U18" s="80"/>
      <c r="V18" s="80"/>
      <c r="W18" s="80"/>
      <c r="X18" s="80"/>
    </row>
    <row r="19" spans="1:24" ht="35.1" customHeight="1" x14ac:dyDescent="0.25">
      <c r="A19" s="1462" t="str">
        <f>'Table 4-B| Oil Storage'!A7</f>
        <v>Table 4-B:  Insignificant Lubricating and Heavy Oil Storage Information</v>
      </c>
      <c r="B19" s="1463"/>
      <c r="C19" s="1463"/>
      <c r="D19" s="225" t="s">
        <v>1799</v>
      </c>
      <c r="E19" s="1460"/>
      <c r="F19" s="1461"/>
      <c r="G19" s="222" t="str">
        <f t="shared" si="0"/>
        <v>Table 4-B:  Insignificant Lubricating and Heavy Oil Storage Information</v>
      </c>
      <c r="M19" s="80"/>
      <c r="N19" s="81" t="b">
        <v>0</v>
      </c>
      <c r="O19" s="81" t="b">
        <v>0</v>
      </c>
      <c r="Q19" s="124" t="b">
        <f t="shared" si="1"/>
        <v>0</v>
      </c>
      <c r="R19" s="124"/>
      <c r="S19" s="80"/>
      <c r="T19" s="80"/>
      <c r="U19" s="80"/>
      <c r="V19" s="80"/>
      <c r="W19" s="80"/>
      <c r="X19" s="80"/>
    </row>
    <row r="20" spans="1:24" ht="35.1" customHeight="1" x14ac:dyDescent="0.25">
      <c r="A20" s="1462" t="str">
        <f>'Table 4-C| Cooling Towers'!A8</f>
        <v>Table 4-C:  Insignificant Cooling Towers</v>
      </c>
      <c r="B20" s="1463"/>
      <c r="C20" s="1463"/>
      <c r="D20" s="225" t="s">
        <v>1799</v>
      </c>
      <c r="E20" s="1460"/>
      <c r="F20" s="1461"/>
      <c r="G20" s="222" t="str">
        <f t="shared" si="0"/>
        <v>Table 4-C:  Insignificant Cooling Towers</v>
      </c>
      <c r="M20" s="80"/>
      <c r="N20" s="81" t="b">
        <v>0</v>
      </c>
      <c r="O20" s="81" t="b">
        <v>0</v>
      </c>
      <c r="Q20" s="124" t="b">
        <f t="shared" si="1"/>
        <v>0</v>
      </c>
      <c r="R20" s="124"/>
      <c r="S20" s="80"/>
      <c r="T20" s="80"/>
      <c r="U20" s="80"/>
      <c r="V20" s="80"/>
      <c r="W20" s="80"/>
      <c r="X20" s="80"/>
    </row>
    <row r="21" spans="1:24" ht="35.1" customHeight="1" x14ac:dyDescent="0.25">
      <c r="A21" s="1462" t="str">
        <f>'Table 5-A| Criteria MPTE'!A97</f>
        <v>Table 5-A:  MPTE – Regulated Air Pollutant Emissions</v>
      </c>
      <c r="B21" s="1463"/>
      <c r="C21" s="1463"/>
      <c r="D21" s="225" t="s">
        <v>1799</v>
      </c>
      <c r="E21" s="1460"/>
      <c r="F21" s="1461"/>
      <c r="G21" s="222" t="str">
        <f t="shared" si="0"/>
        <v>Table 5-A:  MPTE – Regulated Air Pollutant Emissions</v>
      </c>
      <c r="M21" s="80"/>
      <c r="N21" s="81" t="b">
        <v>0</v>
      </c>
      <c r="O21" s="81" t="b">
        <v>0</v>
      </c>
      <c r="Q21" s="124" t="b">
        <f t="shared" si="1"/>
        <v>0</v>
      </c>
      <c r="R21" s="124"/>
      <c r="S21" s="80"/>
      <c r="T21" s="80"/>
      <c r="U21" s="80"/>
      <c r="V21" s="80"/>
      <c r="W21" s="80"/>
      <c r="X21" s="80"/>
    </row>
    <row r="22" spans="1:24" ht="35.1" customHeight="1" x14ac:dyDescent="0.25">
      <c r="A22" s="1462" t="str">
        <f>'Table 5-B| MPTE VOC'!A26</f>
        <v>Table 5-B:  New/Modified/Reconstructed Emission Units MPTE – VOC Emissions from VOC-Containing Materials</v>
      </c>
      <c r="B22" s="1463"/>
      <c r="C22" s="1463"/>
      <c r="D22" s="225" t="s">
        <v>1799</v>
      </c>
      <c r="E22" s="1460"/>
      <c r="F22" s="1461"/>
      <c r="G22" s="222" t="str">
        <f t="shared" si="0"/>
        <v>Table 5-B:  New/Modified/Reconstructed Emission Units MPTE – VOC Emissions from VOC-Containing Materials</v>
      </c>
      <c r="M22" s="80"/>
      <c r="N22" s="81" t="b">
        <v>0</v>
      </c>
      <c r="O22" s="81" t="b">
        <v>0</v>
      </c>
      <c r="Q22" s="124" t="b">
        <f t="shared" si="1"/>
        <v>0</v>
      </c>
      <c r="R22" s="124"/>
      <c r="S22" s="80"/>
      <c r="T22" s="80"/>
      <c r="U22" s="80"/>
      <c r="V22" s="80"/>
      <c r="W22" s="80"/>
      <c r="X22" s="80"/>
    </row>
    <row r="23" spans="1:24" ht="35.1" customHeight="1" x14ac:dyDescent="0.25">
      <c r="A23" s="1462" t="str">
        <f>'Table 5-C| MPTE HAP'!A34</f>
        <v>Table 5-C:  New/Modified/Reconstructed Emission Units - HAP Emissions from HAP-Containing Materials</v>
      </c>
      <c r="B23" s="1463"/>
      <c r="C23" s="1463"/>
      <c r="D23" s="225" t="s">
        <v>1799</v>
      </c>
      <c r="E23" s="1460"/>
      <c r="F23" s="1461"/>
      <c r="G23" s="222" t="str">
        <f t="shared" si="0"/>
        <v>Table 5-C:  New/Modified/Reconstructed Emission Units - HAP Emissions from HAP-Containing Materials</v>
      </c>
      <c r="M23" s="80"/>
      <c r="N23" s="81" t="b">
        <v>0</v>
      </c>
      <c r="O23" s="81" t="b">
        <v>0</v>
      </c>
      <c r="Q23" s="124" t="b">
        <f t="shared" si="1"/>
        <v>0</v>
      </c>
      <c r="R23" s="124"/>
      <c r="S23" s="80"/>
      <c r="T23" s="80"/>
      <c r="U23" s="80"/>
      <c r="V23" s="80"/>
      <c r="W23" s="80"/>
      <c r="X23" s="80"/>
    </row>
    <row r="24" spans="1:24" ht="35.1" customHeight="1" x14ac:dyDescent="0.25">
      <c r="A24" s="1462" t="str">
        <f>'Table 5-D| MPTE Thresholds'!A9</f>
        <v>Table 5-D:  Maximum Potential to Emit and Construction Permit Thresholds</v>
      </c>
      <c r="B24" s="1463"/>
      <c r="C24" s="1463"/>
      <c r="D24" s="225" t="s">
        <v>1799</v>
      </c>
      <c r="E24" s="1460"/>
      <c r="F24" s="1461"/>
      <c r="G24" s="222" t="str">
        <f t="shared" si="0"/>
        <v>Table 5-D:  Maximum Potential to Emit and Construction Permit Thresholds</v>
      </c>
      <c r="M24" s="80"/>
      <c r="N24" s="81" t="b">
        <v>0</v>
      </c>
      <c r="O24" s="81" t="b">
        <v>0</v>
      </c>
      <c r="Q24" s="124" t="b">
        <f t="shared" si="1"/>
        <v>0</v>
      </c>
      <c r="R24" s="124"/>
      <c r="S24" s="80"/>
      <c r="T24" s="80"/>
      <c r="U24" s="80"/>
      <c r="V24" s="80"/>
      <c r="W24" s="80"/>
      <c r="X24" s="80"/>
    </row>
    <row r="25" spans="1:24" ht="35.1" customHeight="1" x14ac:dyDescent="0.25">
      <c r="A25" s="1462" t="str">
        <f>PROPER('Section 6| Source Class'!A2)</f>
        <v>Section 6:  Source Class &amp; Permit Determination</v>
      </c>
      <c r="B25" s="1463"/>
      <c r="C25" s="1463"/>
      <c r="D25" s="225" t="s">
        <v>1799</v>
      </c>
      <c r="E25" s="1460"/>
      <c r="F25" s="1461"/>
      <c r="G25" s="222" t="str">
        <f t="shared" si="0"/>
        <v>Section 6:  Source Class &amp; Permit Determination</v>
      </c>
      <c r="M25" s="80"/>
      <c r="N25" s="81" t="b">
        <v>0</v>
      </c>
      <c r="O25" s="81" t="b">
        <v>0</v>
      </c>
      <c r="Q25" s="124" t="b">
        <f t="shared" si="1"/>
        <v>0</v>
      </c>
      <c r="R25" s="124"/>
      <c r="S25" s="80"/>
      <c r="T25" s="80"/>
      <c r="U25" s="80"/>
      <c r="V25" s="80"/>
      <c r="W25" s="80"/>
      <c r="X25" s="80"/>
    </row>
    <row r="26" spans="1:24" ht="35.1" customHeight="1" x14ac:dyDescent="0.25">
      <c r="A26" s="1462" t="str">
        <f>'Table 6-A| Controls &amp; Limits'!A16</f>
        <v>Part F:  Table 6-A – Source-Elected Throughput Limits and Emission Control Requirements</v>
      </c>
      <c r="B26" s="1463"/>
      <c r="C26" s="1463"/>
      <c r="D26" s="225" t="s">
        <v>1799</v>
      </c>
      <c r="E26" s="1460"/>
      <c r="F26" s="1461"/>
      <c r="G26" s="222" t="str">
        <f t="shared" si="0"/>
        <v>Part F:  Table 6-A – Source-Elected Throughput Limits and Emission Control Requirements</v>
      </c>
      <c r="M26" s="80"/>
      <c r="N26" s="81" t="b">
        <v>0</v>
      </c>
      <c r="O26" s="81" t="b">
        <v>0</v>
      </c>
      <c r="Q26" s="124" t="b">
        <f t="shared" si="1"/>
        <v>0</v>
      </c>
      <c r="R26" s="124"/>
      <c r="S26" s="80"/>
      <c r="T26" s="80"/>
      <c r="U26" s="80"/>
      <c r="V26" s="80"/>
      <c r="W26" s="80"/>
      <c r="X26" s="80"/>
    </row>
    <row r="27" spans="1:24" ht="35.1" customHeight="1" x14ac:dyDescent="0.25">
      <c r="A27" s="1457" t="str">
        <f>'Table 6-B| Emission Limits'!A31</f>
        <v>Part I:  Table 6-B – Source-Elected Unit-Specific Emission Limits</v>
      </c>
      <c r="B27" s="1458"/>
      <c r="C27" s="1459"/>
      <c r="D27" s="225" t="s">
        <v>1799</v>
      </c>
      <c r="E27" s="1455"/>
      <c r="F27" s="1456"/>
      <c r="G27" s="222" t="str">
        <f>A27</f>
        <v>Part I:  Table 6-B – Source-Elected Unit-Specific Emission Limits</v>
      </c>
      <c r="M27" s="80"/>
      <c r="N27" s="81" t="b">
        <v>0</v>
      </c>
      <c r="O27" s="81" t="b">
        <v>0</v>
      </c>
      <c r="Q27" s="124" t="b">
        <f t="shared" si="1"/>
        <v>0</v>
      </c>
      <c r="R27" s="124"/>
      <c r="S27" s="80"/>
      <c r="T27" s="80"/>
      <c r="U27" s="80"/>
      <c r="V27" s="80"/>
      <c r="W27" s="80"/>
      <c r="X27" s="80"/>
    </row>
    <row r="28" spans="1:24" ht="35.1" customHeight="1" x14ac:dyDescent="0.25">
      <c r="A28" s="1462" t="str">
        <f>'Table 7-A| Facility-Wide APTE'!A9</f>
        <v>Table 7-A:  Facility-Wide APTE – Regulated Air Pollutant Emissions</v>
      </c>
      <c r="B28" s="1463"/>
      <c r="C28" s="1463"/>
      <c r="D28" s="225" t="s">
        <v>1799</v>
      </c>
      <c r="E28" s="1460"/>
      <c r="F28" s="1461"/>
      <c r="G28" s="222" t="str">
        <f t="shared" si="0"/>
        <v>Table 7-A:  Facility-Wide APTE – Regulated Air Pollutant Emissions</v>
      </c>
      <c r="M28" s="80"/>
      <c r="N28" s="81" t="b">
        <v>0</v>
      </c>
      <c r="O28" s="81" t="b">
        <v>0</v>
      </c>
      <c r="Q28" s="124" t="b">
        <f t="shared" si="1"/>
        <v>0</v>
      </c>
      <c r="R28" s="124"/>
      <c r="S28" s="80"/>
      <c r="T28" s="80"/>
      <c r="U28" s="80"/>
      <c r="V28" s="80"/>
      <c r="W28" s="80"/>
      <c r="X28" s="80"/>
    </row>
    <row r="29" spans="1:24" ht="35.1" customHeight="1" x14ac:dyDescent="0.25">
      <c r="A29" s="1462" t="str">
        <f>'Table 7-B| APTE VOC'!A19</f>
        <v>Table 7-B:  Facility-Wide APTE – VOC Emissions from VOC-Containing Materials</v>
      </c>
      <c r="B29" s="1463"/>
      <c r="C29" s="1463"/>
      <c r="D29" s="225" t="s">
        <v>1799</v>
      </c>
      <c r="E29" s="1460"/>
      <c r="F29" s="1461"/>
      <c r="G29" s="222" t="str">
        <f t="shared" si="0"/>
        <v>Table 7-B:  Facility-Wide APTE – VOC Emissions from VOC-Containing Materials</v>
      </c>
      <c r="M29" s="80"/>
      <c r="N29" s="81" t="b">
        <v>0</v>
      </c>
      <c r="O29" s="81" t="b">
        <v>0</v>
      </c>
      <c r="Q29" s="124" t="b">
        <f t="shared" si="1"/>
        <v>0</v>
      </c>
      <c r="R29" s="124"/>
      <c r="S29" s="80"/>
      <c r="T29" s="80"/>
      <c r="U29" s="80"/>
      <c r="V29" s="80"/>
      <c r="W29" s="80"/>
      <c r="X29" s="80"/>
    </row>
    <row r="30" spans="1:24" ht="35.1" customHeight="1" x14ac:dyDescent="0.25">
      <c r="A30" s="1462" t="str">
        <f>'Table 7-C| APTE HAP'!A25</f>
        <v>Table 7-C:  Facility-Wide APTE – HAP Emissions from HAP-Containing Materials</v>
      </c>
      <c r="B30" s="1463"/>
      <c r="C30" s="1463"/>
      <c r="D30" s="225" t="s">
        <v>1799</v>
      </c>
      <c r="E30" s="1460"/>
      <c r="F30" s="1461"/>
      <c r="G30" s="222" t="str">
        <f t="shared" si="0"/>
        <v>Table 7-C:  Facility-Wide APTE – HAP Emissions from HAP-Containing Materials</v>
      </c>
      <c r="M30" s="80"/>
      <c r="N30" s="81" t="b">
        <v>0</v>
      </c>
      <c r="O30" s="81" t="b">
        <v>0</v>
      </c>
      <c r="Q30" s="124" t="b">
        <f t="shared" si="1"/>
        <v>0</v>
      </c>
      <c r="R30" s="124"/>
      <c r="S30" s="80"/>
      <c r="T30" s="80"/>
      <c r="U30" s="80"/>
      <c r="V30" s="80"/>
      <c r="W30" s="80"/>
      <c r="X30" s="80"/>
    </row>
    <row r="31" spans="1:24" ht="35.1" customHeight="1" x14ac:dyDescent="0.25">
      <c r="A31" s="1462" t="str">
        <f>'Table 7-D| APTE Thresholds'!A10:F10</f>
        <v>Table 7-D:  Actual Potential to Emit and Construction Permit Thresholds</v>
      </c>
      <c r="B31" s="1463"/>
      <c r="C31" s="1463"/>
      <c r="D31" s="225" t="s">
        <v>1799</v>
      </c>
      <c r="E31" s="1460"/>
      <c r="F31" s="1461"/>
      <c r="G31" s="222" t="str">
        <f t="shared" si="0"/>
        <v>Table 7-D:  Actual Potential to Emit and Construction Permit Thresholds</v>
      </c>
      <c r="M31" s="80"/>
      <c r="N31" s="81" t="b">
        <v>0</v>
      </c>
      <c r="O31" s="81" t="b">
        <v>0</v>
      </c>
      <c r="Q31" s="124" t="b">
        <f t="shared" si="1"/>
        <v>0</v>
      </c>
      <c r="R31" s="124"/>
      <c r="S31" s="80"/>
      <c r="T31" s="80"/>
      <c r="U31" s="80"/>
      <c r="V31" s="80"/>
      <c r="W31" s="80"/>
      <c r="X31" s="80"/>
    </row>
    <row r="32" spans="1:24" ht="35.1" customHeight="1" x14ac:dyDescent="0.25">
      <c r="A32" s="1462" t="str">
        <f>PROPER('Section 8| Applicable Rules'!$A$21)</f>
        <v>Section 8:  Applicable Rules And Requirements</v>
      </c>
      <c r="B32" s="1463"/>
      <c r="C32" s="1463"/>
      <c r="D32" s="219" t="s">
        <v>1799</v>
      </c>
      <c r="E32" s="1460"/>
      <c r="F32" s="1461"/>
      <c r="G32" s="222" t="str">
        <f t="shared" si="0"/>
        <v>Section 8:  Applicable Rules And Requirements</v>
      </c>
      <c r="M32" s="80"/>
      <c r="N32" s="81" t="b">
        <v>0</v>
      </c>
      <c r="O32" s="81" t="b">
        <v>0</v>
      </c>
      <c r="Q32" s="124" t="b">
        <f t="shared" ref="Q32:Q34" si="2">IF(OR(AND(N32=TRUE,O32=FALSE),AND(N32=FALSE,O32=TRUE)),TRUE,FALSE)</f>
        <v>0</v>
      </c>
      <c r="R32" s="124"/>
      <c r="S32" s="80"/>
      <c r="T32" s="80"/>
      <c r="U32" s="80"/>
      <c r="V32" s="80"/>
      <c r="W32" s="80"/>
      <c r="X32" s="80"/>
    </row>
    <row r="33" spans="1:24" ht="35.1" customHeight="1" x14ac:dyDescent="0.25">
      <c r="A33" s="1462" t="str">
        <f>PROPER('Section 9| Compliance Plan'!A9)</f>
        <v>Section 9:  Compliance Plan</v>
      </c>
      <c r="B33" s="1463"/>
      <c r="C33" s="1463"/>
      <c r="D33" s="219" t="s">
        <v>1799</v>
      </c>
      <c r="E33" s="1460"/>
      <c r="F33" s="1461"/>
      <c r="G33" s="222" t="str">
        <f t="shared" si="0"/>
        <v>Section 9:  Compliance Plan</v>
      </c>
      <c r="M33" s="80"/>
      <c r="N33" s="81" t="b">
        <v>0</v>
      </c>
      <c r="O33" s="81" t="b">
        <v>0</v>
      </c>
      <c r="Q33" s="124" t="b">
        <f t="shared" si="2"/>
        <v>0</v>
      </c>
      <c r="R33" s="124"/>
      <c r="S33" s="80"/>
      <c r="T33" s="80"/>
      <c r="U33" s="80"/>
      <c r="V33" s="80"/>
      <c r="W33" s="80"/>
      <c r="X33" s="80"/>
    </row>
    <row r="34" spans="1:24" ht="35.1" customHeight="1" thickBot="1" x14ac:dyDescent="0.3">
      <c r="A34" s="1468" t="str">
        <f>PROPER('Table 9-A| Compliance Schedule'!A8)</f>
        <v>Table 9-A:  Compliance Schedule</v>
      </c>
      <c r="B34" s="1469"/>
      <c r="C34" s="1469"/>
      <c r="D34" s="220" t="s">
        <v>1799</v>
      </c>
      <c r="E34" s="1470"/>
      <c r="F34" s="1471"/>
      <c r="G34" s="223" t="str">
        <f t="shared" si="0"/>
        <v>Table 9-A:  Compliance Schedule</v>
      </c>
      <c r="M34" s="80"/>
      <c r="N34" s="81" t="b">
        <v>0</v>
      </c>
      <c r="O34" s="81" t="b">
        <v>0</v>
      </c>
      <c r="Q34" s="124" t="b">
        <f t="shared" si="2"/>
        <v>0</v>
      </c>
      <c r="R34" s="124"/>
      <c r="S34" s="80"/>
      <c r="T34" s="80"/>
      <c r="U34" s="80"/>
      <c r="V34" s="80"/>
      <c r="W34" s="80"/>
      <c r="X34" s="80"/>
    </row>
    <row r="35" spans="1:24" ht="20.100000000000001" customHeight="1" x14ac:dyDescent="0.25">
      <c r="A35" s="50"/>
    </row>
    <row r="36" spans="1:24" ht="20.100000000000001" customHeight="1" x14ac:dyDescent="0.25">
      <c r="A36" s="50"/>
    </row>
    <row r="37" spans="1:24" ht="20.100000000000001" customHeight="1" x14ac:dyDescent="0.25">
      <c r="A37" s="50"/>
    </row>
    <row r="38" spans="1:24" ht="20.100000000000001" customHeight="1" x14ac:dyDescent="0.25">
      <c r="A38" s="50"/>
    </row>
    <row r="39" spans="1:24" ht="20.100000000000001" customHeight="1" x14ac:dyDescent="0.25">
      <c r="A39" s="50"/>
    </row>
    <row r="40" spans="1:24" ht="20.100000000000001" customHeight="1" x14ac:dyDescent="0.25">
      <c r="A40" s="50"/>
    </row>
    <row r="41" spans="1:24" ht="20.100000000000001" customHeight="1" x14ac:dyDescent="0.25">
      <c r="A41" s="50"/>
    </row>
    <row r="42" spans="1:24" ht="20.100000000000001" customHeight="1" x14ac:dyDescent="0.25">
      <c r="A42" s="50"/>
    </row>
    <row r="43" spans="1:24" ht="20.100000000000001" customHeight="1" x14ac:dyDescent="0.25">
      <c r="A43" s="50"/>
    </row>
    <row r="44" spans="1:24" ht="20.100000000000001" customHeight="1" x14ac:dyDescent="0.25">
      <c r="A44" s="50"/>
    </row>
    <row r="45" spans="1:24" ht="20.100000000000001" customHeight="1" x14ac:dyDescent="0.25">
      <c r="A45" s="50"/>
    </row>
    <row r="46" spans="1:24" ht="20.100000000000001" customHeight="1" x14ac:dyDescent="0.25">
      <c r="A46" s="50"/>
    </row>
    <row r="47" spans="1:24" ht="20.100000000000001" customHeight="1" x14ac:dyDescent="0.25">
      <c r="A47" s="50"/>
    </row>
    <row r="48" spans="1:24" ht="20.100000000000001" customHeight="1" x14ac:dyDescent="0.25">
      <c r="A48" s="50"/>
    </row>
    <row r="49" spans="1:1" ht="20.100000000000001" customHeight="1" x14ac:dyDescent="0.25">
      <c r="A49" s="50"/>
    </row>
    <row r="50" spans="1:1" ht="20.100000000000001" customHeight="1" x14ac:dyDescent="0.25">
      <c r="A50" s="50"/>
    </row>
    <row r="51" spans="1:1" ht="20.100000000000001" customHeight="1" x14ac:dyDescent="0.25">
      <c r="A51" s="50"/>
    </row>
    <row r="52" spans="1:1" ht="20.100000000000001" customHeight="1" x14ac:dyDescent="0.25">
      <c r="A52" s="50"/>
    </row>
    <row r="53" spans="1:1" ht="20.100000000000001" customHeight="1" x14ac:dyDescent="0.25">
      <c r="A53" s="50"/>
    </row>
    <row r="54" spans="1:1" ht="20.100000000000001" customHeight="1" x14ac:dyDescent="0.25">
      <c r="A54" s="50"/>
    </row>
    <row r="55" spans="1:1" ht="20.100000000000001" customHeight="1" x14ac:dyDescent="0.25">
      <c r="A55" s="50"/>
    </row>
    <row r="56" spans="1:1" ht="20.100000000000001" customHeight="1" x14ac:dyDescent="0.25">
      <c r="A56" s="50"/>
    </row>
    <row r="57" spans="1:1" ht="20.100000000000001" customHeight="1" x14ac:dyDescent="0.25">
      <c r="A57" s="50"/>
    </row>
    <row r="58" spans="1:1" ht="20.100000000000001" customHeight="1" x14ac:dyDescent="0.25">
      <c r="A58" s="50"/>
    </row>
    <row r="59" spans="1:1" ht="20.100000000000001" customHeight="1" x14ac:dyDescent="0.25">
      <c r="A59" s="50"/>
    </row>
    <row r="60" spans="1:1" ht="20.100000000000001" customHeight="1" x14ac:dyDescent="0.25">
      <c r="A60" s="50"/>
    </row>
    <row r="61" spans="1:1" ht="20.100000000000001" customHeight="1" x14ac:dyDescent="0.25">
      <c r="A61" s="50"/>
    </row>
    <row r="62" spans="1:1" ht="20.100000000000001" customHeight="1" x14ac:dyDescent="0.25">
      <c r="A62" s="50"/>
    </row>
    <row r="63" spans="1:1" ht="20.100000000000001" customHeight="1" x14ac:dyDescent="0.25">
      <c r="A63" s="50"/>
    </row>
    <row r="64" spans="1:1"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sheetData>
  <sheetProtection algorithmName="SHA-512" hashValue="MrK6eeklxlUWXS1+c3Zko0czOMFtJtVETa/AE5d8FcYWJwJtTS0NOICQvVLi/sMicpHyfPj1ZuYUTuPXY7Mjcg==" saltValue="1rPb41KuEixOqDP1vE5Uzw==" spinCount="100000" sheet="1" objects="1" scenarios="1"/>
  <mergeCells count="56">
    <mergeCell ref="A18:C18"/>
    <mergeCell ref="E15:F15"/>
    <mergeCell ref="A16:C16"/>
    <mergeCell ref="E16:F16"/>
    <mergeCell ref="A17:C17"/>
    <mergeCell ref="E17:F17"/>
    <mergeCell ref="A1:H1"/>
    <mergeCell ref="A8:F8"/>
    <mergeCell ref="E24:F24"/>
    <mergeCell ref="E18:F18"/>
    <mergeCell ref="A19:C19"/>
    <mergeCell ref="E19:F19"/>
    <mergeCell ref="A20:C20"/>
    <mergeCell ref="E20:F20"/>
    <mergeCell ref="A10:F10"/>
    <mergeCell ref="A12:F12"/>
    <mergeCell ref="A11:E11"/>
    <mergeCell ref="A21:C21"/>
    <mergeCell ref="E21:F21"/>
    <mergeCell ref="A22:C22"/>
    <mergeCell ref="A9:C9"/>
    <mergeCell ref="A7:F7"/>
    <mergeCell ref="A29:C29"/>
    <mergeCell ref="E29:F29"/>
    <mergeCell ref="A30:C30"/>
    <mergeCell ref="E30:F30"/>
    <mergeCell ref="A34:C34"/>
    <mergeCell ref="E33:F33"/>
    <mergeCell ref="E34:F34"/>
    <mergeCell ref="A31:C31"/>
    <mergeCell ref="E31:F31"/>
    <mergeCell ref="A32:C32"/>
    <mergeCell ref="E32:F32"/>
    <mergeCell ref="A33:C33"/>
    <mergeCell ref="A28:C28"/>
    <mergeCell ref="E28:F28"/>
    <mergeCell ref="A25:C25"/>
    <mergeCell ref="E25:F25"/>
    <mergeCell ref="A26:C26"/>
    <mergeCell ref="E26:F26"/>
    <mergeCell ref="A3:G3"/>
    <mergeCell ref="A2:G2"/>
    <mergeCell ref="E27:F27"/>
    <mergeCell ref="A27:C27"/>
    <mergeCell ref="E22:F22"/>
    <mergeCell ref="A23:C23"/>
    <mergeCell ref="E23:F23"/>
    <mergeCell ref="A24:C24"/>
    <mergeCell ref="A6:H6"/>
    <mergeCell ref="A5:G5"/>
    <mergeCell ref="A4:G4"/>
    <mergeCell ref="A13:C13"/>
    <mergeCell ref="E13:F13"/>
    <mergeCell ref="A14:C14"/>
    <mergeCell ref="E14:F14"/>
    <mergeCell ref="A15:C15"/>
  </mergeCells>
  <conditionalFormatting sqref="A10:F10">
    <cfRule type="expression" dxfId="9" priority="4">
      <formula>AND(N9=TRUE,Q9=TRUE,T9=TRUE,V9=TRUE)</formula>
    </cfRule>
    <cfRule type="expression" dxfId="8" priority="8">
      <formula>W9=TRUE</formula>
    </cfRule>
  </conditionalFormatting>
  <conditionalFormatting sqref="A12:F12">
    <cfRule type="expression" dxfId="7" priority="3">
      <formula>Q11=TRUE</formula>
    </cfRule>
    <cfRule type="expression" dxfId="6" priority="5">
      <formula>AND(N11=TRUE,Q11=TRUE,T11=TRUE,V11=TRUE)</formula>
    </cfRule>
  </conditionalFormatting>
  <conditionalFormatting sqref="D9 D14:D34">
    <cfRule type="expression" dxfId="5" priority="551">
      <formula>Q9=FALSE</formula>
    </cfRule>
  </conditionalFormatting>
  <conditionalFormatting sqref="E14:F26 E27 E28:F34">
    <cfRule type="expression" dxfId="4" priority="1">
      <formula>AND(Q14=TRUE,O14=TRUE,ISBLANK(E14))</formula>
    </cfRule>
  </conditionalFormatting>
  <conditionalFormatting sqref="F9">
    <cfRule type="expression" dxfId="3" priority="9">
      <formula>AND(Q9=TRUE,V9=FALSE)</formula>
    </cfRule>
  </conditionalFormatting>
  <conditionalFormatting sqref="F11">
    <cfRule type="expression" dxfId="2" priority="7">
      <formula>AND(W9=TRUE,NOT(T9=TRUE),Q11=FALSE)</formula>
    </cfRule>
  </conditionalFormatting>
  <hyperlinks>
    <hyperlink ref="G14" location="'Section 1| General Information'!A1" display="'Section 1| General Information'!A1" xr:uid="{00000000-0004-0000-1700-000000000000}"/>
    <hyperlink ref="G15" location="'Section 2| Source Information'!A1" display="'Section 2| Source Information'!A1" xr:uid="{00000000-0004-0000-1700-000001000000}"/>
    <hyperlink ref="G16" location="'Table 3-A| Emission Units'!A1" display="'Table 3-A| Emission Units'!A1" xr:uid="{00000000-0004-0000-1700-000002000000}"/>
    <hyperlink ref="G17" location="'Table 3-B| Stack Info'!A1" display="'Table 3-B| Stack Info'!A1" xr:uid="{00000000-0004-0000-1700-000003000000}"/>
    <hyperlink ref="G18" location="'Table 4-A| Insignificant List'!A1" display="'Table 4-A| Insignificant List'!A1" xr:uid="{00000000-0004-0000-1700-000004000000}"/>
    <hyperlink ref="G19" location="'Table 4-B| Oil Storage'!A1" display="'Table 4-B| Oil Storage'!A1" xr:uid="{00000000-0004-0000-1700-000005000000}"/>
    <hyperlink ref="G20" location="'Table 4-C| Cooling Towers'!A1" display="'Table 4-C| Cooling Towers'!A1" xr:uid="{00000000-0004-0000-1700-000006000000}"/>
    <hyperlink ref="G21" location="'Table 5-A| Facility-Wide MPTE'!A1" display="'Table 5-A| Facility-Wide MPTE'!A1" xr:uid="{00000000-0004-0000-1700-000007000000}"/>
    <hyperlink ref="G22" location="'Table 5-B| MPTE VOC'!A1" display="'Table 5-B| MPTE VOC'!A1" xr:uid="{00000000-0004-0000-1700-000008000000}"/>
    <hyperlink ref="G23" location="'Table 5-C| MPTE HAP'!A1" display="'Table 5-C| MPTE HAP'!A1" xr:uid="{00000000-0004-0000-1700-000009000000}"/>
    <hyperlink ref="G24" location="'Table 5-D| MPTE Thresholds'!A1" display="'Table 5-D| MPTE Thresholds'!A1" xr:uid="{00000000-0004-0000-1700-00000A000000}"/>
    <hyperlink ref="G25" location="'Section 6| Source Class'!A1" display="'Section 6| Source Class'!A1" xr:uid="{00000000-0004-0000-1700-00000B000000}"/>
    <hyperlink ref="G26" location="'Table 6-A| Controls &amp; Limits'!A1" display="'Table 6-A| Controls &amp; Limits'!A1" xr:uid="{00000000-0004-0000-1700-00000C000000}"/>
    <hyperlink ref="G28" location="'Table 7-A| Facility-Wide APTE'!A1" display="'Table 7-A| Facility-Wide APTE'!A1" xr:uid="{00000000-0004-0000-1700-00000D000000}"/>
    <hyperlink ref="G29" location="'Table 7-B| APTE VOC'!A1" display="'Table 7-B| APTE VOC'!A1" xr:uid="{00000000-0004-0000-1700-00000E000000}"/>
    <hyperlink ref="G30" location="'Table 7-C| APTE HAP'!A1" display="'Table 7-C| APTE HAP'!A1" xr:uid="{00000000-0004-0000-1700-00000F000000}"/>
    <hyperlink ref="G31" location="'Table 7-D| APTE Thresholds'!A1" display="'Table 7-D| APTE Thresholds'!A1" xr:uid="{00000000-0004-0000-1700-000010000000}"/>
    <hyperlink ref="G32" location="'Section 8| Applicable Rules'!A1" display="'Section 8| Applicable Rules'!A1" xr:uid="{00000000-0004-0000-1700-000011000000}"/>
    <hyperlink ref="G33" location="'Section 9| Compliance Plan'!A1" display="'Section 9| Compliance Plan'!A1" xr:uid="{00000000-0004-0000-1700-000012000000}"/>
    <hyperlink ref="G34" location="'Table 9-A| Compliance Schedule'!A1" display="'Table 9-A| Compliance Schedule'!A1" xr:uid="{00000000-0004-0000-1700-000013000000}"/>
    <hyperlink ref="G27" location="'Table 6-B| Emission Limits'!A1" display="'Table 6-B| Emission Limits'!A1" xr:uid="{00000000-0004-0000-1700-000014000000}"/>
  </hyperlinks>
  <printOptions horizontalCentered="1"/>
  <pageMargins left="0.5" right="0.5" top="0.5" bottom="0.5" header="0.3" footer="0.3"/>
  <pageSetup scale="77" fitToHeight="0" orientation="portrait" r:id="rId1"/>
  <headerFooter>
    <oddFooter>&amp;LRev. 2/2014&amp;C&amp;A&amp;RPage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3</xdr:col>
                    <xdr:colOff>9525</xdr:colOff>
                    <xdr:row>13</xdr:row>
                    <xdr:rowOff>28575</xdr:rowOff>
                  </from>
                  <to>
                    <xdr:col>3</xdr:col>
                    <xdr:colOff>685800</xdr:colOff>
                    <xdr:row>13</xdr:row>
                    <xdr:rowOff>238125</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3</xdr:col>
                    <xdr:colOff>9525</xdr:colOff>
                    <xdr:row>13</xdr:row>
                    <xdr:rowOff>219075</xdr:rowOff>
                  </from>
                  <to>
                    <xdr:col>3</xdr:col>
                    <xdr:colOff>685800</xdr:colOff>
                    <xdr:row>13</xdr:row>
                    <xdr:rowOff>428625</xdr:rowOff>
                  </to>
                </anchor>
              </controlPr>
            </control>
          </mc:Choice>
        </mc:AlternateContent>
        <mc:AlternateContent xmlns:mc="http://schemas.openxmlformats.org/markup-compatibility/2006">
          <mc:Choice Requires="x14">
            <control shapeId="87083" r:id="rId6" name="Check Box 43">
              <controlPr defaultSize="0" autoFill="0" autoLine="0" autoPict="0">
                <anchor moveWithCells="1">
                  <from>
                    <xdr:col>3</xdr:col>
                    <xdr:colOff>38100</xdr:colOff>
                    <xdr:row>8</xdr:row>
                    <xdr:rowOff>19050</xdr:rowOff>
                  </from>
                  <to>
                    <xdr:col>3</xdr:col>
                    <xdr:colOff>714375</xdr:colOff>
                    <xdr:row>8</xdr:row>
                    <xdr:rowOff>238125</xdr:rowOff>
                  </to>
                </anchor>
              </controlPr>
            </control>
          </mc:Choice>
        </mc:AlternateContent>
        <mc:AlternateContent xmlns:mc="http://schemas.openxmlformats.org/markup-compatibility/2006">
          <mc:Choice Requires="x14">
            <control shapeId="87084" r:id="rId7" name="Check Box 44">
              <controlPr defaultSize="0" autoFill="0" autoLine="0" autoPict="0">
                <anchor moveWithCells="1">
                  <from>
                    <xdr:col>3</xdr:col>
                    <xdr:colOff>38100</xdr:colOff>
                    <xdr:row>8</xdr:row>
                    <xdr:rowOff>209550</xdr:rowOff>
                  </from>
                  <to>
                    <xdr:col>3</xdr:col>
                    <xdr:colOff>714375</xdr:colOff>
                    <xdr:row>8</xdr:row>
                    <xdr:rowOff>428625</xdr:rowOff>
                  </to>
                </anchor>
              </controlPr>
            </control>
          </mc:Choice>
        </mc:AlternateContent>
        <mc:AlternateContent xmlns:mc="http://schemas.openxmlformats.org/markup-compatibility/2006">
          <mc:Choice Requires="x14">
            <control shapeId="87085" r:id="rId8" name="Check Box 45">
              <controlPr defaultSize="0" autoFill="0" autoLine="0" autoPict="0">
                <anchor moveWithCells="1">
                  <from>
                    <xdr:col>5</xdr:col>
                    <xdr:colOff>38100</xdr:colOff>
                    <xdr:row>8</xdr:row>
                    <xdr:rowOff>19050</xdr:rowOff>
                  </from>
                  <to>
                    <xdr:col>5</xdr:col>
                    <xdr:colOff>714375</xdr:colOff>
                    <xdr:row>8</xdr:row>
                    <xdr:rowOff>238125</xdr:rowOff>
                  </to>
                </anchor>
              </controlPr>
            </control>
          </mc:Choice>
        </mc:AlternateContent>
        <mc:AlternateContent xmlns:mc="http://schemas.openxmlformats.org/markup-compatibility/2006">
          <mc:Choice Requires="x14">
            <control shapeId="87086" r:id="rId9" name="Check Box 46">
              <controlPr defaultSize="0" autoFill="0" autoLine="0" autoPict="0">
                <anchor moveWithCells="1">
                  <from>
                    <xdr:col>5</xdr:col>
                    <xdr:colOff>38100</xdr:colOff>
                    <xdr:row>8</xdr:row>
                    <xdr:rowOff>209550</xdr:rowOff>
                  </from>
                  <to>
                    <xdr:col>5</xdr:col>
                    <xdr:colOff>714375</xdr:colOff>
                    <xdr:row>8</xdr:row>
                    <xdr:rowOff>428625</xdr:rowOff>
                  </to>
                </anchor>
              </controlPr>
            </control>
          </mc:Choice>
        </mc:AlternateContent>
        <mc:AlternateContent xmlns:mc="http://schemas.openxmlformats.org/markup-compatibility/2006">
          <mc:Choice Requires="x14">
            <control shapeId="87087" r:id="rId10" name="Check Box 47">
              <controlPr defaultSize="0" autoFill="0" autoLine="0" autoPict="0">
                <anchor moveWithCells="1">
                  <from>
                    <xdr:col>5</xdr:col>
                    <xdr:colOff>38100</xdr:colOff>
                    <xdr:row>10</xdr:row>
                    <xdr:rowOff>9525</xdr:rowOff>
                  </from>
                  <to>
                    <xdr:col>5</xdr:col>
                    <xdr:colOff>714375</xdr:colOff>
                    <xdr:row>10</xdr:row>
                    <xdr:rowOff>228600</xdr:rowOff>
                  </to>
                </anchor>
              </controlPr>
            </control>
          </mc:Choice>
        </mc:AlternateContent>
        <mc:AlternateContent xmlns:mc="http://schemas.openxmlformats.org/markup-compatibility/2006">
          <mc:Choice Requires="x14">
            <control shapeId="87088" r:id="rId11" name="Check Box 48">
              <controlPr defaultSize="0" autoFill="0" autoLine="0" autoPict="0">
                <anchor moveWithCells="1">
                  <from>
                    <xdr:col>5</xdr:col>
                    <xdr:colOff>38100</xdr:colOff>
                    <xdr:row>10</xdr:row>
                    <xdr:rowOff>200025</xdr:rowOff>
                  </from>
                  <to>
                    <xdr:col>5</xdr:col>
                    <xdr:colOff>714375</xdr:colOff>
                    <xdr:row>10</xdr:row>
                    <xdr:rowOff>419100</xdr:rowOff>
                  </to>
                </anchor>
              </controlPr>
            </control>
          </mc:Choice>
        </mc:AlternateContent>
        <mc:AlternateContent xmlns:mc="http://schemas.openxmlformats.org/markup-compatibility/2006">
          <mc:Choice Requires="x14">
            <control shapeId="87091" r:id="rId12" name="Check Box 51">
              <controlPr defaultSize="0" autoFill="0" autoLine="0" autoPict="0">
                <anchor moveWithCells="1">
                  <from>
                    <xdr:col>3</xdr:col>
                    <xdr:colOff>0</xdr:colOff>
                    <xdr:row>14</xdr:row>
                    <xdr:rowOff>28575</xdr:rowOff>
                  </from>
                  <to>
                    <xdr:col>3</xdr:col>
                    <xdr:colOff>676275</xdr:colOff>
                    <xdr:row>14</xdr:row>
                    <xdr:rowOff>238125</xdr:rowOff>
                  </to>
                </anchor>
              </controlPr>
            </control>
          </mc:Choice>
        </mc:AlternateContent>
        <mc:AlternateContent xmlns:mc="http://schemas.openxmlformats.org/markup-compatibility/2006">
          <mc:Choice Requires="x14">
            <control shapeId="87092" r:id="rId13" name="Check Box 52">
              <controlPr defaultSize="0" autoFill="0" autoLine="0" autoPict="0">
                <anchor moveWithCells="1">
                  <from>
                    <xdr:col>3</xdr:col>
                    <xdr:colOff>0</xdr:colOff>
                    <xdr:row>14</xdr:row>
                    <xdr:rowOff>219075</xdr:rowOff>
                  </from>
                  <to>
                    <xdr:col>3</xdr:col>
                    <xdr:colOff>676275</xdr:colOff>
                    <xdr:row>14</xdr:row>
                    <xdr:rowOff>428625</xdr:rowOff>
                  </to>
                </anchor>
              </controlPr>
            </control>
          </mc:Choice>
        </mc:AlternateContent>
        <mc:AlternateContent xmlns:mc="http://schemas.openxmlformats.org/markup-compatibility/2006">
          <mc:Choice Requires="x14">
            <control shapeId="87093" r:id="rId14" name="Check Box 53">
              <controlPr defaultSize="0" autoFill="0" autoLine="0" autoPict="0">
                <anchor moveWithCells="1">
                  <from>
                    <xdr:col>3</xdr:col>
                    <xdr:colOff>0</xdr:colOff>
                    <xdr:row>15</xdr:row>
                    <xdr:rowOff>28575</xdr:rowOff>
                  </from>
                  <to>
                    <xdr:col>3</xdr:col>
                    <xdr:colOff>676275</xdr:colOff>
                    <xdr:row>15</xdr:row>
                    <xdr:rowOff>238125</xdr:rowOff>
                  </to>
                </anchor>
              </controlPr>
            </control>
          </mc:Choice>
        </mc:AlternateContent>
        <mc:AlternateContent xmlns:mc="http://schemas.openxmlformats.org/markup-compatibility/2006">
          <mc:Choice Requires="x14">
            <control shapeId="87094" r:id="rId15" name="Check Box 54">
              <controlPr defaultSize="0" autoFill="0" autoLine="0" autoPict="0">
                <anchor moveWithCells="1">
                  <from>
                    <xdr:col>3</xdr:col>
                    <xdr:colOff>0</xdr:colOff>
                    <xdr:row>15</xdr:row>
                    <xdr:rowOff>219075</xdr:rowOff>
                  </from>
                  <to>
                    <xdr:col>3</xdr:col>
                    <xdr:colOff>676275</xdr:colOff>
                    <xdr:row>15</xdr:row>
                    <xdr:rowOff>428625</xdr:rowOff>
                  </to>
                </anchor>
              </controlPr>
            </control>
          </mc:Choice>
        </mc:AlternateContent>
        <mc:AlternateContent xmlns:mc="http://schemas.openxmlformats.org/markup-compatibility/2006">
          <mc:Choice Requires="x14">
            <control shapeId="87095" r:id="rId16" name="Check Box 55">
              <controlPr defaultSize="0" autoFill="0" autoLine="0" autoPict="0">
                <anchor moveWithCells="1">
                  <from>
                    <xdr:col>3</xdr:col>
                    <xdr:colOff>0</xdr:colOff>
                    <xdr:row>16</xdr:row>
                    <xdr:rowOff>28575</xdr:rowOff>
                  </from>
                  <to>
                    <xdr:col>3</xdr:col>
                    <xdr:colOff>676275</xdr:colOff>
                    <xdr:row>16</xdr:row>
                    <xdr:rowOff>238125</xdr:rowOff>
                  </to>
                </anchor>
              </controlPr>
            </control>
          </mc:Choice>
        </mc:AlternateContent>
        <mc:AlternateContent xmlns:mc="http://schemas.openxmlformats.org/markup-compatibility/2006">
          <mc:Choice Requires="x14">
            <control shapeId="87096" r:id="rId17" name="Check Box 56">
              <controlPr defaultSize="0" autoFill="0" autoLine="0" autoPict="0">
                <anchor moveWithCells="1">
                  <from>
                    <xdr:col>3</xdr:col>
                    <xdr:colOff>0</xdr:colOff>
                    <xdr:row>16</xdr:row>
                    <xdr:rowOff>219075</xdr:rowOff>
                  </from>
                  <to>
                    <xdr:col>3</xdr:col>
                    <xdr:colOff>676275</xdr:colOff>
                    <xdr:row>16</xdr:row>
                    <xdr:rowOff>428625</xdr:rowOff>
                  </to>
                </anchor>
              </controlPr>
            </control>
          </mc:Choice>
        </mc:AlternateContent>
        <mc:AlternateContent xmlns:mc="http://schemas.openxmlformats.org/markup-compatibility/2006">
          <mc:Choice Requires="x14">
            <control shapeId="87097" r:id="rId18" name="Check Box 57">
              <controlPr defaultSize="0" autoFill="0" autoLine="0" autoPict="0">
                <anchor moveWithCells="1">
                  <from>
                    <xdr:col>3</xdr:col>
                    <xdr:colOff>0</xdr:colOff>
                    <xdr:row>17</xdr:row>
                    <xdr:rowOff>28575</xdr:rowOff>
                  </from>
                  <to>
                    <xdr:col>3</xdr:col>
                    <xdr:colOff>676275</xdr:colOff>
                    <xdr:row>17</xdr:row>
                    <xdr:rowOff>238125</xdr:rowOff>
                  </to>
                </anchor>
              </controlPr>
            </control>
          </mc:Choice>
        </mc:AlternateContent>
        <mc:AlternateContent xmlns:mc="http://schemas.openxmlformats.org/markup-compatibility/2006">
          <mc:Choice Requires="x14">
            <control shapeId="87098" r:id="rId19" name="Check Box 58">
              <controlPr defaultSize="0" autoFill="0" autoLine="0" autoPict="0">
                <anchor moveWithCells="1">
                  <from>
                    <xdr:col>3</xdr:col>
                    <xdr:colOff>0</xdr:colOff>
                    <xdr:row>17</xdr:row>
                    <xdr:rowOff>219075</xdr:rowOff>
                  </from>
                  <to>
                    <xdr:col>3</xdr:col>
                    <xdr:colOff>676275</xdr:colOff>
                    <xdr:row>17</xdr:row>
                    <xdr:rowOff>428625</xdr:rowOff>
                  </to>
                </anchor>
              </controlPr>
            </control>
          </mc:Choice>
        </mc:AlternateContent>
        <mc:AlternateContent xmlns:mc="http://schemas.openxmlformats.org/markup-compatibility/2006">
          <mc:Choice Requires="x14">
            <control shapeId="87099" r:id="rId20" name="Check Box 59">
              <controlPr defaultSize="0" autoFill="0" autoLine="0" autoPict="0">
                <anchor moveWithCells="1">
                  <from>
                    <xdr:col>3</xdr:col>
                    <xdr:colOff>0</xdr:colOff>
                    <xdr:row>18</xdr:row>
                    <xdr:rowOff>28575</xdr:rowOff>
                  </from>
                  <to>
                    <xdr:col>3</xdr:col>
                    <xdr:colOff>676275</xdr:colOff>
                    <xdr:row>18</xdr:row>
                    <xdr:rowOff>238125</xdr:rowOff>
                  </to>
                </anchor>
              </controlPr>
            </control>
          </mc:Choice>
        </mc:AlternateContent>
        <mc:AlternateContent xmlns:mc="http://schemas.openxmlformats.org/markup-compatibility/2006">
          <mc:Choice Requires="x14">
            <control shapeId="87100" r:id="rId21" name="Check Box 60">
              <controlPr defaultSize="0" autoFill="0" autoLine="0" autoPict="0">
                <anchor moveWithCells="1">
                  <from>
                    <xdr:col>3</xdr:col>
                    <xdr:colOff>0</xdr:colOff>
                    <xdr:row>18</xdr:row>
                    <xdr:rowOff>219075</xdr:rowOff>
                  </from>
                  <to>
                    <xdr:col>3</xdr:col>
                    <xdr:colOff>676275</xdr:colOff>
                    <xdr:row>18</xdr:row>
                    <xdr:rowOff>428625</xdr:rowOff>
                  </to>
                </anchor>
              </controlPr>
            </control>
          </mc:Choice>
        </mc:AlternateContent>
        <mc:AlternateContent xmlns:mc="http://schemas.openxmlformats.org/markup-compatibility/2006">
          <mc:Choice Requires="x14">
            <control shapeId="87101" r:id="rId22" name="Check Box 61">
              <controlPr defaultSize="0" autoFill="0" autoLine="0" autoPict="0">
                <anchor moveWithCells="1">
                  <from>
                    <xdr:col>3</xdr:col>
                    <xdr:colOff>0</xdr:colOff>
                    <xdr:row>19</xdr:row>
                    <xdr:rowOff>28575</xdr:rowOff>
                  </from>
                  <to>
                    <xdr:col>3</xdr:col>
                    <xdr:colOff>676275</xdr:colOff>
                    <xdr:row>19</xdr:row>
                    <xdr:rowOff>238125</xdr:rowOff>
                  </to>
                </anchor>
              </controlPr>
            </control>
          </mc:Choice>
        </mc:AlternateContent>
        <mc:AlternateContent xmlns:mc="http://schemas.openxmlformats.org/markup-compatibility/2006">
          <mc:Choice Requires="x14">
            <control shapeId="87102" r:id="rId23" name="Check Box 62">
              <controlPr defaultSize="0" autoFill="0" autoLine="0" autoPict="0">
                <anchor moveWithCells="1">
                  <from>
                    <xdr:col>3</xdr:col>
                    <xdr:colOff>0</xdr:colOff>
                    <xdr:row>19</xdr:row>
                    <xdr:rowOff>219075</xdr:rowOff>
                  </from>
                  <to>
                    <xdr:col>3</xdr:col>
                    <xdr:colOff>676275</xdr:colOff>
                    <xdr:row>19</xdr:row>
                    <xdr:rowOff>428625</xdr:rowOff>
                  </to>
                </anchor>
              </controlPr>
            </control>
          </mc:Choice>
        </mc:AlternateContent>
        <mc:AlternateContent xmlns:mc="http://schemas.openxmlformats.org/markup-compatibility/2006">
          <mc:Choice Requires="x14">
            <control shapeId="87103" r:id="rId24" name="Check Box 63">
              <controlPr defaultSize="0" autoFill="0" autoLine="0" autoPict="0">
                <anchor moveWithCells="1">
                  <from>
                    <xdr:col>3</xdr:col>
                    <xdr:colOff>0</xdr:colOff>
                    <xdr:row>20</xdr:row>
                    <xdr:rowOff>28575</xdr:rowOff>
                  </from>
                  <to>
                    <xdr:col>3</xdr:col>
                    <xdr:colOff>676275</xdr:colOff>
                    <xdr:row>20</xdr:row>
                    <xdr:rowOff>238125</xdr:rowOff>
                  </to>
                </anchor>
              </controlPr>
            </control>
          </mc:Choice>
        </mc:AlternateContent>
        <mc:AlternateContent xmlns:mc="http://schemas.openxmlformats.org/markup-compatibility/2006">
          <mc:Choice Requires="x14">
            <control shapeId="87104" r:id="rId25" name="Check Box 64">
              <controlPr defaultSize="0" autoFill="0" autoLine="0" autoPict="0">
                <anchor moveWithCells="1">
                  <from>
                    <xdr:col>3</xdr:col>
                    <xdr:colOff>0</xdr:colOff>
                    <xdr:row>20</xdr:row>
                    <xdr:rowOff>219075</xdr:rowOff>
                  </from>
                  <to>
                    <xdr:col>3</xdr:col>
                    <xdr:colOff>676275</xdr:colOff>
                    <xdr:row>20</xdr:row>
                    <xdr:rowOff>428625</xdr:rowOff>
                  </to>
                </anchor>
              </controlPr>
            </control>
          </mc:Choice>
        </mc:AlternateContent>
        <mc:AlternateContent xmlns:mc="http://schemas.openxmlformats.org/markup-compatibility/2006">
          <mc:Choice Requires="x14">
            <control shapeId="87105" r:id="rId26" name="Check Box 65">
              <controlPr defaultSize="0" autoFill="0" autoLine="0" autoPict="0">
                <anchor moveWithCells="1">
                  <from>
                    <xdr:col>3</xdr:col>
                    <xdr:colOff>0</xdr:colOff>
                    <xdr:row>21</xdr:row>
                    <xdr:rowOff>28575</xdr:rowOff>
                  </from>
                  <to>
                    <xdr:col>3</xdr:col>
                    <xdr:colOff>676275</xdr:colOff>
                    <xdr:row>21</xdr:row>
                    <xdr:rowOff>238125</xdr:rowOff>
                  </to>
                </anchor>
              </controlPr>
            </control>
          </mc:Choice>
        </mc:AlternateContent>
        <mc:AlternateContent xmlns:mc="http://schemas.openxmlformats.org/markup-compatibility/2006">
          <mc:Choice Requires="x14">
            <control shapeId="87106" r:id="rId27" name="Check Box 66">
              <controlPr defaultSize="0" autoFill="0" autoLine="0" autoPict="0">
                <anchor moveWithCells="1">
                  <from>
                    <xdr:col>3</xdr:col>
                    <xdr:colOff>0</xdr:colOff>
                    <xdr:row>21</xdr:row>
                    <xdr:rowOff>219075</xdr:rowOff>
                  </from>
                  <to>
                    <xdr:col>3</xdr:col>
                    <xdr:colOff>676275</xdr:colOff>
                    <xdr:row>21</xdr:row>
                    <xdr:rowOff>428625</xdr:rowOff>
                  </to>
                </anchor>
              </controlPr>
            </control>
          </mc:Choice>
        </mc:AlternateContent>
        <mc:AlternateContent xmlns:mc="http://schemas.openxmlformats.org/markup-compatibility/2006">
          <mc:Choice Requires="x14">
            <control shapeId="87107" r:id="rId28" name="Check Box 67">
              <controlPr defaultSize="0" autoFill="0" autoLine="0" autoPict="0">
                <anchor moveWithCells="1">
                  <from>
                    <xdr:col>3</xdr:col>
                    <xdr:colOff>0</xdr:colOff>
                    <xdr:row>22</xdr:row>
                    <xdr:rowOff>28575</xdr:rowOff>
                  </from>
                  <to>
                    <xdr:col>3</xdr:col>
                    <xdr:colOff>676275</xdr:colOff>
                    <xdr:row>22</xdr:row>
                    <xdr:rowOff>238125</xdr:rowOff>
                  </to>
                </anchor>
              </controlPr>
            </control>
          </mc:Choice>
        </mc:AlternateContent>
        <mc:AlternateContent xmlns:mc="http://schemas.openxmlformats.org/markup-compatibility/2006">
          <mc:Choice Requires="x14">
            <control shapeId="87108" r:id="rId29" name="Check Box 68">
              <controlPr defaultSize="0" autoFill="0" autoLine="0" autoPict="0">
                <anchor moveWithCells="1">
                  <from>
                    <xdr:col>3</xdr:col>
                    <xdr:colOff>0</xdr:colOff>
                    <xdr:row>22</xdr:row>
                    <xdr:rowOff>219075</xdr:rowOff>
                  </from>
                  <to>
                    <xdr:col>3</xdr:col>
                    <xdr:colOff>676275</xdr:colOff>
                    <xdr:row>22</xdr:row>
                    <xdr:rowOff>428625</xdr:rowOff>
                  </to>
                </anchor>
              </controlPr>
            </control>
          </mc:Choice>
        </mc:AlternateContent>
        <mc:AlternateContent xmlns:mc="http://schemas.openxmlformats.org/markup-compatibility/2006">
          <mc:Choice Requires="x14">
            <control shapeId="87109" r:id="rId30" name="Check Box 69">
              <controlPr defaultSize="0" autoFill="0" autoLine="0" autoPict="0">
                <anchor moveWithCells="1">
                  <from>
                    <xdr:col>3</xdr:col>
                    <xdr:colOff>0</xdr:colOff>
                    <xdr:row>23</xdr:row>
                    <xdr:rowOff>28575</xdr:rowOff>
                  </from>
                  <to>
                    <xdr:col>3</xdr:col>
                    <xdr:colOff>676275</xdr:colOff>
                    <xdr:row>23</xdr:row>
                    <xdr:rowOff>238125</xdr:rowOff>
                  </to>
                </anchor>
              </controlPr>
            </control>
          </mc:Choice>
        </mc:AlternateContent>
        <mc:AlternateContent xmlns:mc="http://schemas.openxmlformats.org/markup-compatibility/2006">
          <mc:Choice Requires="x14">
            <control shapeId="87110" r:id="rId31" name="Check Box 70">
              <controlPr defaultSize="0" autoFill="0" autoLine="0" autoPict="0">
                <anchor moveWithCells="1">
                  <from>
                    <xdr:col>3</xdr:col>
                    <xdr:colOff>0</xdr:colOff>
                    <xdr:row>23</xdr:row>
                    <xdr:rowOff>219075</xdr:rowOff>
                  </from>
                  <to>
                    <xdr:col>3</xdr:col>
                    <xdr:colOff>676275</xdr:colOff>
                    <xdr:row>23</xdr:row>
                    <xdr:rowOff>428625</xdr:rowOff>
                  </to>
                </anchor>
              </controlPr>
            </control>
          </mc:Choice>
        </mc:AlternateContent>
        <mc:AlternateContent xmlns:mc="http://schemas.openxmlformats.org/markup-compatibility/2006">
          <mc:Choice Requires="x14">
            <control shapeId="87111" r:id="rId32" name="Check Box 71">
              <controlPr defaultSize="0" autoFill="0" autoLine="0" autoPict="0">
                <anchor moveWithCells="1">
                  <from>
                    <xdr:col>3</xdr:col>
                    <xdr:colOff>0</xdr:colOff>
                    <xdr:row>24</xdr:row>
                    <xdr:rowOff>28575</xdr:rowOff>
                  </from>
                  <to>
                    <xdr:col>3</xdr:col>
                    <xdr:colOff>676275</xdr:colOff>
                    <xdr:row>24</xdr:row>
                    <xdr:rowOff>238125</xdr:rowOff>
                  </to>
                </anchor>
              </controlPr>
            </control>
          </mc:Choice>
        </mc:AlternateContent>
        <mc:AlternateContent xmlns:mc="http://schemas.openxmlformats.org/markup-compatibility/2006">
          <mc:Choice Requires="x14">
            <control shapeId="87112" r:id="rId33" name="Check Box 72">
              <controlPr defaultSize="0" autoFill="0" autoLine="0" autoPict="0">
                <anchor moveWithCells="1">
                  <from>
                    <xdr:col>3</xdr:col>
                    <xdr:colOff>0</xdr:colOff>
                    <xdr:row>24</xdr:row>
                    <xdr:rowOff>219075</xdr:rowOff>
                  </from>
                  <to>
                    <xdr:col>3</xdr:col>
                    <xdr:colOff>676275</xdr:colOff>
                    <xdr:row>24</xdr:row>
                    <xdr:rowOff>428625</xdr:rowOff>
                  </to>
                </anchor>
              </controlPr>
            </control>
          </mc:Choice>
        </mc:AlternateContent>
        <mc:AlternateContent xmlns:mc="http://schemas.openxmlformats.org/markup-compatibility/2006">
          <mc:Choice Requires="x14">
            <control shapeId="87113" r:id="rId34" name="Check Box 73">
              <controlPr defaultSize="0" autoFill="0" autoLine="0" autoPict="0">
                <anchor moveWithCells="1">
                  <from>
                    <xdr:col>3</xdr:col>
                    <xdr:colOff>0</xdr:colOff>
                    <xdr:row>25</xdr:row>
                    <xdr:rowOff>28575</xdr:rowOff>
                  </from>
                  <to>
                    <xdr:col>3</xdr:col>
                    <xdr:colOff>676275</xdr:colOff>
                    <xdr:row>25</xdr:row>
                    <xdr:rowOff>238125</xdr:rowOff>
                  </to>
                </anchor>
              </controlPr>
            </control>
          </mc:Choice>
        </mc:AlternateContent>
        <mc:AlternateContent xmlns:mc="http://schemas.openxmlformats.org/markup-compatibility/2006">
          <mc:Choice Requires="x14">
            <control shapeId="87114" r:id="rId35" name="Check Box 74">
              <controlPr defaultSize="0" autoFill="0" autoLine="0" autoPict="0">
                <anchor moveWithCells="1">
                  <from>
                    <xdr:col>3</xdr:col>
                    <xdr:colOff>0</xdr:colOff>
                    <xdr:row>25</xdr:row>
                    <xdr:rowOff>219075</xdr:rowOff>
                  </from>
                  <to>
                    <xdr:col>3</xdr:col>
                    <xdr:colOff>676275</xdr:colOff>
                    <xdr:row>25</xdr:row>
                    <xdr:rowOff>428625</xdr:rowOff>
                  </to>
                </anchor>
              </controlPr>
            </control>
          </mc:Choice>
        </mc:AlternateContent>
        <mc:AlternateContent xmlns:mc="http://schemas.openxmlformats.org/markup-compatibility/2006">
          <mc:Choice Requires="x14">
            <control shapeId="87115" r:id="rId36" name="Check Box 75">
              <controlPr defaultSize="0" autoFill="0" autoLine="0" autoPict="0">
                <anchor moveWithCells="1">
                  <from>
                    <xdr:col>3</xdr:col>
                    <xdr:colOff>0</xdr:colOff>
                    <xdr:row>27</xdr:row>
                    <xdr:rowOff>28575</xdr:rowOff>
                  </from>
                  <to>
                    <xdr:col>3</xdr:col>
                    <xdr:colOff>676275</xdr:colOff>
                    <xdr:row>27</xdr:row>
                    <xdr:rowOff>238125</xdr:rowOff>
                  </to>
                </anchor>
              </controlPr>
            </control>
          </mc:Choice>
        </mc:AlternateContent>
        <mc:AlternateContent xmlns:mc="http://schemas.openxmlformats.org/markup-compatibility/2006">
          <mc:Choice Requires="x14">
            <control shapeId="87116" r:id="rId37" name="Check Box 76">
              <controlPr defaultSize="0" autoFill="0" autoLine="0" autoPict="0">
                <anchor moveWithCells="1">
                  <from>
                    <xdr:col>3</xdr:col>
                    <xdr:colOff>0</xdr:colOff>
                    <xdr:row>27</xdr:row>
                    <xdr:rowOff>219075</xdr:rowOff>
                  </from>
                  <to>
                    <xdr:col>3</xdr:col>
                    <xdr:colOff>676275</xdr:colOff>
                    <xdr:row>27</xdr:row>
                    <xdr:rowOff>428625</xdr:rowOff>
                  </to>
                </anchor>
              </controlPr>
            </control>
          </mc:Choice>
        </mc:AlternateContent>
        <mc:AlternateContent xmlns:mc="http://schemas.openxmlformats.org/markup-compatibility/2006">
          <mc:Choice Requires="x14">
            <control shapeId="87117" r:id="rId38" name="Check Box 77">
              <controlPr defaultSize="0" autoFill="0" autoLine="0" autoPict="0">
                <anchor moveWithCells="1">
                  <from>
                    <xdr:col>3</xdr:col>
                    <xdr:colOff>0</xdr:colOff>
                    <xdr:row>28</xdr:row>
                    <xdr:rowOff>28575</xdr:rowOff>
                  </from>
                  <to>
                    <xdr:col>3</xdr:col>
                    <xdr:colOff>676275</xdr:colOff>
                    <xdr:row>28</xdr:row>
                    <xdr:rowOff>238125</xdr:rowOff>
                  </to>
                </anchor>
              </controlPr>
            </control>
          </mc:Choice>
        </mc:AlternateContent>
        <mc:AlternateContent xmlns:mc="http://schemas.openxmlformats.org/markup-compatibility/2006">
          <mc:Choice Requires="x14">
            <control shapeId="87118" r:id="rId39" name="Check Box 78">
              <controlPr defaultSize="0" autoFill="0" autoLine="0" autoPict="0">
                <anchor moveWithCells="1">
                  <from>
                    <xdr:col>3</xdr:col>
                    <xdr:colOff>0</xdr:colOff>
                    <xdr:row>28</xdr:row>
                    <xdr:rowOff>219075</xdr:rowOff>
                  </from>
                  <to>
                    <xdr:col>3</xdr:col>
                    <xdr:colOff>676275</xdr:colOff>
                    <xdr:row>28</xdr:row>
                    <xdr:rowOff>428625</xdr:rowOff>
                  </to>
                </anchor>
              </controlPr>
            </control>
          </mc:Choice>
        </mc:AlternateContent>
        <mc:AlternateContent xmlns:mc="http://schemas.openxmlformats.org/markup-compatibility/2006">
          <mc:Choice Requires="x14">
            <control shapeId="87119" r:id="rId40" name="Check Box 79">
              <controlPr defaultSize="0" autoFill="0" autoLine="0" autoPict="0">
                <anchor moveWithCells="1">
                  <from>
                    <xdr:col>3</xdr:col>
                    <xdr:colOff>0</xdr:colOff>
                    <xdr:row>29</xdr:row>
                    <xdr:rowOff>28575</xdr:rowOff>
                  </from>
                  <to>
                    <xdr:col>3</xdr:col>
                    <xdr:colOff>676275</xdr:colOff>
                    <xdr:row>29</xdr:row>
                    <xdr:rowOff>238125</xdr:rowOff>
                  </to>
                </anchor>
              </controlPr>
            </control>
          </mc:Choice>
        </mc:AlternateContent>
        <mc:AlternateContent xmlns:mc="http://schemas.openxmlformats.org/markup-compatibility/2006">
          <mc:Choice Requires="x14">
            <control shapeId="87120" r:id="rId41" name="Check Box 80">
              <controlPr defaultSize="0" autoFill="0" autoLine="0" autoPict="0">
                <anchor moveWithCells="1">
                  <from>
                    <xdr:col>3</xdr:col>
                    <xdr:colOff>0</xdr:colOff>
                    <xdr:row>29</xdr:row>
                    <xdr:rowOff>219075</xdr:rowOff>
                  </from>
                  <to>
                    <xdr:col>3</xdr:col>
                    <xdr:colOff>676275</xdr:colOff>
                    <xdr:row>29</xdr:row>
                    <xdr:rowOff>428625</xdr:rowOff>
                  </to>
                </anchor>
              </controlPr>
            </control>
          </mc:Choice>
        </mc:AlternateContent>
        <mc:AlternateContent xmlns:mc="http://schemas.openxmlformats.org/markup-compatibility/2006">
          <mc:Choice Requires="x14">
            <control shapeId="87121" r:id="rId42" name="Check Box 81">
              <controlPr defaultSize="0" autoFill="0" autoLine="0" autoPict="0">
                <anchor moveWithCells="1">
                  <from>
                    <xdr:col>3</xdr:col>
                    <xdr:colOff>0</xdr:colOff>
                    <xdr:row>30</xdr:row>
                    <xdr:rowOff>28575</xdr:rowOff>
                  </from>
                  <to>
                    <xdr:col>3</xdr:col>
                    <xdr:colOff>676275</xdr:colOff>
                    <xdr:row>30</xdr:row>
                    <xdr:rowOff>238125</xdr:rowOff>
                  </to>
                </anchor>
              </controlPr>
            </control>
          </mc:Choice>
        </mc:AlternateContent>
        <mc:AlternateContent xmlns:mc="http://schemas.openxmlformats.org/markup-compatibility/2006">
          <mc:Choice Requires="x14">
            <control shapeId="87122" r:id="rId43" name="Check Box 82">
              <controlPr defaultSize="0" autoFill="0" autoLine="0" autoPict="0">
                <anchor moveWithCells="1">
                  <from>
                    <xdr:col>3</xdr:col>
                    <xdr:colOff>0</xdr:colOff>
                    <xdr:row>30</xdr:row>
                    <xdr:rowOff>219075</xdr:rowOff>
                  </from>
                  <to>
                    <xdr:col>3</xdr:col>
                    <xdr:colOff>676275</xdr:colOff>
                    <xdr:row>30</xdr:row>
                    <xdr:rowOff>428625</xdr:rowOff>
                  </to>
                </anchor>
              </controlPr>
            </control>
          </mc:Choice>
        </mc:AlternateContent>
        <mc:AlternateContent xmlns:mc="http://schemas.openxmlformats.org/markup-compatibility/2006">
          <mc:Choice Requires="x14">
            <control shapeId="87125" r:id="rId44" name="Check Box 85">
              <controlPr defaultSize="0" autoFill="0" autoLine="0" autoPict="0">
                <anchor moveWithCells="1">
                  <from>
                    <xdr:col>3</xdr:col>
                    <xdr:colOff>0</xdr:colOff>
                    <xdr:row>31</xdr:row>
                    <xdr:rowOff>28575</xdr:rowOff>
                  </from>
                  <to>
                    <xdr:col>3</xdr:col>
                    <xdr:colOff>676275</xdr:colOff>
                    <xdr:row>31</xdr:row>
                    <xdr:rowOff>238125</xdr:rowOff>
                  </to>
                </anchor>
              </controlPr>
            </control>
          </mc:Choice>
        </mc:AlternateContent>
        <mc:AlternateContent xmlns:mc="http://schemas.openxmlformats.org/markup-compatibility/2006">
          <mc:Choice Requires="x14">
            <control shapeId="87126" r:id="rId45" name="Check Box 86">
              <controlPr defaultSize="0" autoFill="0" autoLine="0" autoPict="0">
                <anchor moveWithCells="1">
                  <from>
                    <xdr:col>3</xdr:col>
                    <xdr:colOff>0</xdr:colOff>
                    <xdr:row>31</xdr:row>
                    <xdr:rowOff>219075</xdr:rowOff>
                  </from>
                  <to>
                    <xdr:col>3</xdr:col>
                    <xdr:colOff>676275</xdr:colOff>
                    <xdr:row>31</xdr:row>
                    <xdr:rowOff>428625</xdr:rowOff>
                  </to>
                </anchor>
              </controlPr>
            </control>
          </mc:Choice>
        </mc:AlternateContent>
        <mc:AlternateContent xmlns:mc="http://schemas.openxmlformats.org/markup-compatibility/2006">
          <mc:Choice Requires="x14">
            <control shapeId="87127" r:id="rId46" name="Check Box 87">
              <controlPr defaultSize="0" autoFill="0" autoLine="0" autoPict="0">
                <anchor moveWithCells="1">
                  <from>
                    <xdr:col>3</xdr:col>
                    <xdr:colOff>0</xdr:colOff>
                    <xdr:row>32</xdr:row>
                    <xdr:rowOff>28575</xdr:rowOff>
                  </from>
                  <to>
                    <xdr:col>3</xdr:col>
                    <xdr:colOff>676275</xdr:colOff>
                    <xdr:row>32</xdr:row>
                    <xdr:rowOff>238125</xdr:rowOff>
                  </to>
                </anchor>
              </controlPr>
            </control>
          </mc:Choice>
        </mc:AlternateContent>
        <mc:AlternateContent xmlns:mc="http://schemas.openxmlformats.org/markup-compatibility/2006">
          <mc:Choice Requires="x14">
            <control shapeId="87128" r:id="rId47" name="Check Box 88">
              <controlPr defaultSize="0" autoFill="0" autoLine="0" autoPict="0">
                <anchor moveWithCells="1">
                  <from>
                    <xdr:col>3</xdr:col>
                    <xdr:colOff>0</xdr:colOff>
                    <xdr:row>32</xdr:row>
                    <xdr:rowOff>219075</xdr:rowOff>
                  </from>
                  <to>
                    <xdr:col>3</xdr:col>
                    <xdr:colOff>676275</xdr:colOff>
                    <xdr:row>32</xdr:row>
                    <xdr:rowOff>428625</xdr:rowOff>
                  </to>
                </anchor>
              </controlPr>
            </control>
          </mc:Choice>
        </mc:AlternateContent>
        <mc:AlternateContent xmlns:mc="http://schemas.openxmlformats.org/markup-compatibility/2006">
          <mc:Choice Requires="x14">
            <control shapeId="87129" r:id="rId48" name="Check Box 89">
              <controlPr defaultSize="0" autoFill="0" autoLine="0" autoPict="0">
                <anchor moveWithCells="1">
                  <from>
                    <xdr:col>3</xdr:col>
                    <xdr:colOff>0</xdr:colOff>
                    <xdr:row>33</xdr:row>
                    <xdr:rowOff>28575</xdr:rowOff>
                  </from>
                  <to>
                    <xdr:col>3</xdr:col>
                    <xdr:colOff>676275</xdr:colOff>
                    <xdr:row>33</xdr:row>
                    <xdr:rowOff>238125</xdr:rowOff>
                  </to>
                </anchor>
              </controlPr>
            </control>
          </mc:Choice>
        </mc:AlternateContent>
        <mc:AlternateContent xmlns:mc="http://schemas.openxmlformats.org/markup-compatibility/2006">
          <mc:Choice Requires="x14">
            <control shapeId="87130" r:id="rId49" name="Check Box 90">
              <controlPr defaultSize="0" autoFill="0" autoLine="0" autoPict="0">
                <anchor moveWithCells="1">
                  <from>
                    <xdr:col>3</xdr:col>
                    <xdr:colOff>0</xdr:colOff>
                    <xdr:row>33</xdr:row>
                    <xdr:rowOff>219075</xdr:rowOff>
                  </from>
                  <to>
                    <xdr:col>3</xdr:col>
                    <xdr:colOff>676275</xdr:colOff>
                    <xdr:row>33</xdr:row>
                    <xdr:rowOff>428625</xdr:rowOff>
                  </to>
                </anchor>
              </controlPr>
            </control>
          </mc:Choice>
        </mc:AlternateContent>
        <mc:AlternateContent xmlns:mc="http://schemas.openxmlformats.org/markup-compatibility/2006">
          <mc:Choice Requires="x14">
            <control shapeId="87137" r:id="rId50" name="Check Box 97">
              <controlPr defaultSize="0" autoFill="0" autoLine="0" autoPict="0">
                <anchor moveWithCells="1">
                  <from>
                    <xdr:col>3</xdr:col>
                    <xdr:colOff>0</xdr:colOff>
                    <xdr:row>26</xdr:row>
                    <xdr:rowOff>28575</xdr:rowOff>
                  </from>
                  <to>
                    <xdr:col>3</xdr:col>
                    <xdr:colOff>676275</xdr:colOff>
                    <xdr:row>26</xdr:row>
                    <xdr:rowOff>238125</xdr:rowOff>
                  </to>
                </anchor>
              </controlPr>
            </control>
          </mc:Choice>
        </mc:AlternateContent>
        <mc:AlternateContent xmlns:mc="http://schemas.openxmlformats.org/markup-compatibility/2006">
          <mc:Choice Requires="x14">
            <control shapeId="87138" r:id="rId51" name="Check Box 98">
              <controlPr defaultSize="0" autoFill="0" autoLine="0" autoPict="0">
                <anchor moveWithCells="1">
                  <from>
                    <xdr:col>3</xdr:col>
                    <xdr:colOff>0</xdr:colOff>
                    <xdr:row>26</xdr:row>
                    <xdr:rowOff>219075</xdr:rowOff>
                  </from>
                  <to>
                    <xdr:col>3</xdr:col>
                    <xdr:colOff>676275</xdr:colOff>
                    <xdr:row>26</xdr:row>
                    <xdr:rowOff>428625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00B050"/>
    <pageSetUpPr fitToPage="1"/>
  </sheetPr>
  <dimension ref="A1:AI119"/>
  <sheetViews>
    <sheetView showGridLines="0" zoomScaleNormal="100" workbookViewId="0">
      <selection sqref="A1:E1"/>
    </sheetView>
  </sheetViews>
  <sheetFormatPr defaultRowHeight="18" customHeight="1" x14ac:dyDescent="0.25"/>
  <cols>
    <col min="1" max="1" width="35.7109375" style="603" bestFit="1" customWidth="1"/>
    <col min="2" max="2" width="27.140625" style="603" customWidth="1"/>
    <col min="3" max="3" width="24.28515625" style="603" customWidth="1"/>
    <col min="4" max="4" width="78.28515625" style="603" bestFit="1" customWidth="1"/>
    <col min="5" max="5" width="18.7109375" style="603" customWidth="1"/>
    <col min="6" max="35" width="9.140625" style="18"/>
    <col min="36" max="16384" width="9.140625" style="603"/>
  </cols>
  <sheetData>
    <row r="1" spans="1:35" s="18" customFormat="1" ht="27.75" customHeight="1" thickBot="1" x14ac:dyDescent="0.3">
      <c r="A1" s="1477" t="s">
        <v>66</v>
      </c>
      <c r="B1" s="1477"/>
      <c r="C1" s="1477"/>
      <c r="D1" s="1477"/>
      <c r="E1" s="1477"/>
    </row>
    <row r="2" spans="1:35" ht="18" customHeight="1" thickBot="1" x14ac:dyDescent="0.3">
      <c r="A2" s="587" t="s">
        <v>33</v>
      </c>
      <c r="B2" s="588" t="s">
        <v>1971</v>
      </c>
      <c r="C2" s="588" t="s">
        <v>34</v>
      </c>
      <c r="D2" s="588" t="s">
        <v>35</v>
      </c>
      <c r="E2" s="589" t="s">
        <v>1972</v>
      </c>
      <c r="G2" s="1481" t="s">
        <v>2009</v>
      </c>
      <c r="H2" s="1482"/>
      <c r="I2" s="1482"/>
      <c r="J2" s="1483"/>
    </row>
    <row r="3" spans="1:35" s="604" customFormat="1" ht="18" customHeight="1" x14ac:dyDescent="0.25">
      <c r="A3" s="576" t="s">
        <v>62</v>
      </c>
      <c r="B3" s="577">
        <v>124389</v>
      </c>
      <c r="C3" s="578" t="s">
        <v>1998</v>
      </c>
      <c r="D3" s="578"/>
      <c r="E3" s="590">
        <v>1</v>
      </c>
      <c r="F3" s="193"/>
      <c r="G3" s="1484"/>
      <c r="H3" s="1485"/>
      <c r="I3" s="1485"/>
      <c r="J3" s="1486"/>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row>
    <row r="4" spans="1:35" s="604" customFormat="1" ht="18" customHeight="1" x14ac:dyDescent="0.25">
      <c r="A4" s="579" t="s">
        <v>63</v>
      </c>
      <c r="B4" s="580">
        <v>74828</v>
      </c>
      <c r="C4" s="581" t="s">
        <v>1999</v>
      </c>
      <c r="D4" s="581"/>
      <c r="E4" s="591">
        <v>25</v>
      </c>
      <c r="F4" s="193"/>
      <c r="G4" s="1484"/>
      <c r="H4" s="1485"/>
      <c r="I4" s="1485"/>
      <c r="J4" s="1486"/>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row>
    <row r="5" spans="1:35" s="604" customFormat="1" ht="18" customHeight="1" x14ac:dyDescent="0.25">
      <c r="A5" s="579" t="s">
        <v>64</v>
      </c>
      <c r="B5" s="580">
        <v>10024972</v>
      </c>
      <c r="C5" s="581" t="s">
        <v>2000</v>
      </c>
      <c r="D5" s="581"/>
      <c r="E5" s="591">
        <v>298</v>
      </c>
      <c r="F5" s="193"/>
      <c r="G5" s="1484"/>
      <c r="H5" s="1485"/>
      <c r="I5" s="1485"/>
      <c r="J5" s="1486"/>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row>
    <row r="6" spans="1:35" s="604" customFormat="1" ht="18" customHeight="1" x14ac:dyDescent="0.25">
      <c r="A6" s="579" t="s">
        <v>65</v>
      </c>
      <c r="B6" s="580">
        <v>2551624</v>
      </c>
      <c r="C6" s="581" t="s">
        <v>2001</v>
      </c>
      <c r="D6" s="581"/>
      <c r="E6" s="591">
        <v>22800</v>
      </c>
      <c r="F6" s="193"/>
      <c r="G6" s="1484"/>
      <c r="H6" s="1485"/>
      <c r="I6" s="1485"/>
      <c r="J6" s="1486"/>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row>
    <row r="7" spans="1:35" s="604" customFormat="1" ht="18" customHeight="1" x14ac:dyDescent="0.25">
      <c r="A7" s="579" t="s">
        <v>2192</v>
      </c>
      <c r="B7" s="580">
        <v>373808</v>
      </c>
      <c r="C7" s="581" t="s">
        <v>2007</v>
      </c>
      <c r="D7" s="581"/>
      <c r="E7" s="591">
        <v>17700</v>
      </c>
      <c r="F7" s="193"/>
      <c r="G7" s="1484"/>
      <c r="H7" s="1485"/>
      <c r="I7" s="1485"/>
      <c r="J7" s="1486"/>
      <c r="K7" s="193"/>
      <c r="L7" s="193"/>
      <c r="M7" s="193"/>
      <c r="N7" s="193"/>
      <c r="O7" s="193"/>
      <c r="P7" s="193"/>
      <c r="Q7" s="193"/>
      <c r="R7" s="193"/>
      <c r="S7" s="193"/>
      <c r="T7" s="193"/>
      <c r="U7" s="193"/>
      <c r="V7" s="193"/>
      <c r="W7" s="193"/>
      <c r="X7" s="193"/>
      <c r="Y7" s="193"/>
      <c r="Z7" s="193"/>
      <c r="AA7" s="193"/>
      <c r="AB7" s="193"/>
      <c r="AC7" s="193"/>
      <c r="AD7" s="193"/>
      <c r="AE7" s="193"/>
      <c r="AF7" s="193"/>
      <c r="AG7" s="193"/>
      <c r="AH7" s="193"/>
      <c r="AI7" s="193"/>
    </row>
    <row r="8" spans="1:35" s="604" customFormat="1" ht="18" customHeight="1" thickBot="1" x14ac:dyDescent="0.3">
      <c r="A8" s="579" t="s">
        <v>2193</v>
      </c>
      <c r="B8" s="580">
        <v>7783542</v>
      </c>
      <c r="C8" s="581" t="s">
        <v>2008</v>
      </c>
      <c r="D8" s="581"/>
      <c r="E8" s="591">
        <v>17200</v>
      </c>
      <c r="F8" s="193"/>
      <c r="G8" s="1487"/>
      <c r="H8" s="1488"/>
      <c r="I8" s="1488"/>
      <c r="J8" s="1489"/>
      <c r="K8" s="193"/>
      <c r="L8" s="193"/>
      <c r="M8" s="193"/>
      <c r="N8" s="193"/>
      <c r="O8" s="193"/>
      <c r="P8" s="193"/>
      <c r="Q8" s="193"/>
      <c r="R8" s="193"/>
      <c r="S8" s="193"/>
      <c r="T8" s="193"/>
      <c r="U8" s="193"/>
      <c r="V8" s="193"/>
      <c r="W8" s="193"/>
      <c r="X8" s="193"/>
      <c r="Y8" s="193"/>
      <c r="Z8" s="193"/>
      <c r="AA8" s="193"/>
      <c r="AB8" s="193"/>
      <c r="AC8" s="193"/>
      <c r="AD8" s="193"/>
      <c r="AE8" s="193"/>
      <c r="AF8" s="193"/>
      <c r="AG8" s="193"/>
      <c r="AH8" s="193"/>
      <c r="AI8" s="193"/>
    </row>
    <row r="9" spans="1:35" s="604" customFormat="1" ht="18" customHeight="1" thickBot="1" x14ac:dyDescent="0.3">
      <c r="A9" s="579" t="s">
        <v>2194</v>
      </c>
      <c r="B9" s="580">
        <v>26675467</v>
      </c>
      <c r="C9" s="581" t="s">
        <v>2029</v>
      </c>
      <c r="D9" s="581" t="s">
        <v>2030</v>
      </c>
      <c r="E9" s="591">
        <v>350</v>
      </c>
      <c r="F9" s="193"/>
      <c r="G9" s="193"/>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row>
    <row r="10" spans="1:35" s="604" customFormat="1" ht="30.75" customHeight="1" x14ac:dyDescent="0.25">
      <c r="A10" s="602" t="s">
        <v>2195</v>
      </c>
      <c r="B10" s="580" t="s">
        <v>2077</v>
      </c>
      <c r="C10" s="581" t="s">
        <v>2078</v>
      </c>
      <c r="D10" s="581"/>
      <c r="E10" s="591">
        <v>73</v>
      </c>
      <c r="F10" s="193"/>
      <c r="G10" s="1481" t="s">
        <v>2232</v>
      </c>
      <c r="H10" s="1482"/>
      <c r="I10" s="1482"/>
      <c r="J10" s="1483"/>
      <c r="K10" s="193"/>
      <c r="L10" s="193"/>
      <c r="M10" s="193"/>
      <c r="N10" s="193"/>
      <c r="O10" s="193"/>
      <c r="P10" s="193"/>
      <c r="Q10" s="193"/>
      <c r="R10" s="193"/>
      <c r="S10" s="193"/>
      <c r="T10" s="193"/>
      <c r="U10" s="193"/>
      <c r="V10" s="193"/>
      <c r="W10" s="193"/>
      <c r="X10" s="193"/>
      <c r="Y10" s="193"/>
      <c r="Z10" s="193"/>
      <c r="AA10" s="193"/>
      <c r="AB10" s="193"/>
      <c r="AC10" s="193"/>
      <c r="AD10" s="193"/>
      <c r="AE10" s="193"/>
      <c r="AF10" s="193"/>
      <c r="AG10" s="193"/>
      <c r="AH10" s="193"/>
      <c r="AI10" s="193"/>
    </row>
    <row r="11" spans="1:35" s="604" customFormat="1" ht="18" customHeight="1" x14ac:dyDescent="0.25">
      <c r="A11" s="579" t="s">
        <v>2196</v>
      </c>
      <c r="B11" s="580">
        <v>920661</v>
      </c>
      <c r="C11" s="581" t="s">
        <v>2079</v>
      </c>
      <c r="D11" s="581"/>
      <c r="E11" s="591">
        <v>195</v>
      </c>
      <c r="F11" s="193"/>
      <c r="G11" s="1484"/>
      <c r="H11" s="1485"/>
      <c r="I11" s="1485"/>
      <c r="J11" s="1486"/>
      <c r="K11" s="193"/>
      <c r="L11" s="193"/>
      <c r="M11" s="193"/>
      <c r="N11" s="193"/>
      <c r="O11" s="193"/>
      <c r="P11" s="193"/>
      <c r="Q11" s="193"/>
      <c r="R11" s="193"/>
      <c r="S11" s="193"/>
      <c r="T11" s="193"/>
      <c r="U11" s="193"/>
      <c r="V11" s="193"/>
      <c r="W11" s="193"/>
      <c r="X11" s="193"/>
      <c r="Y11" s="193"/>
      <c r="Z11" s="193"/>
      <c r="AA11" s="193"/>
      <c r="AB11" s="193"/>
      <c r="AC11" s="193"/>
      <c r="AD11" s="193"/>
      <c r="AE11" s="193"/>
      <c r="AF11" s="193"/>
      <c r="AG11" s="193"/>
      <c r="AH11" s="193"/>
      <c r="AI11" s="193"/>
    </row>
    <row r="12" spans="1:35" s="604" customFormat="1" ht="18" customHeight="1" x14ac:dyDescent="0.25">
      <c r="A12" s="579" t="s">
        <v>2197</v>
      </c>
      <c r="B12" s="580">
        <v>422059</v>
      </c>
      <c r="C12" s="581" t="s">
        <v>2080</v>
      </c>
      <c r="D12" s="581"/>
      <c r="E12" s="591">
        <v>42</v>
      </c>
      <c r="F12" s="193"/>
      <c r="G12" s="1484"/>
      <c r="H12" s="1485"/>
      <c r="I12" s="1485"/>
      <c r="J12" s="1486"/>
      <c r="K12" s="193"/>
      <c r="L12" s="193"/>
      <c r="M12" s="193"/>
      <c r="N12" s="193"/>
      <c r="O12" s="193"/>
      <c r="P12" s="193"/>
      <c r="Q12" s="193"/>
      <c r="R12" s="193"/>
      <c r="S12" s="193"/>
      <c r="T12" s="193"/>
      <c r="U12" s="193"/>
      <c r="V12" s="193"/>
      <c r="W12" s="193"/>
      <c r="X12" s="193"/>
      <c r="Y12" s="193"/>
      <c r="Z12" s="193"/>
      <c r="AA12" s="193"/>
      <c r="AB12" s="193"/>
      <c r="AC12" s="193"/>
      <c r="AD12" s="193"/>
      <c r="AE12" s="193"/>
      <c r="AF12" s="193"/>
      <c r="AG12" s="193"/>
      <c r="AH12" s="193"/>
      <c r="AI12" s="193"/>
    </row>
    <row r="13" spans="1:35" s="604" customFormat="1" ht="18" customHeight="1" thickBot="1" x14ac:dyDescent="0.3">
      <c r="A13" s="598" t="s">
        <v>2198</v>
      </c>
      <c r="B13" s="599" t="s">
        <v>2077</v>
      </c>
      <c r="C13" s="594" t="s">
        <v>2081</v>
      </c>
      <c r="D13" s="600" t="s">
        <v>2076</v>
      </c>
      <c r="E13" s="601">
        <v>10300</v>
      </c>
      <c r="F13" s="193"/>
      <c r="G13" s="1484"/>
      <c r="H13" s="1485"/>
      <c r="I13" s="1485"/>
      <c r="J13" s="1486"/>
      <c r="K13" s="193"/>
      <c r="L13" s="193"/>
      <c r="M13" s="193"/>
      <c r="N13" s="193"/>
      <c r="O13" s="193"/>
      <c r="P13" s="193"/>
      <c r="Q13" s="193"/>
      <c r="R13" s="193"/>
      <c r="S13" s="193"/>
      <c r="T13" s="193"/>
      <c r="U13" s="193"/>
      <c r="V13" s="193"/>
      <c r="W13" s="193"/>
      <c r="X13" s="193"/>
      <c r="Y13" s="193"/>
      <c r="Z13" s="193"/>
      <c r="AA13" s="193"/>
      <c r="AB13" s="193"/>
      <c r="AC13" s="193"/>
      <c r="AD13" s="193"/>
      <c r="AE13" s="193"/>
      <c r="AF13" s="193"/>
      <c r="AG13" s="193"/>
      <c r="AH13" s="193"/>
      <c r="AI13" s="193"/>
    </row>
    <row r="14" spans="1:35" s="18" customFormat="1" ht="9.9499999999999993" customHeight="1" thickBot="1" x14ac:dyDescent="0.3">
      <c r="G14" s="1484"/>
      <c r="H14" s="1485"/>
      <c r="I14" s="1485"/>
      <c r="J14" s="1486"/>
    </row>
    <row r="15" spans="1:35" ht="18" customHeight="1" thickBot="1" x14ac:dyDescent="0.3">
      <c r="A15" s="1478" t="s">
        <v>31</v>
      </c>
      <c r="B15" s="1479"/>
      <c r="C15" s="1479"/>
      <c r="D15" s="1479"/>
      <c r="E15" s="1480"/>
      <c r="G15" s="1484"/>
      <c r="H15" s="1485"/>
      <c r="I15" s="1485"/>
      <c r="J15" s="1486"/>
    </row>
    <row r="16" spans="1:35" ht="18" customHeight="1" thickBot="1" x14ac:dyDescent="0.3">
      <c r="A16" s="587" t="s">
        <v>33</v>
      </c>
      <c r="B16" s="588" t="s">
        <v>1971</v>
      </c>
      <c r="C16" s="588" t="s">
        <v>34</v>
      </c>
      <c r="D16" s="588" t="s">
        <v>35</v>
      </c>
      <c r="E16" s="589" t="s">
        <v>1972</v>
      </c>
      <c r="G16" s="1484"/>
      <c r="H16" s="1485"/>
      <c r="I16" s="1485"/>
      <c r="J16" s="1486"/>
    </row>
    <row r="17" spans="1:35" s="604" customFormat="1" ht="18" customHeight="1" thickBot="1" x14ac:dyDescent="0.3">
      <c r="A17" s="576" t="s">
        <v>2011</v>
      </c>
      <c r="B17" s="577">
        <v>75730</v>
      </c>
      <c r="C17" s="578" t="s">
        <v>1992</v>
      </c>
      <c r="D17" s="578" t="s">
        <v>2010</v>
      </c>
      <c r="E17" s="590">
        <v>7390</v>
      </c>
      <c r="F17" s="193"/>
      <c r="G17" s="1487"/>
      <c r="H17" s="1488"/>
      <c r="I17" s="1488"/>
      <c r="J17" s="1489"/>
      <c r="K17" s="193"/>
      <c r="L17" s="193"/>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row>
    <row r="18" spans="1:35" s="604" customFormat="1" ht="18" customHeight="1" x14ac:dyDescent="0.25">
      <c r="A18" s="579" t="s">
        <v>2012</v>
      </c>
      <c r="B18" s="580">
        <v>76164</v>
      </c>
      <c r="C18" s="581" t="s">
        <v>1993</v>
      </c>
      <c r="D18" s="581" t="s">
        <v>2013</v>
      </c>
      <c r="E18" s="591">
        <v>12200</v>
      </c>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row>
    <row r="19" spans="1:35" s="604" customFormat="1" ht="18" customHeight="1" x14ac:dyDescent="0.25">
      <c r="A19" s="579" t="s">
        <v>2014</v>
      </c>
      <c r="B19" s="580">
        <v>76197</v>
      </c>
      <c r="C19" s="581" t="s">
        <v>1994</v>
      </c>
      <c r="D19" s="581" t="s">
        <v>2015</v>
      </c>
      <c r="E19" s="591">
        <v>8830</v>
      </c>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row>
    <row r="20" spans="1:35" s="604" customFormat="1" ht="18" customHeight="1" x14ac:dyDescent="0.25">
      <c r="A20" s="579" t="s">
        <v>2016</v>
      </c>
      <c r="B20" s="580">
        <v>931919</v>
      </c>
      <c r="C20" s="581" t="s">
        <v>2017</v>
      </c>
      <c r="D20" s="581"/>
      <c r="E20" s="591">
        <v>17340</v>
      </c>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row>
    <row r="21" spans="1:35" s="604" customFormat="1" ht="18" customHeight="1" x14ac:dyDescent="0.25">
      <c r="A21" s="579" t="s">
        <v>2018</v>
      </c>
      <c r="B21" s="580">
        <v>355259</v>
      </c>
      <c r="C21" s="581" t="s">
        <v>1995</v>
      </c>
      <c r="D21" s="581" t="s">
        <v>2019</v>
      </c>
      <c r="E21" s="591">
        <v>8860</v>
      </c>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row>
    <row r="22" spans="1:35" s="604" customFormat="1" ht="18" customHeight="1" x14ac:dyDescent="0.25">
      <c r="A22" s="579" t="s">
        <v>2020</v>
      </c>
      <c r="B22" s="580">
        <v>115253</v>
      </c>
      <c r="C22" s="581" t="s">
        <v>2021</v>
      </c>
      <c r="D22" s="582" t="s">
        <v>2022</v>
      </c>
      <c r="E22" s="596">
        <v>10300</v>
      </c>
      <c r="F22" s="193"/>
      <c r="G22" s="193"/>
      <c r="H22" s="19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row>
    <row r="23" spans="1:35" s="604" customFormat="1" ht="18" customHeight="1" x14ac:dyDescent="0.25">
      <c r="A23" s="583" t="s">
        <v>2025</v>
      </c>
      <c r="B23" s="584">
        <v>678262</v>
      </c>
      <c r="C23" s="581" t="s">
        <v>1996</v>
      </c>
      <c r="D23" s="582" t="s">
        <v>2023</v>
      </c>
      <c r="E23" s="596">
        <v>9160</v>
      </c>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row>
    <row r="24" spans="1:35" s="604" customFormat="1" ht="18" customHeight="1" x14ac:dyDescent="0.25">
      <c r="A24" s="579" t="s">
        <v>2026</v>
      </c>
      <c r="B24" s="580">
        <v>355420</v>
      </c>
      <c r="C24" s="581" t="s">
        <v>1997</v>
      </c>
      <c r="D24" s="581" t="s">
        <v>2024</v>
      </c>
      <c r="E24" s="591">
        <v>9300</v>
      </c>
      <c r="F24" s="193"/>
      <c r="G24" s="193"/>
      <c r="H24" s="193"/>
      <c r="I24" s="193"/>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row>
    <row r="25" spans="1:35" s="604" customFormat="1" ht="18" customHeight="1" thickBot="1" x14ac:dyDescent="0.3">
      <c r="A25" s="598" t="s">
        <v>2027</v>
      </c>
      <c r="B25" s="599">
        <v>306945</v>
      </c>
      <c r="C25" s="594" t="s">
        <v>2028</v>
      </c>
      <c r="D25" s="600"/>
      <c r="E25" s="601">
        <v>7500</v>
      </c>
      <c r="F25" s="193"/>
      <c r="G25" s="193"/>
      <c r="H25" s="193"/>
      <c r="I25" s="193"/>
      <c r="J25" s="193"/>
      <c r="K25" s="193"/>
      <c r="L25" s="193"/>
      <c r="M25" s="193"/>
      <c r="N25" s="193"/>
      <c r="O25" s="193"/>
      <c r="P25" s="193"/>
      <c r="Q25" s="193"/>
      <c r="R25" s="193"/>
      <c r="S25" s="193"/>
      <c r="T25" s="193"/>
      <c r="U25" s="193"/>
      <c r="V25" s="193"/>
      <c r="W25" s="193"/>
      <c r="X25" s="193"/>
      <c r="Y25" s="193"/>
      <c r="Z25" s="193"/>
      <c r="AA25" s="193"/>
      <c r="AB25" s="193"/>
      <c r="AC25" s="193"/>
      <c r="AD25" s="193"/>
      <c r="AE25" s="193"/>
      <c r="AF25" s="193"/>
      <c r="AG25" s="193"/>
      <c r="AH25" s="193"/>
      <c r="AI25" s="193"/>
    </row>
    <row r="26" spans="1:35" s="18" customFormat="1" ht="9.9499999999999993" customHeight="1" thickBot="1" x14ac:dyDescent="0.3"/>
    <row r="27" spans="1:35" ht="18" customHeight="1" thickBot="1" x14ac:dyDescent="0.3">
      <c r="A27" s="1478" t="s">
        <v>32</v>
      </c>
      <c r="B27" s="1479"/>
      <c r="C27" s="1479"/>
      <c r="D27" s="1479"/>
      <c r="E27" s="1480"/>
    </row>
    <row r="28" spans="1:35" ht="18" customHeight="1" thickBot="1" x14ac:dyDescent="0.3">
      <c r="A28" s="587" t="s">
        <v>33</v>
      </c>
      <c r="B28" s="588" t="s">
        <v>1971</v>
      </c>
      <c r="C28" s="588" t="s">
        <v>34</v>
      </c>
      <c r="D28" s="588" t="s">
        <v>35</v>
      </c>
      <c r="E28" s="589" t="s">
        <v>1972</v>
      </c>
    </row>
    <row r="29" spans="1:35" s="604" customFormat="1" ht="18" customHeight="1" x14ac:dyDescent="0.25">
      <c r="A29" s="576" t="s">
        <v>39</v>
      </c>
      <c r="B29" s="577">
        <v>75467</v>
      </c>
      <c r="C29" s="578" t="s">
        <v>1978</v>
      </c>
      <c r="D29" s="578" t="s">
        <v>36</v>
      </c>
      <c r="E29" s="590">
        <v>14800</v>
      </c>
      <c r="F29" s="193"/>
      <c r="G29" s="193"/>
      <c r="H29" s="193"/>
      <c r="I29" s="193"/>
      <c r="J29" s="193"/>
      <c r="K29" s="193"/>
      <c r="L29" s="193"/>
      <c r="M29" s="193"/>
      <c r="N29" s="193"/>
      <c r="O29" s="193"/>
      <c r="P29" s="193"/>
      <c r="Q29" s="193"/>
      <c r="R29" s="193"/>
      <c r="S29" s="193"/>
      <c r="T29" s="193"/>
      <c r="U29" s="193"/>
      <c r="V29" s="193"/>
      <c r="W29" s="193"/>
      <c r="X29" s="193"/>
      <c r="Y29" s="193"/>
      <c r="Z29" s="193"/>
      <c r="AA29" s="193"/>
      <c r="AB29" s="193"/>
      <c r="AC29" s="193"/>
      <c r="AD29" s="193"/>
      <c r="AE29" s="193"/>
      <c r="AF29" s="193"/>
      <c r="AG29" s="193"/>
      <c r="AH29" s="193"/>
      <c r="AI29" s="193"/>
    </row>
    <row r="30" spans="1:35" s="604" customFormat="1" ht="18" customHeight="1" x14ac:dyDescent="0.25">
      <c r="A30" s="579" t="s">
        <v>40</v>
      </c>
      <c r="B30" s="580">
        <v>75105</v>
      </c>
      <c r="C30" s="581" t="s">
        <v>1979</v>
      </c>
      <c r="D30" s="581" t="s">
        <v>37</v>
      </c>
      <c r="E30" s="591">
        <v>675</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row>
    <row r="31" spans="1:35" s="604" customFormat="1" ht="18" customHeight="1" x14ac:dyDescent="0.25">
      <c r="A31" s="579" t="s">
        <v>41</v>
      </c>
      <c r="B31" s="580">
        <v>593533</v>
      </c>
      <c r="C31" s="581" t="s">
        <v>1980</v>
      </c>
      <c r="D31" s="581" t="s">
        <v>38</v>
      </c>
      <c r="E31" s="591">
        <v>92</v>
      </c>
      <c r="F31" s="193"/>
      <c r="G31" s="193"/>
      <c r="H31" s="193"/>
      <c r="I31" s="193"/>
      <c r="J31" s="193"/>
      <c r="K31" s="193"/>
      <c r="L31" s="193"/>
      <c r="M31" s="193"/>
      <c r="N31" s="193"/>
      <c r="O31" s="193"/>
      <c r="P31" s="193"/>
      <c r="Q31" s="193"/>
      <c r="R31" s="193"/>
      <c r="S31" s="193"/>
      <c r="T31" s="193"/>
      <c r="U31" s="193"/>
      <c r="V31" s="193"/>
      <c r="W31" s="193"/>
      <c r="X31" s="193"/>
      <c r="Y31" s="193"/>
      <c r="Z31" s="193"/>
      <c r="AA31" s="193"/>
      <c r="AB31" s="193"/>
      <c r="AC31" s="193"/>
      <c r="AD31" s="193"/>
      <c r="AE31" s="193"/>
      <c r="AF31" s="193"/>
      <c r="AG31" s="193"/>
      <c r="AH31" s="193"/>
      <c r="AI31" s="193"/>
    </row>
    <row r="32" spans="1:35" s="604" customFormat="1" ht="18" customHeight="1" x14ac:dyDescent="0.25">
      <c r="A32" s="579" t="s">
        <v>43</v>
      </c>
      <c r="B32" s="580">
        <v>354336</v>
      </c>
      <c r="C32" s="581" t="s">
        <v>1981</v>
      </c>
      <c r="D32" s="581" t="s">
        <v>52</v>
      </c>
      <c r="E32" s="591">
        <v>3500</v>
      </c>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row>
    <row r="33" spans="1:35" s="604" customFormat="1" ht="18" customHeight="1" x14ac:dyDescent="0.25">
      <c r="A33" s="579" t="s">
        <v>44</v>
      </c>
      <c r="B33" s="580">
        <v>359353</v>
      </c>
      <c r="C33" s="581" t="s">
        <v>1982</v>
      </c>
      <c r="D33" s="581" t="s">
        <v>45</v>
      </c>
      <c r="E33" s="591">
        <v>1100</v>
      </c>
      <c r="F33" s="193"/>
      <c r="G33" s="193"/>
      <c r="H33" s="193"/>
      <c r="I33" s="193"/>
      <c r="J33" s="193"/>
      <c r="K33" s="193"/>
      <c r="L33" s="193"/>
      <c r="M33" s="193"/>
      <c r="N33" s="193"/>
      <c r="O33" s="193"/>
      <c r="P33" s="193"/>
      <c r="Q33" s="193"/>
      <c r="R33" s="193"/>
      <c r="S33" s="193"/>
      <c r="T33" s="193"/>
      <c r="U33" s="193"/>
      <c r="V33" s="193"/>
      <c r="W33" s="193"/>
      <c r="X33" s="193"/>
      <c r="Y33" s="193"/>
      <c r="Z33" s="193"/>
      <c r="AA33" s="193"/>
      <c r="AB33" s="193"/>
      <c r="AC33" s="193"/>
      <c r="AD33" s="193"/>
      <c r="AE33" s="193"/>
      <c r="AF33" s="193"/>
      <c r="AG33" s="193"/>
      <c r="AH33" s="193"/>
      <c r="AI33" s="193"/>
    </row>
    <row r="34" spans="1:35" s="604" customFormat="1" ht="18" customHeight="1" x14ac:dyDescent="0.25">
      <c r="A34" s="579" t="s">
        <v>46</v>
      </c>
      <c r="B34" s="580">
        <v>811972</v>
      </c>
      <c r="C34" s="581" t="s">
        <v>1983</v>
      </c>
      <c r="D34" s="581" t="s">
        <v>53</v>
      </c>
      <c r="E34" s="591">
        <v>1430</v>
      </c>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row>
    <row r="35" spans="1:35" s="604" customFormat="1" ht="18" customHeight="1" x14ac:dyDescent="0.25">
      <c r="A35" s="579" t="s">
        <v>57</v>
      </c>
      <c r="B35" s="580">
        <v>430660</v>
      </c>
      <c r="C35" s="581" t="s">
        <v>1984</v>
      </c>
      <c r="D35" s="581" t="s">
        <v>58</v>
      </c>
      <c r="E35" s="591">
        <v>353</v>
      </c>
      <c r="F35" s="193"/>
      <c r="G35" s="193"/>
      <c r="H35" s="193"/>
      <c r="I35" s="193"/>
      <c r="J35" s="193"/>
      <c r="K35" s="193"/>
      <c r="L35" s="193"/>
      <c r="M35" s="193"/>
      <c r="N35" s="193"/>
      <c r="O35" s="193"/>
      <c r="P35" s="193"/>
      <c r="Q35" s="193"/>
      <c r="R35" s="193"/>
      <c r="S35" s="193"/>
      <c r="T35" s="193"/>
      <c r="U35" s="193"/>
      <c r="V35" s="193"/>
      <c r="W35" s="193"/>
      <c r="X35" s="193"/>
      <c r="Y35" s="193"/>
      <c r="Z35" s="193"/>
      <c r="AA35" s="193"/>
      <c r="AB35" s="193"/>
      <c r="AC35" s="193"/>
      <c r="AD35" s="193"/>
      <c r="AE35" s="193"/>
      <c r="AF35" s="193"/>
      <c r="AG35" s="193"/>
      <c r="AH35" s="193"/>
      <c r="AI35" s="193"/>
    </row>
    <row r="36" spans="1:35" s="604" customFormat="1" ht="18" customHeight="1" x14ac:dyDescent="0.25">
      <c r="A36" s="579" t="s">
        <v>48</v>
      </c>
      <c r="B36" s="580">
        <v>420462</v>
      </c>
      <c r="C36" s="581" t="s">
        <v>1984</v>
      </c>
      <c r="D36" s="581" t="s">
        <v>55</v>
      </c>
      <c r="E36" s="591">
        <v>4470</v>
      </c>
      <c r="F36" s="193"/>
      <c r="G36" s="193"/>
      <c r="H36" s="193"/>
      <c r="I36" s="193"/>
      <c r="J36" s="193"/>
      <c r="K36" s="193"/>
      <c r="L36" s="193"/>
      <c r="M36" s="193"/>
      <c r="N36" s="193"/>
      <c r="O36" s="193"/>
      <c r="P36" s="193"/>
      <c r="Q36" s="193"/>
      <c r="R36" s="193"/>
      <c r="S36" s="193"/>
      <c r="T36" s="193"/>
      <c r="U36" s="193"/>
      <c r="V36" s="193"/>
      <c r="W36" s="193"/>
      <c r="X36" s="193"/>
      <c r="Y36" s="193"/>
      <c r="Z36" s="193"/>
      <c r="AA36" s="193"/>
      <c r="AB36" s="193"/>
      <c r="AC36" s="193"/>
      <c r="AD36" s="193"/>
      <c r="AE36" s="193"/>
      <c r="AF36" s="193"/>
      <c r="AG36" s="193"/>
      <c r="AH36" s="193"/>
      <c r="AI36" s="193"/>
    </row>
    <row r="37" spans="1:35" s="604" customFormat="1" ht="18" customHeight="1" x14ac:dyDescent="0.25">
      <c r="A37" s="579" t="s">
        <v>1973</v>
      </c>
      <c r="B37" s="580">
        <v>624726</v>
      </c>
      <c r="C37" s="581" t="s">
        <v>1985</v>
      </c>
      <c r="D37" s="581"/>
      <c r="E37" s="591">
        <v>53</v>
      </c>
      <c r="F37" s="193"/>
      <c r="G37" s="193"/>
      <c r="H37" s="193"/>
      <c r="I37" s="193"/>
      <c r="J37" s="193"/>
      <c r="K37" s="193"/>
      <c r="L37" s="193"/>
      <c r="M37" s="193"/>
      <c r="N37" s="193"/>
      <c r="O37" s="193"/>
      <c r="P37" s="193"/>
      <c r="Q37" s="193"/>
      <c r="R37" s="193"/>
      <c r="S37" s="193"/>
      <c r="T37" s="193"/>
      <c r="U37" s="193"/>
      <c r="V37" s="193"/>
      <c r="W37" s="193"/>
      <c r="X37" s="193"/>
      <c r="Y37" s="193"/>
      <c r="Z37" s="193"/>
      <c r="AA37" s="193"/>
      <c r="AB37" s="193"/>
      <c r="AC37" s="193"/>
      <c r="AD37" s="193"/>
      <c r="AE37" s="193"/>
      <c r="AF37" s="193"/>
      <c r="AG37" s="193"/>
      <c r="AH37" s="193"/>
      <c r="AI37" s="193"/>
    </row>
    <row r="38" spans="1:35" s="604" customFormat="1" ht="18" customHeight="1" x14ac:dyDescent="0.25">
      <c r="A38" s="579" t="s">
        <v>47</v>
      </c>
      <c r="B38" s="580">
        <v>75376</v>
      </c>
      <c r="C38" s="581" t="s">
        <v>1986</v>
      </c>
      <c r="D38" s="581" t="s">
        <v>54</v>
      </c>
      <c r="E38" s="591">
        <v>124</v>
      </c>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row>
    <row r="39" spans="1:35" s="604" customFormat="1" ht="18" customHeight="1" x14ac:dyDescent="0.25">
      <c r="A39" s="579" t="s">
        <v>1974</v>
      </c>
      <c r="B39" s="580">
        <v>353366</v>
      </c>
      <c r="C39" s="581" t="s">
        <v>1987</v>
      </c>
      <c r="D39" s="581"/>
      <c r="E39" s="591">
        <v>12</v>
      </c>
      <c r="F39" s="193"/>
      <c r="G39" s="193"/>
      <c r="H39" s="193"/>
      <c r="I39" s="193"/>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row>
    <row r="40" spans="1:35" s="604" customFormat="1" ht="18" customHeight="1" x14ac:dyDescent="0.25">
      <c r="A40" s="579" t="s">
        <v>49</v>
      </c>
      <c r="B40" s="580">
        <v>431890</v>
      </c>
      <c r="C40" s="581" t="s">
        <v>1988</v>
      </c>
      <c r="D40" s="581" t="s">
        <v>56</v>
      </c>
      <c r="E40" s="591">
        <v>3220</v>
      </c>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row>
    <row r="41" spans="1:35" s="604" customFormat="1" ht="18" customHeight="1" x14ac:dyDescent="0.25">
      <c r="A41" s="579" t="s">
        <v>1975</v>
      </c>
      <c r="B41" s="580">
        <v>677565</v>
      </c>
      <c r="C41" s="581" t="s">
        <v>1989</v>
      </c>
      <c r="D41" s="581"/>
      <c r="E41" s="591">
        <v>1340</v>
      </c>
      <c r="F41" s="193"/>
      <c r="G41" s="193"/>
      <c r="H41" s="193"/>
      <c r="I41" s="193"/>
      <c r="J41" s="193"/>
      <c r="K41" s="193"/>
      <c r="L41" s="193"/>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row>
    <row r="42" spans="1:35" s="604" customFormat="1" ht="18" customHeight="1" x14ac:dyDescent="0.25">
      <c r="A42" s="579" t="s">
        <v>1976</v>
      </c>
      <c r="B42" s="580">
        <v>431630</v>
      </c>
      <c r="C42" s="581" t="s">
        <v>1977</v>
      </c>
      <c r="D42" s="581"/>
      <c r="E42" s="591">
        <v>1370</v>
      </c>
      <c r="F42" s="193"/>
      <c r="G42" s="193"/>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row>
    <row r="43" spans="1:35" s="604" customFormat="1" ht="18" customHeight="1" x14ac:dyDescent="0.25">
      <c r="A43" s="579" t="s">
        <v>50</v>
      </c>
      <c r="B43" s="580">
        <v>690391</v>
      </c>
      <c r="C43" s="581" t="s">
        <v>1990</v>
      </c>
      <c r="D43" s="581" t="s">
        <v>59</v>
      </c>
      <c r="E43" s="591">
        <v>9810</v>
      </c>
      <c r="F43" s="193"/>
      <c r="G43" s="193"/>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row>
    <row r="44" spans="1:35" s="604" customFormat="1" ht="18" customHeight="1" x14ac:dyDescent="0.25">
      <c r="A44" s="579" t="s">
        <v>60</v>
      </c>
      <c r="B44" s="580">
        <v>679867</v>
      </c>
      <c r="C44" s="581" t="s">
        <v>1991</v>
      </c>
      <c r="D44" s="581" t="s">
        <v>61</v>
      </c>
      <c r="E44" s="591">
        <v>693</v>
      </c>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row>
    <row r="45" spans="1:35" s="604" customFormat="1" ht="18" customHeight="1" x14ac:dyDescent="0.25">
      <c r="A45" s="585" t="s">
        <v>2002</v>
      </c>
      <c r="B45" s="586">
        <v>460731</v>
      </c>
      <c r="C45" s="581" t="s">
        <v>2003</v>
      </c>
      <c r="D45" s="581"/>
      <c r="E45" s="597">
        <v>1030</v>
      </c>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193"/>
    </row>
    <row r="46" spans="1:35" s="604" customFormat="1" ht="18" customHeight="1" x14ac:dyDescent="0.25">
      <c r="A46" s="585" t="s">
        <v>2004</v>
      </c>
      <c r="B46" s="586">
        <v>406586</v>
      </c>
      <c r="C46" s="581" t="s">
        <v>2005</v>
      </c>
      <c r="D46" s="581"/>
      <c r="E46" s="597">
        <v>794</v>
      </c>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row>
    <row r="47" spans="1:35" s="604" customFormat="1" ht="18" customHeight="1" thickBot="1" x14ac:dyDescent="0.3">
      <c r="A47" s="592" t="s">
        <v>42</v>
      </c>
      <c r="B47" s="593">
        <v>138495428</v>
      </c>
      <c r="C47" s="594" t="s">
        <v>2006</v>
      </c>
      <c r="D47" s="594" t="s">
        <v>51</v>
      </c>
      <c r="E47" s="595">
        <v>1640</v>
      </c>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row>
    <row r="48" spans="1:35" s="18" customFormat="1" ht="9.9499999999999993" customHeight="1" thickBot="1" x14ac:dyDescent="0.3"/>
    <row r="49" spans="1:35" s="18" customFormat="1" ht="18" customHeight="1" thickBot="1" x14ac:dyDescent="0.3">
      <c r="A49" s="1478" t="s">
        <v>2031</v>
      </c>
      <c r="B49" s="1479"/>
      <c r="C49" s="1479"/>
      <c r="D49" s="1479"/>
      <c r="E49" s="1480"/>
    </row>
    <row r="50" spans="1:35" s="18" customFormat="1" ht="18" customHeight="1" thickBot="1" x14ac:dyDescent="0.3">
      <c r="A50" s="587" t="s">
        <v>33</v>
      </c>
      <c r="B50" s="588" t="s">
        <v>1971</v>
      </c>
      <c r="C50" s="588" t="s">
        <v>34</v>
      </c>
      <c r="D50" s="588" t="s">
        <v>35</v>
      </c>
      <c r="E50" s="589" t="s">
        <v>1972</v>
      </c>
    </row>
    <row r="51" spans="1:35" s="604" customFormat="1" ht="18" customHeight="1" x14ac:dyDescent="0.25">
      <c r="A51" s="576" t="s">
        <v>2200</v>
      </c>
      <c r="B51" s="577" t="s">
        <v>2032</v>
      </c>
      <c r="C51" s="578" t="s">
        <v>2033</v>
      </c>
      <c r="D51" s="578" t="s">
        <v>2034</v>
      </c>
      <c r="E51" s="590">
        <v>1870</v>
      </c>
      <c r="F51" s="193"/>
      <c r="G51" s="193"/>
      <c r="H51" s="193"/>
      <c r="I51" s="193"/>
      <c r="J51" s="193"/>
      <c r="K51" s="193"/>
      <c r="L51" s="193"/>
      <c r="M51" s="193"/>
      <c r="N51" s="193"/>
      <c r="O51" s="193"/>
      <c r="P51" s="193"/>
      <c r="Q51" s="193"/>
      <c r="R51" s="193"/>
      <c r="S51" s="193"/>
      <c r="T51" s="193"/>
      <c r="U51" s="193"/>
      <c r="V51" s="193"/>
      <c r="W51" s="193"/>
      <c r="X51" s="193"/>
      <c r="Y51" s="193"/>
      <c r="Z51" s="193"/>
      <c r="AA51" s="193"/>
      <c r="AB51" s="193"/>
      <c r="AC51" s="193"/>
      <c r="AD51" s="193"/>
      <c r="AE51" s="193"/>
      <c r="AF51" s="193"/>
      <c r="AG51" s="193"/>
      <c r="AH51" s="193"/>
      <c r="AI51" s="193"/>
    </row>
    <row r="52" spans="1:35" s="604" customFormat="1" ht="18" customHeight="1" x14ac:dyDescent="0.25">
      <c r="A52" s="585" t="s">
        <v>2199</v>
      </c>
      <c r="B52" s="586">
        <v>3822682</v>
      </c>
      <c r="C52" s="581" t="s">
        <v>2035</v>
      </c>
      <c r="D52" s="581"/>
      <c r="E52" s="597">
        <v>14900</v>
      </c>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row>
    <row r="53" spans="1:35" s="604" customFormat="1" ht="18" customHeight="1" x14ac:dyDescent="0.25">
      <c r="A53" s="585" t="s">
        <v>2201</v>
      </c>
      <c r="B53" s="586">
        <v>1691174</v>
      </c>
      <c r="C53" s="581" t="s">
        <v>2038</v>
      </c>
      <c r="D53" s="581"/>
      <c r="E53" s="597">
        <v>6320</v>
      </c>
      <c r="F53" s="193"/>
      <c r="G53" s="193"/>
      <c r="H53" s="193"/>
      <c r="I53" s="193"/>
      <c r="J53" s="193"/>
      <c r="K53" s="193"/>
      <c r="L53" s="193"/>
      <c r="M53" s="193"/>
      <c r="N53" s="193"/>
      <c r="O53" s="193"/>
      <c r="P53" s="193"/>
      <c r="Q53" s="193"/>
      <c r="R53" s="193"/>
      <c r="S53" s="193"/>
      <c r="T53" s="193"/>
      <c r="U53" s="193"/>
      <c r="V53" s="193"/>
      <c r="W53" s="193"/>
      <c r="X53" s="193"/>
      <c r="Y53" s="193"/>
      <c r="Z53" s="193"/>
      <c r="AA53" s="193"/>
      <c r="AB53" s="193"/>
      <c r="AC53" s="193"/>
      <c r="AD53" s="193"/>
      <c r="AE53" s="193"/>
      <c r="AF53" s="193"/>
      <c r="AG53" s="193"/>
      <c r="AH53" s="193"/>
      <c r="AI53" s="193"/>
    </row>
    <row r="54" spans="1:35" s="604" customFormat="1" ht="18" customHeight="1" x14ac:dyDescent="0.25">
      <c r="A54" s="585" t="s">
        <v>2202</v>
      </c>
      <c r="B54" s="586">
        <v>421147</v>
      </c>
      <c r="C54" s="581" t="s">
        <v>2039</v>
      </c>
      <c r="D54" s="581"/>
      <c r="E54" s="597">
        <v>756</v>
      </c>
      <c r="F54" s="193"/>
      <c r="G54" s="193"/>
      <c r="H54" s="193"/>
      <c r="I54" s="193"/>
      <c r="J54" s="193"/>
      <c r="K54" s="193"/>
      <c r="L54" s="193"/>
      <c r="M54" s="193"/>
      <c r="N54" s="193"/>
      <c r="O54" s="193"/>
      <c r="P54" s="193"/>
      <c r="Q54" s="193"/>
      <c r="R54" s="193"/>
      <c r="S54" s="193"/>
      <c r="T54" s="193"/>
      <c r="U54" s="193"/>
      <c r="V54" s="193"/>
      <c r="W54" s="193"/>
      <c r="X54" s="193"/>
      <c r="Y54" s="193"/>
      <c r="Z54" s="193"/>
      <c r="AA54" s="193"/>
      <c r="AB54" s="193"/>
      <c r="AC54" s="193"/>
      <c r="AD54" s="193"/>
      <c r="AE54" s="193"/>
      <c r="AF54" s="193"/>
      <c r="AG54" s="193"/>
      <c r="AH54" s="193"/>
      <c r="AI54" s="193"/>
    </row>
    <row r="55" spans="1:35" s="604" customFormat="1" ht="18" customHeight="1" x14ac:dyDescent="0.25">
      <c r="A55" s="585" t="s">
        <v>2203</v>
      </c>
      <c r="B55" s="586">
        <v>2356629</v>
      </c>
      <c r="C55" s="581" t="s">
        <v>2040</v>
      </c>
      <c r="D55" s="581"/>
      <c r="E55" s="597">
        <v>1540</v>
      </c>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1:35" s="604" customFormat="1" ht="18" customHeight="1" x14ac:dyDescent="0.25">
      <c r="A56" s="585" t="s">
        <v>2204</v>
      </c>
      <c r="B56" s="586">
        <v>78522471</v>
      </c>
      <c r="C56" s="581" t="s">
        <v>2041</v>
      </c>
      <c r="D56" s="581" t="s">
        <v>2042</v>
      </c>
      <c r="E56" s="597">
        <v>2800</v>
      </c>
      <c r="F56" s="193"/>
      <c r="G56" s="193"/>
      <c r="H56" s="193"/>
      <c r="I56" s="193"/>
      <c r="J56" s="193"/>
      <c r="K56" s="193"/>
      <c r="L56" s="193"/>
      <c r="M56" s="193"/>
      <c r="N56" s="193"/>
      <c r="O56" s="193"/>
      <c r="P56" s="193"/>
      <c r="Q56" s="193"/>
      <c r="R56" s="193"/>
      <c r="S56" s="193"/>
      <c r="T56" s="193"/>
      <c r="U56" s="193"/>
      <c r="V56" s="193"/>
      <c r="W56" s="193"/>
      <c r="X56" s="193"/>
      <c r="Y56" s="193"/>
      <c r="Z56" s="193"/>
      <c r="AA56" s="193"/>
      <c r="AB56" s="193"/>
      <c r="AC56" s="193"/>
      <c r="AD56" s="193"/>
      <c r="AE56" s="193"/>
      <c r="AF56" s="193"/>
      <c r="AG56" s="193"/>
      <c r="AH56" s="193"/>
      <c r="AI56" s="193"/>
    </row>
    <row r="57" spans="1:35" s="604" customFormat="1" ht="18" customHeight="1" x14ac:dyDescent="0.25">
      <c r="A57" s="585" t="s">
        <v>2205</v>
      </c>
      <c r="B57" s="586">
        <v>57041675</v>
      </c>
      <c r="C57" s="581" t="s">
        <v>2043</v>
      </c>
      <c r="D57" s="581" t="s">
        <v>2044</v>
      </c>
      <c r="E57" s="597">
        <v>989</v>
      </c>
      <c r="F57" s="193"/>
      <c r="G57" s="193"/>
      <c r="H57" s="193"/>
      <c r="I57" s="193"/>
      <c r="J57" s="193"/>
      <c r="K57" s="193"/>
      <c r="L57" s="193"/>
      <c r="M57" s="193"/>
      <c r="N57" s="193"/>
      <c r="O57" s="193"/>
      <c r="P57" s="193"/>
      <c r="Q57" s="193"/>
      <c r="R57" s="193"/>
      <c r="S57" s="193"/>
      <c r="T57" s="193"/>
      <c r="U57" s="193"/>
      <c r="V57" s="193"/>
      <c r="W57" s="193"/>
      <c r="X57" s="193"/>
      <c r="Y57" s="193"/>
      <c r="Z57" s="193"/>
      <c r="AA57" s="193"/>
      <c r="AB57" s="193"/>
      <c r="AC57" s="193"/>
      <c r="AD57" s="193"/>
      <c r="AE57" s="193"/>
      <c r="AF57" s="193"/>
      <c r="AG57" s="193"/>
      <c r="AH57" s="193"/>
      <c r="AI57" s="193"/>
    </row>
    <row r="58" spans="1:35" s="604" customFormat="1" ht="18" customHeight="1" x14ac:dyDescent="0.25">
      <c r="A58" s="585" t="s">
        <v>2206</v>
      </c>
      <c r="B58" s="586">
        <v>20193673</v>
      </c>
      <c r="C58" s="581" t="s">
        <v>2045</v>
      </c>
      <c r="D58" s="581"/>
      <c r="E58" s="597">
        <v>487</v>
      </c>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row>
    <row r="59" spans="1:35" s="604" customFormat="1" ht="18" customHeight="1" x14ac:dyDescent="0.25">
      <c r="A59" s="585" t="s">
        <v>2207</v>
      </c>
      <c r="B59" s="586">
        <v>22410442</v>
      </c>
      <c r="C59" s="581" t="s">
        <v>2046</v>
      </c>
      <c r="D59" s="581"/>
      <c r="E59" s="597">
        <v>708</v>
      </c>
      <c r="F59" s="193"/>
      <c r="G59" s="193"/>
      <c r="H59" s="193"/>
      <c r="I59" s="193"/>
      <c r="J59" s="193"/>
      <c r="K59" s="193"/>
      <c r="L59" s="193"/>
      <c r="M59" s="193"/>
      <c r="N59" s="193"/>
      <c r="O59" s="193"/>
      <c r="P59" s="193"/>
      <c r="Q59" s="193"/>
      <c r="R59" s="193"/>
      <c r="S59" s="193"/>
      <c r="T59" s="193"/>
      <c r="U59" s="193"/>
      <c r="V59" s="193"/>
      <c r="W59" s="193"/>
      <c r="X59" s="193"/>
      <c r="Y59" s="193"/>
      <c r="Z59" s="193"/>
      <c r="AA59" s="193"/>
      <c r="AB59" s="193"/>
      <c r="AC59" s="193"/>
      <c r="AD59" s="193"/>
      <c r="AE59" s="193"/>
      <c r="AF59" s="193"/>
      <c r="AG59" s="193"/>
      <c r="AH59" s="193"/>
      <c r="AI59" s="193"/>
    </row>
    <row r="60" spans="1:35" s="604" customFormat="1" ht="18" customHeight="1" x14ac:dyDescent="0.25">
      <c r="A60" s="585" t="s">
        <v>2208</v>
      </c>
      <c r="B60" s="586">
        <v>84011154</v>
      </c>
      <c r="C60" s="581" t="s">
        <v>2047</v>
      </c>
      <c r="D60" s="581"/>
      <c r="E60" s="597">
        <v>286</v>
      </c>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row>
    <row r="61" spans="1:35" s="604" customFormat="1" ht="18" customHeight="1" x14ac:dyDescent="0.25">
      <c r="A61" s="585" t="s">
        <v>2209</v>
      </c>
      <c r="B61" s="586">
        <v>1885489</v>
      </c>
      <c r="C61" s="581" t="s">
        <v>2048</v>
      </c>
      <c r="D61" s="581"/>
      <c r="E61" s="597">
        <v>659</v>
      </c>
      <c r="F61" s="193"/>
      <c r="G61" s="193"/>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row>
    <row r="62" spans="1:35" s="604" customFormat="1" ht="18" customHeight="1" x14ac:dyDescent="0.25">
      <c r="A62" s="585" t="s">
        <v>2210</v>
      </c>
      <c r="B62" s="586">
        <v>425887</v>
      </c>
      <c r="C62" s="581" t="s">
        <v>2049</v>
      </c>
      <c r="D62" s="581"/>
      <c r="E62" s="597">
        <v>359</v>
      </c>
      <c r="F62" s="193"/>
      <c r="G62" s="193"/>
      <c r="H62" s="193"/>
      <c r="I62" s="193"/>
      <c r="J62" s="193"/>
      <c r="K62" s="193"/>
      <c r="L62" s="193"/>
      <c r="M62" s="193"/>
      <c r="N62" s="193"/>
      <c r="O62" s="193"/>
      <c r="P62" s="193"/>
      <c r="Q62" s="193"/>
      <c r="R62" s="193"/>
      <c r="S62" s="193"/>
      <c r="T62" s="193"/>
      <c r="U62" s="193"/>
      <c r="V62" s="193"/>
      <c r="W62" s="193"/>
      <c r="X62" s="193"/>
      <c r="Y62" s="193"/>
      <c r="Z62" s="193"/>
      <c r="AA62" s="193"/>
      <c r="AB62" s="193"/>
      <c r="AC62" s="193"/>
      <c r="AD62" s="193"/>
      <c r="AE62" s="193"/>
      <c r="AF62" s="193"/>
      <c r="AG62" s="193"/>
      <c r="AH62" s="193"/>
      <c r="AI62" s="193"/>
    </row>
    <row r="63" spans="1:35" s="604" customFormat="1" ht="18" customHeight="1" x14ac:dyDescent="0.25">
      <c r="A63" s="585" t="s">
        <v>2211</v>
      </c>
      <c r="B63" s="586">
        <v>460435</v>
      </c>
      <c r="C63" s="581" t="s">
        <v>2050</v>
      </c>
      <c r="D63" s="581"/>
      <c r="E63" s="597">
        <v>11</v>
      </c>
      <c r="F63" s="193"/>
      <c r="G63" s="193"/>
      <c r="H63" s="193"/>
      <c r="I63" s="193"/>
      <c r="J63" s="193"/>
      <c r="K63" s="193"/>
      <c r="L63" s="193"/>
      <c r="M63" s="193"/>
      <c r="N63" s="193"/>
      <c r="O63" s="193"/>
      <c r="P63" s="193"/>
      <c r="Q63" s="193"/>
      <c r="R63" s="193"/>
      <c r="S63" s="193"/>
      <c r="T63" s="193"/>
      <c r="U63" s="193"/>
      <c r="V63" s="193"/>
      <c r="W63" s="193"/>
      <c r="X63" s="193"/>
      <c r="Y63" s="193"/>
      <c r="Z63" s="193"/>
      <c r="AA63" s="193"/>
      <c r="AB63" s="193"/>
      <c r="AC63" s="193"/>
      <c r="AD63" s="193"/>
      <c r="AE63" s="193"/>
      <c r="AF63" s="193"/>
      <c r="AG63" s="193"/>
      <c r="AH63" s="193"/>
      <c r="AI63" s="193"/>
    </row>
    <row r="64" spans="1:35" s="604" customFormat="1" ht="18" customHeight="1" x14ac:dyDescent="0.25">
      <c r="A64" s="585" t="s">
        <v>2212</v>
      </c>
      <c r="B64" s="586">
        <v>134769214</v>
      </c>
      <c r="C64" s="581" t="s">
        <v>2051</v>
      </c>
      <c r="D64" s="581"/>
      <c r="E64" s="597">
        <v>919</v>
      </c>
      <c r="F64" s="193"/>
      <c r="G64" s="193"/>
      <c r="H64" s="193"/>
      <c r="I64" s="193"/>
      <c r="J64" s="193"/>
      <c r="K64" s="193"/>
      <c r="L64" s="193"/>
      <c r="M64" s="193"/>
      <c r="N64" s="193"/>
      <c r="O64" s="193"/>
      <c r="P64" s="193"/>
      <c r="Q64" s="193"/>
      <c r="R64" s="193"/>
      <c r="S64" s="193"/>
      <c r="T64" s="193"/>
      <c r="U64" s="193"/>
      <c r="V64" s="193"/>
      <c r="W64" s="193"/>
      <c r="X64" s="193"/>
      <c r="Y64" s="193"/>
      <c r="Z64" s="193"/>
      <c r="AA64" s="193"/>
      <c r="AB64" s="193"/>
      <c r="AC64" s="193"/>
      <c r="AD64" s="193"/>
      <c r="AE64" s="193"/>
      <c r="AF64" s="193"/>
      <c r="AG64" s="193"/>
      <c r="AH64" s="193"/>
      <c r="AI64" s="193"/>
    </row>
    <row r="65" spans="1:35" s="604" customFormat="1" ht="18" customHeight="1" x14ac:dyDescent="0.25">
      <c r="A65" s="585" t="s">
        <v>2213</v>
      </c>
      <c r="B65" s="586">
        <v>156053882</v>
      </c>
      <c r="C65" s="581" t="s">
        <v>2052</v>
      </c>
      <c r="D65" s="581"/>
      <c r="E65" s="597">
        <v>552</v>
      </c>
      <c r="F65" s="193"/>
      <c r="G65" s="193"/>
      <c r="H65" s="193"/>
      <c r="I65" s="193"/>
      <c r="J65" s="193"/>
      <c r="K65" s="193"/>
      <c r="L65" s="193"/>
      <c r="M65" s="193"/>
      <c r="N65" s="193"/>
      <c r="O65" s="193"/>
      <c r="P65" s="193"/>
      <c r="Q65" s="193"/>
      <c r="R65" s="193"/>
      <c r="S65" s="193"/>
      <c r="T65" s="193"/>
      <c r="U65" s="193"/>
      <c r="V65" s="193"/>
      <c r="W65" s="193"/>
      <c r="X65" s="193"/>
      <c r="Y65" s="193"/>
      <c r="Z65" s="193"/>
      <c r="AA65" s="193"/>
      <c r="AB65" s="193"/>
      <c r="AC65" s="193"/>
      <c r="AD65" s="193"/>
      <c r="AE65" s="193"/>
      <c r="AF65" s="193"/>
      <c r="AG65" s="193"/>
      <c r="AH65" s="193"/>
      <c r="AI65" s="193"/>
    </row>
    <row r="66" spans="1:35" s="604" customFormat="1" ht="18" customHeight="1" x14ac:dyDescent="0.25">
      <c r="A66" s="585" t="s">
        <v>2214</v>
      </c>
      <c r="B66" s="586">
        <v>188690780</v>
      </c>
      <c r="C66" s="581" t="s">
        <v>2053</v>
      </c>
      <c r="D66" s="581" t="s">
        <v>2054</v>
      </c>
      <c r="E66" s="597">
        <v>1500</v>
      </c>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row>
    <row r="67" spans="1:35" s="604" customFormat="1" ht="18" customHeight="1" x14ac:dyDescent="0.25">
      <c r="A67" s="585" t="s">
        <v>2215</v>
      </c>
      <c r="B67" s="586">
        <v>375031</v>
      </c>
      <c r="C67" s="581" t="s">
        <v>2055</v>
      </c>
      <c r="D67" s="581" t="s">
        <v>2064</v>
      </c>
      <c r="E67" s="597">
        <v>575</v>
      </c>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93"/>
      <c r="AI67" s="193"/>
    </row>
    <row r="68" spans="1:35" s="604" customFormat="1" ht="18" customHeight="1" x14ac:dyDescent="0.25">
      <c r="A68" s="585" t="s">
        <v>2216</v>
      </c>
      <c r="B68" s="586">
        <v>171182959</v>
      </c>
      <c r="C68" s="581" t="s">
        <v>2056</v>
      </c>
      <c r="D68" s="581"/>
      <c r="E68" s="597">
        <v>374</v>
      </c>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row>
    <row r="69" spans="1:35" s="604" customFormat="1" ht="18" customHeight="1" x14ac:dyDescent="0.25">
      <c r="A69" s="585" t="s">
        <v>2217</v>
      </c>
      <c r="B69" s="586">
        <v>406780</v>
      </c>
      <c r="C69" s="581" t="s">
        <v>2057</v>
      </c>
      <c r="D69" s="581"/>
      <c r="E69" s="597">
        <v>580</v>
      </c>
      <c r="F69" s="193"/>
      <c r="G69" s="193"/>
      <c r="H69" s="193"/>
      <c r="I69" s="193"/>
      <c r="J69" s="193"/>
      <c r="K69" s="193"/>
      <c r="L69" s="193"/>
      <c r="M69" s="193"/>
      <c r="N69" s="193"/>
      <c r="O69" s="193"/>
      <c r="P69" s="193"/>
      <c r="Q69" s="193"/>
      <c r="R69" s="193"/>
      <c r="S69" s="193"/>
      <c r="T69" s="193"/>
      <c r="U69" s="193"/>
      <c r="V69" s="193"/>
      <c r="W69" s="193"/>
      <c r="X69" s="193"/>
      <c r="Y69" s="193"/>
      <c r="Z69" s="193"/>
      <c r="AA69" s="193"/>
      <c r="AB69" s="193"/>
      <c r="AC69" s="193"/>
      <c r="AD69" s="193"/>
      <c r="AE69" s="193"/>
      <c r="AF69" s="193"/>
      <c r="AG69" s="193"/>
      <c r="AH69" s="193"/>
      <c r="AI69" s="193"/>
    </row>
    <row r="70" spans="1:35" s="604" customFormat="1" ht="18" customHeight="1" x14ac:dyDescent="0.25">
      <c r="A70" s="585" t="s">
        <v>2218</v>
      </c>
      <c r="B70" s="586">
        <v>382343</v>
      </c>
      <c r="C70" s="581" t="s">
        <v>2058</v>
      </c>
      <c r="D70" s="581"/>
      <c r="E70" s="597">
        <v>101</v>
      </c>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193"/>
      <c r="AG70" s="193"/>
      <c r="AH70" s="193"/>
      <c r="AI70" s="193"/>
    </row>
    <row r="71" spans="1:35" s="604" customFormat="1" ht="18" customHeight="1" x14ac:dyDescent="0.25">
      <c r="A71" s="585" t="s">
        <v>2219</v>
      </c>
      <c r="B71" s="586">
        <v>160620202</v>
      </c>
      <c r="C71" s="581" t="s">
        <v>2059</v>
      </c>
      <c r="D71" s="581"/>
      <c r="E71" s="597">
        <v>110</v>
      </c>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row>
    <row r="72" spans="1:35" s="604" customFormat="1" ht="18" customHeight="1" x14ac:dyDescent="0.25">
      <c r="A72" s="585" t="s">
        <v>2220</v>
      </c>
      <c r="B72" s="586">
        <v>50807777</v>
      </c>
      <c r="C72" s="581" t="s">
        <v>2060</v>
      </c>
      <c r="D72" s="581"/>
      <c r="E72" s="597">
        <v>265</v>
      </c>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row>
    <row r="73" spans="1:35" s="604" customFormat="1" ht="18" customHeight="1" x14ac:dyDescent="0.25">
      <c r="A73" s="585" t="s">
        <v>2221</v>
      </c>
      <c r="B73" s="586">
        <v>35042990</v>
      </c>
      <c r="C73" s="581" t="s">
        <v>2061</v>
      </c>
      <c r="D73" s="581"/>
      <c r="E73" s="597">
        <v>502</v>
      </c>
      <c r="F73" s="193"/>
      <c r="G73" s="193"/>
      <c r="H73" s="193"/>
      <c r="I73" s="193"/>
      <c r="J73" s="193"/>
      <c r="K73" s="193"/>
      <c r="L73" s="193"/>
      <c r="M73" s="193"/>
      <c r="N73" s="193"/>
      <c r="O73" s="193"/>
      <c r="P73" s="193"/>
      <c r="Q73" s="193"/>
      <c r="R73" s="193"/>
      <c r="S73" s="193"/>
      <c r="T73" s="193"/>
      <c r="U73" s="193"/>
      <c r="V73" s="193"/>
      <c r="W73" s="193"/>
      <c r="X73" s="193"/>
      <c r="Y73" s="193"/>
      <c r="Z73" s="193"/>
      <c r="AA73" s="193"/>
      <c r="AB73" s="193"/>
      <c r="AC73" s="193"/>
      <c r="AD73" s="193"/>
      <c r="AE73" s="193"/>
      <c r="AF73" s="193"/>
      <c r="AG73" s="193"/>
      <c r="AH73" s="193"/>
      <c r="AI73" s="193"/>
    </row>
    <row r="74" spans="1:35" s="604" customFormat="1" ht="18" customHeight="1" x14ac:dyDescent="0.25">
      <c r="A74" s="585" t="s">
        <v>2222</v>
      </c>
      <c r="B74" s="586">
        <v>378165</v>
      </c>
      <c r="C74" s="581" t="s">
        <v>2062</v>
      </c>
      <c r="D74" s="581"/>
      <c r="E74" s="597">
        <v>11</v>
      </c>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row>
    <row r="75" spans="1:35" s="604" customFormat="1" ht="18" customHeight="1" x14ac:dyDescent="0.25">
      <c r="A75" s="585" t="s">
        <v>2223</v>
      </c>
      <c r="B75" s="586">
        <v>512516</v>
      </c>
      <c r="C75" s="581" t="s">
        <v>2063</v>
      </c>
      <c r="D75" s="581"/>
      <c r="E75" s="597">
        <v>557</v>
      </c>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row>
    <row r="76" spans="1:35" s="604" customFormat="1" ht="18" customHeight="1" x14ac:dyDescent="0.25">
      <c r="A76" s="585" t="s">
        <v>2224</v>
      </c>
      <c r="B76" s="586">
        <v>163702076</v>
      </c>
      <c r="C76" s="581" t="s">
        <v>2037</v>
      </c>
      <c r="D76" s="581" t="s">
        <v>2036</v>
      </c>
      <c r="E76" s="597">
        <v>297</v>
      </c>
      <c r="F76" s="193"/>
      <c r="G76" s="193"/>
      <c r="H76" s="193"/>
      <c r="I76" s="193"/>
      <c r="J76" s="193"/>
      <c r="K76" s="193"/>
      <c r="L76" s="193"/>
      <c r="M76" s="193"/>
      <c r="N76" s="193"/>
      <c r="O76" s="193"/>
      <c r="P76" s="193"/>
      <c r="Q76" s="193"/>
      <c r="R76" s="193"/>
      <c r="S76" s="193"/>
      <c r="T76" s="193"/>
      <c r="U76" s="193"/>
      <c r="V76" s="193"/>
      <c r="W76" s="193"/>
      <c r="X76" s="193"/>
      <c r="Y76" s="193"/>
      <c r="Z76" s="193"/>
      <c r="AA76" s="193"/>
      <c r="AB76" s="193"/>
      <c r="AC76" s="193"/>
      <c r="AD76" s="193"/>
      <c r="AE76" s="193"/>
      <c r="AF76" s="193"/>
      <c r="AG76" s="193"/>
      <c r="AH76" s="193"/>
      <c r="AI76" s="193"/>
    </row>
    <row r="77" spans="1:35" s="604" customFormat="1" ht="18" customHeight="1" x14ac:dyDescent="0.25">
      <c r="A77" s="585" t="s">
        <v>2225</v>
      </c>
      <c r="B77" s="586">
        <v>163702087</v>
      </c>
      <c r="C77" s="581" t="s">
        <v>2065</v>
      </c>
      <c r="D77" s="581" t="s">
        <v>2066</v>
      </c>
      <c r="E77" s="597">
        <v>297</v>
      </c>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row>
    <row r="78" spans="1:35" s="604" customFormat="1" ht="18" customHeight="1" x14ac:dyDescent="0.25">
      <c r="A78" s="585" t="s">
        <v>2226</v>
      </c>
      <c r="B78" s="586">
        <v>163702054</v>
      </c>
      <c r="C78" s="581" t="s">
        <v>2069</v>
      </c>
      <c r="D78" s="581" t="s">
        <v>2067</v>
      </c>
      <c r="E78" s="597">
        <v>59</v>
      </c>
      <c r="F78" s="193"/>
      <c r="G78" s="193"/>
      <c r="H78" s="193"/>
      <c r="I78" s="193"/>
      <c r="J78" s="193"/>
      <c r="K78" s="193"/>
      <c r="L78" s="193"/>
      <c r="M78" s="193"/>
      <c r="N78" s="193"/>
      <c r="O78" s="193"/>
      <c r="P78" s="193"/>
      <c r="Q78" s="193"/>
      <c r="R78" s="193"/>
      <c r="S78" s="193"/>
      <c r="T78" s="193"/>
      <c r="U78" s="193"/>
      <c r="V78" s="193"/>
      <c r="W78" s="193"/>
      <c r="X78" s="193"/>
      <c r="Y78" s="193"/>
      <c r="Z78" s="193"/>
      <c r="AA78" s="193"/>
      <c r="AB78" s="193"/>
      <c r="AC78" s="193"/>
      <c r="AD78" s="193"/>
      <c r="AE78" s="193"/>
      <c r="AF78" s="193"/>
      <c r="AG78" s="193"/>
      <c r="AH78" s="193"/>
      <c r="AI78" s="193"/>
    </row>
    <row r="79" spans="1:35" s="604" customFormat="1" ht="18" customHeight="1" x14ac:dyDescent="0.25">
      <c r="A79" s="585" t="s">
        <v>2227</v>
      </c>
      <c r="B79" s="586">
        <v>163702065</v>
      </c>
      <c r="C79" s="581" t="s">
        <v>2070</v>
      </c>
      <c r="D79" s="581" t="s">
        <v>2068</v>
      </c>
      <c r="E79" s="597">
        <v>59</v>
      </c>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row>
    <row r="80" spans="1:35" s="604" customFormat="1" ht="18" customHeight="1" x14ac:dyDescent="0.25">
      <c r="A80" s="585" t="s">
        <v>2228</v>
      </c>
      <c r="B80" s="586">
        <v>28523866</v>
      </c>
      <c r="C80" s="581" t="s">
        <v>2071</v>
      </c>
      <c r="D80" s="581" t="s">
        <v>2072</v>
      </c>
      <c r="E80" s="597">
        <v>345</v>
      </c>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row>
    <row r="81" spans="1:35" s="604" customFormat="1" ht="18" customHeight="1" x14ac:dyDescent="0.25">
      <c r="A81" s="585" t="s">
        <v>2229</v>
      </c>
      <c r="B81" s="586">
        <v>13171181</v>
      </c>
      <c r="C81" s="581" t="s">
        <v>2073</v>
      </c>
      <c r="D81" s="581"/>
      <c r="E81" s="597">
        <v>27</v>
      </c>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row>
    <row r="82" spans="1:35" s="604" customFormat="1" ht="18" customHeight="1" x14ac:dyDescent="0.25">
      <c r="A82" s="585" t="s">
        <v>2230</v>
      </c>
      <c r="B82" s="586">
        <v>26103082</v>
      </c>
      <c r="C82" s="581" t="s">
        <v>2074</v>
      </c>
      <c r="D82" s="581"/>
      <c r="E82" s="597">
        <v>380</v>
      </c>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193"/>
      <c r="AG82" s="193"/>
      <c r="AH82" s="193"/>
      <c r="AI82" s="193"/>
    </row>
    <row r="83" spans="1:35" s="604" customFormat="1" ht="18" customHeight="1" thickBot="1" x14ac:dyDescent="0.3">
      <c r="A83" s="592" t="s">
        <v>2231</v>
      </c>
      <c r="B83" s="593">
        <v>22052842</v>
      </c>
      <c r="C83" s="594" t="s">
        <v>2075</v>
      </c>
      <c r="D83" s="594"/>
      <c r="E83" s="595">
        <v>343</v>
      </c>
      <c r="F83" s="193"/>
      <c r="G83" s="193"/>
      <c r="H83" s="193"/>
      <c r="I83" s="193"/>
      <c r="J83" s="193"/>
      <c r="K83" s="193"/>
      <c r="L83" s="193"/>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row>
    <row r="84" spans="1:35" s="18" customFormat="1" ht="18" customHeight="1" x14ac:dyDescent="0.25"/>
    <row r="85" spans="1:35" s="18" customFormat="1" ht="18" customHeight="1" x14ac:dyDescent="0.25"/>
    <row r="86" spans="1:35" s="18" customFormat="1" ht="18" customHeight="1" x14ac:dyDescent="0.25"/>
    <row r="87" spans="1:35" s="18" customFormat="1" ht="18" customHeight="1" x14ac:dyDescent="0.25"/>
    <row r="88" spans="1:35" s="18" customFormat="1" ht="18" customHeight="1" x14ac:dyDescent="0.25"/>
    <row r="89" spans="1:35" s="18" customFormat="1" ht="18" customHeight="1" x14ac:dyDescent="0.25"/>
    <row r="90" spans="1:35" s="18" customFormat="1" ht="18" customHeight="1" x14ac:dyDescent="0.25"/>
    <row r="91" spans="1:35" s="18" customFormat="1" ht="18" customHeight="1" x14ac:dyDescent="0.25"/>
    <row r="92" spans="1:35" s="18" customFormat="1" ht="18" customHeight="1" x14ac:dyDescent="0.25"/>
    <row r="93" spans="1:35" s="18" customFormat="1" ht="18" customHeight="1" x14ac:dyDescent="0.25"/>
    <row r="94" spans="1:35" s="18" customFormat="1" ht="18" customHeight="1" x14ac:dyDescent="0.25"/>
    <row r="95" spans="1:35" s="18" customFormat="1" ht="18" customHeight="1" x14ac:dyDescent="0.25"/>
    <row r="96" spans="1:35" s="18" customFormat="1" ht="18" customHeight="1" x14ac:dyDescent="0.25"/>
    <row r="97" s="18" customFormat="1" ht="18" customHeight="1" x14ac:dyDescent="0.25"/>
    <row r="98" s="18" customFormat="1" ht="18" customHeight="1" x14ac:dyDescent="0.25"/>
    <row r="99" s="18" customFormat="1" ht="18" customHeight="1" x14ac:dyDescent="0.25"/>
    <row r="100" s="18" customFormat="1" ht="18" customHeight="1" x14ac:dyDescent="0.25"/>
    <row r="101" s="18" customFormat="1" ht="18" customHeight="1" x14ac:dyDescent="0.25"/>
    <row r="102" s="18" customFormat="1" ht="18" customHeight="1" x14ac:dyDescent="0.25"/>
    <row r="103" s="18" customFormat="1" ht="18" customHeight="1" x14ac:dyDescent="0.25"/>
    <row r="104" s="18" customFormat="1" ht="18" customHeight="1" x14ac:dyDescent="0.25"/>
    <row r="105" s="18" customFormat="1" ht="18" customHeight="1" x14ac:dyDescent="0.25"/>
    <row r="106" s="18" customFormat="1" ht="18" customHeight="1" x14ac:dyDescent="0.25"/>
    <row r="107" s="18" customFormat="1" ht="18" customHeight="1" x14ac:dyDescent="0.25"/>
    <row r="108" s="18" customFormat="1" ht="18" customHeight="1" x14ac:dyDescent="0.25"/>
    <row r="109" s="18" customFormat="1" ht="18" customHeight="1" x14ac:dyDescent="0.25"/>
    <row r="110" s="18" customFormat="1" ht="18" customHeight="1" x14ac:dyDescent="0.25"/>
    <row r="111" s="18" customFormat="1" ht="18" customHeight="1" x14ac:dyDescent="0.25"/>
    <row r="112" s="18" customFormat="1" ht="18" customHeight="1" x14ac:dyDescent="0.25"/>
    <row r="113" s="18" customFormat="1" ht="18" customHeight="1" x14ac:dyDescent="0.25"/>
    <row r="114" s="18" customFormat="1" ht="18" customHeight="1" x14ac:dyDescent="0.25"/>
    <row r="115" s="18" customFormat="1" ht="18" customHeight="1" x14ac:dyDescent="0.25"/>
    <row r="116" s="18" customFormat="1" ht="18" customHeight="1" x14ac:dyDescent="0.25"/>
    <row r="117" s="18" customFormat="1" ht="18" customHeight="1" x14ac:dyDescent="0.25"/>
    <row r="118" s="18" customFormat="1" ht="18" customHeight="1" x14ac:dyDescent="0.25"/>
    <row r="119" s="18" customFormat="1" ht="18" customHeight="1" x14ac:dyDescent="0.25"/>
  </sheetData>
  <sheetProtection password="CCBE" sheet="1" objects="1" scenarios="1"/>
  <mergeCells count="6">
    <mergeCell ref="A1:E1"/>
    <mergeCell ref="A27:E27"/>
    <mergeCell ref="A15:E15"/>
    <mergeCell ref="G2:J8"/>
    <mergeCell ref="A49:E49"/>
    <mergeCell ref="G10:J17"/>
  </mergeCells>
  <pageMargins left="0.7" right="0.7" top="0.75" bottom="0.75" header="0.3" footer="0.3"/>
  <pageSetup scale="8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3">
    <tabColor rgb="FF00B050"/>
  </sheetPr>
  <dimension ref="B1:H375"/>
  <sheetViews>
    <sheetView workbookViewId="0">
      <pane ySplit="3" topLeftCell="A4" activePane="bottomLeft" state="frozen"/>
      <selection activeCell="A7" sqref="A7:A8"/>
      <selection pane="bottomLeft" activeCell="A4" sqref="A4"/>
    </sheetView>
  </sheetViews>
  <sheetFormatPr defaultRowHeight="12.75" x14ac:dyDescent="0.2"/>
  <cols>
    <col min="1" max="1" width="2.7109375" style="2" customWidth="1"/>
    <col min="2" max="2" width="40.7109375" style="2" customWidth="1"/>
    <col min="3" max="3" width="22.7109375" style="3" customWidth="1"/>
    <col min="4" max="4" width="20.7109375" style="4" customWidth="1"/>
    <col min="5" max="5" width="2.7109375" style="2" customWidth="1"/>
    <col min="6" max="6" width="22.7109375" style="2" customWidth="1"/>
    <col min="7" max="7" width="40.7109375" style="154" customWidth="1"/>
    <col min="8" max="8" width="20.7109375" style="2" customWidth="1"/>
    <col min="9" max="9" width="2.7109375" style="2" customWidth="1"/>
    <col min="10" max="16384" width="9.140625" style="2"/>
  </cols>
  <sheetData>
    <row r="1" spans="2:8" ht="26.25" customHeight="1" x14ac:dyDescent="0.2">
      <c r="B1" s="1491" t="s">
        <v>255</v>
      </c>
      <c r="C1" s="1491"/>
      <c r="D1" s="1491"/>
      <c r="E1" s="1491"/>
      <c r="F1" s="1491"/>
      <c r="G1" s="1491"/>
      <c r="H1" s="1491"/>
    </row>
    <row r="2" spans="2:8" ht="26.25" customHeight="1" thickBot="1" x14ac:dyDescent="0.25">
      <c r="B2" s="1490" t="s">
        <v>1663</v>
      </c>
      <c r="C2" s="1490"/>
      <c r="D2" s="1490"/>
      <c r="F2" s="1490" t="s">
        <v>1664</v>
      </c>
      <c r="G2" s="1490"/>
      <c r="H2" s="1490"/>
    </row>
    <row r="3" spans="2:8" s="5" customFormat="1" ht="16.5" thickBot="1" x14ac:dyDescent="0.3">
      <c r="B3" s="6" t="s">
        <v>70</v>
      </c>
      <c r="C3" s="7" t="s">
        <v>69</v>
      </c>
      <c r="D3" s="8" t="s">
        <v>71</v>
      </c>
      <c r="F3" s="151" t="s">
        <v>69</v>
      </c>
      <c r="G3" s="155" t="s">
        <v>70</v>
      </c>
      <c r="H3" s="8" t="s">
        <v>71</v>
      </c>
    </row>
    <row r="4" spans="2:8" ht="15" x14ac:dyDescent="0.2">
      <c r="B4" s="9" t="s">
        <v>100</v>
      </c>
      <c r="C4" s="10">
        <v>71556</v>
      </c>
      <c r="D4" s="11" t="s">
        <v>73</v>
      </c>
      <c r="F4" s="152">
        <v>171</v>
      </c>
      <c r="G4" s="156" t="s">
        <v>72</v>
      </c>
      <c r="H4" s="11" t="s">
        <v>73</v>
      </c>
    </row>
    <row r="5" spans="2:8" ht="15" x14ac:dyDescent="0.2">
      <c r="B5" s="12" t="s">
        <v>128</v>
      </c>
      <c r="C5" s="13">
        <v>79345</v>
      </c>
      <c r="D5" s="14" t="s">
        <v>75</v>
      </c>
      <c r="F5" s="153">
        <v>50000</v>
      </c>
      <c r="G5" s="157" t="s">
        <v>74</v>
      </c>
      <c r="H5" s="14" t="s">
        <v>75</v>
      </c>
    </row>
    <row r="6" spans="2:8" ht="15" x14ac:dyDescent="0.2">
      <c r="B6" s="9" t="s">
        <v>123</v>
      </c>
      <c r="C6" s="10">
        <v>79005</v>
      </c>
      <c r="D6" s="11" t="s">
        <v>75</v>
      </c>
      <c r="F6" s="152">
        <v>51285</v>
      </c>
      <c r="G6" s="156" t="s">
        <v>76</v>
      </c>
      <c r="H6" s="11" t="s">
        <v>75</v>
      </c>
    </row>
    <row r="7" spans="2:8" ht="15" x14ac:dyDescent="0.2">
      <c r="B7" s="12" t="s">
        <v>113</v>
      </c>
      <c r="C7" s="13">
        <v>75343</v>
      </c>
      <c r="D7" s="14" t="s">
        <v>75</v>
      </c>
      <c r="F7" s="153">
        <v>51796</v>
      </c>
      <c r="G7" s="157" t="s">
        <v>77</v>
      </c>
      <c r="H7" s="14" t="s">
        <v>73</v>
      </c>
    </row>
    <row r="8" spans="2:8" ht="15" x14ac:dyDescent="0.2">
      <c r="B8" s="9" t="s">
        <v>114</v>
      </c>
      <c r="C8" s="10">
        <v>75354</v>
      </c>
      <c r="D8" s="11" t="s">
        <v>75</v>
      </c>
      <c r="F8" s="152">
        <v>53963</v>
      </c>
      <c r="G8" s="156" t="s">
        <v>78</v>
      </c>
      <c r="H8" s="11" t="s">
        <v>75</v>
      </c>
    </row>
    <row r="9" spans="2:8" ht="15" x14ac:dyDescent="0.2">
      <c r="B9" s="12" t="s">
        <v>82</v>
      </c>
      <c r="C9" s="13">
        <v>57147</v>
      </c>
      <c r="D9" s="14" t="s">
        <v>75</v>
      </c>
      <c r="F9" s="153">
        <v>56235</v>
      </c>
      <c r="G9" s="157" t="s">
        <v>79</v>
      </c>
      <c r="H9" s="14" t="s">
        <v>75</v>
      </c>
    </row>
    <row r="10" spans="2:8" ht="15" x14ac:dyDescent="0.2">
      <c r="B10" s="9" t="s">
        <v>196</v>
      </c>
      <c r="C10" s="10">
        <v>120821</v>
      </c>
      <c r="D10" s="11" t="s">
        <v>75</v>
      </c>
      <c r="F10" s="152">
        <v>56382</v>
      </c>
      <c r="G10" s="156" t="s">
        <v>80</v>
      </c>
      <c r="H10" s="11" t="s">
        <v>75</v>
      </c>
    </row>
    <row r="11" spans="2:8" ht="15" x14ac:dyDescent="0.2">
      <c r="B11" s="12" t="s">
        <v>153</v>
      </c>
      <c r="C11" s="13">
        <v>96128</v>
      </c>
      <c r="D11" s="14" t="s">
        <v>75</v>
      </c>
      <c r="F11" s="153">
        <v>57125</v>
      </c>
      <c r="G11" s="157" t="s">
        <v>81</v>
      </c>
      <c r="H11" s="14" t="s">
        <v>73</v>
      </c>
    </row>
    <row r="12" spans="2:8" ht="15" x14ac:dyDescent="0.2">
      <c r="B12" s="9" t="s">
        <v>122</v>
      </c>
      <c r="C12" s="10">
        <v>78875</v>
      </c>
      <c r="D12" s="11" t="s">
        <v>75</v>
      </c>
      <c r="F12" s="152">
        <v>57147</v>
      </c>
      <c r="G12" s="156" t="s">
        <v>82</v>
      </c>
      <c r="H12" s="11" t="s">
        <v>75</v>
      </c>
    </row>
    <row r="13" spans="2:8" ht="15" x14ac:dyDescent="0.2">
      <c r="B13" s="12" t="s">
        <v>200</v>
      </c>
      <c r="C13" s="13">
        <v>122667</v>
      </c>
      <c r="D13" s="14" t="s">
        <v>75</v>
      </c>
      <c r="F13" s="153">
        <v>57578</v>
      </c>
      <c r="G13" s="157" t="s">
        <v>83</v>
      </c>
      <c r="H13" s="14" t="s">
        <v>75</v>
      </c>
    </row>
    <row r="14" spans="2:8" ht="15" x14ac:dyDescent="0.2">
      <c r="B14" s="9" t="s">
        <v>171</v>
      </c>
      <c r="C14" s="10">
        <v>106887</v>
      </c>
      <c r="D14" s="11" t="s">
        <v>75</v>
      </c>
      <c r="F14" s="152">
        <v>57749</v>
      </c>
      <c r="G14" s="156" t="s">
        <v>84</v>
      </c>
      <c r="H14" s="11" t="s">
        <v>75</v>
      </c>
    </row>
    <row r="15" spans="2:8" ht="15" x14ac:dyDescent="0.2">
      <c r="B15" s="12" t="s">
        <v>116</v>
      </c>
      <c r="C15" s="13">
        <v>75558</v>
      </c>
      <c r="D15" s="14" t="s">
        <v>75</v>
      </c>
      <c r="F15" s="153">
        <v>58899</v>
      </c>
      <c r="G15" s="157" t="s">
        <v>85</v>
      </c>
      <c r="H15" s="14" t="s">
        <v>73</v>
      </c>
    </row>
    <row r="16" spans="2:8" ht="15" x14ac:dyDescent="0.2">
      <c r="B16" s="9" t="s">
        <v>174</v>
      </c>
      <c r="C16" s="10">
        <v>106990</v>
      </c>
      <c r="D16" s="11" t="s">
        <v>75</v>
      </c>
      <c r="F16" s="152">
        <v>59892</v>
      </c>
      <c r="G16" s="156" t="s">
        <v>86</v>
      </c>
      <c r="H16" s="11" t="s">
        <v>75</v>
      </c>
    </row>
    <row r="17" spans="2:8" ht="15" x14ac:dyDescent="0.2">
      <c r="B17" s="12" t="s">
        <v>219</v>
      </c>
      <c r="C17" s="13">
        <v>542756</v>
      </c>
      <c r="D17" s="14" t="s">
        <v>75</v>
      </c>
      <c r="F17" s="153">
        <v>60117</v>
      </c>
      <c r="G17" s="157" t="s">
        <v>87</v>
      </c>
      <c r="H17" s="14" t="s">
        <v>75</v>
      </c>
    </row>
    <row r="18" spans="2:8" ht="15" x14ac:dyDescent="0.2">
      <c r="B18" s="9" t="s">
        <v>227</v>
      </c>
      <c r="C18" s="10">
        <v>1120714</v>
      </c>
      <c r="D18" s="11" t="s">
        <v>73</v>
      </c>
      <c r="F18" s="152">
        <v>60344</v>
      </c>
      <c r="G18" s="156" t="s">
        <v>88</v>
      </c>
      <c r="H18" s="11" t="s">
        <v>75</v>
      </c>
    </row>
    <row r="19" spans="2:8" ht="15" x14ac:dyDescent="0.2">
      <c r="B19" s="12" t="s">
        <v>168</v>
      </c>
      <c r="C19" s="13">
        <v>106467</v>
      </c>
      <c r="D19" s="14" t="s">
        <v>75</v>
      </c>
      <c r="F19" s="153">
        <v>60355</v>
      </c>
      <c r="G19" s="157" t="s">
        <v>89</v>
      </c>
      <c r="H19" s="14" t="s">
        <v>75</v>
      </c>
    </row>
    <row r="20" spans="2:8" ht="15" x14ac:dyDescent="0.2">
      <c r="B20" s="9" t="s">
        <v>203</v>
      </c>
      <c r="C20" s="10">
        <v>123911</v>
      </c>
      <c r="D20" s="11" t="s">
        <v>75</v>
      </c>
      <c r="F20" s="152">
        <v>62533</v>
      </c>
      <c r="G20" s="156" t="s">
        <v>90</v>
      </c>
      <c r="H20" s="11" t="s">
        <v>75</v>
      </c>
    </row>
    <row r="21" spans="2:8" ht="15" x14ac:dyDescent="0.2">
      <c r="B21" s="12" t="s">
        <v>218</v>
      </c>
      <c r="C21" s="13">
        <v>540841</v>
      </c>
      <c r="D21" s="14" t="s">
        <v>75</v>
      </c>
      <c r="F21" s="153">
        <v>62737</v>
      </c>
      <c r="G21" s="157" t="s">
        <v>91</v>
      </c>
      <c r="H21" s="14" t="s">
        <v>75</v>
      </c>
    </row>
    <row r="22" spans="2:8" ht="15" x14ac:dyDescent="0.2">
      <c r="B22" s="9" t="s">
        <v>234</v>
      </c>
      <c r="C22" s="10">
        <v>1746016</v>
      </c>
      <c r="D22" s="11" t="s">
        <v>73</v>
      </c>
      <c r="F22" s="152">
        <v>62759</v>
      </c>
      <c r="G22" s="156" t="s">
        <v>92</v>
      </c>
      <c r="H22" s="11" t="s">
        <v>75</v>
      </c>
    </row>
    <row r="23" spans="2:8" ht="15" x14ac:dyDescent="0.2">
      <c r="B23" s="12" t="s">
        <v>151</v>
      </c>
      <c r="C23" s="13">
        <v>95954</v>
      </c>
      <c r="D23" s="14" t="s">
        <v>75</v>
      </c>
      <c r="F23" s="153">
        <v>63252</v>
      </c>
      <c r="G23" s="157" t="s">
        <v>93</v>
      </c>
      <c r="H23" s="14" t="s">
        <v>73</v>
      </c>
    </row>
    <row r="24" spans="2:8" ht="15" x14ac:dyDescent="0.2">
      <c r="B24" s="9" t="s">
        <v>137</v>
      </c>
      <c r="C24" s="10">
        <v>88062</v>
      </c>
      <c r="D24" s="11" t="s">
        <v>75</v>
      </c>
      <c r="F24" s="152">
        <v>64675</v>
      </c>
      <c r="G24" s="156" t="s">
        <v>94</v>
      </c>
      <c r="H24" s="11" t="s">
        <v>75</v>
      </c>
    </row>
    <row r="25" spans="2:8" ht="15" x14ac:dyDescent="0.2">
      <c r="B25" s="12" t="s">
        <v>146</v>
      </c>
      <c r="C25" s="13">
        <v>94757</v>
      </c>
      <c r="D25" s="14" t="s">
        <v>75</v>
      </c>
      <c r="F25" s="153">
        <v>67561</v>
      </c>
      <c r="G25" s="157" t="s">
        <v>95</v>
      </c>
      <c r="H25" s="14" t="s">
        <v>75</v>
      </c>
    </row>
    <row r="26" spans="2:8" ht="15" x14ac:dyDescent="0.2">
      <c r="B26" s="9" t="s">
        <v>76</v>
      </c>
      <c r="C26" s="10">
        <v>51285</v>
      </c>
      <c r="D26" s="11" t="s">
        <v>75</v>
      </c>
      <c r="F26" s="152">
        <v>67663</v>
      </c>
      <c r="G26" s="156" t="s">
        <v>96</v>
      </c>
      <c r="H26" s="11" t="s">
        <v>75</v>
      </c>
    </row>
    <row r="27" spans="2:8" ht="15" x14ac:dyDescent="0.2">
      <c r="B27" s="12" t="s">
        <v>197</v>
      </c>
      <c r="C27" s="13">
        <v>121142</v>
      </c>
      <c r="D27" s="14" t="s">
        <v>75</v>
      </c>
      <c r="F27" s="153">
        <v>67721</v>
      </c>
      <c r="G27" s="157" t="s">
        <v>97</v>
      </c>
      <c r="H27" s="14" t="s">
        <v>73</v>
      </c>
    </row>
    <row r="28" spans="2:8" ht="15" x14ac:dyDescent="0.2">
      <c r="B28" s="9" t="s">
        <v>150</v>
      </c>
      <c r="C28" s="10">
        <v>95807</v>
      </c>
      <c r="D28" s="11" t="s">
        <v>75</v>
      </c>
      <c r="F28" s="152">
        <v>68122</v>
      </c>
      <c r="G28" s="156" t="s">
        <v>98</v>
      </c>
      <c r="H28" s="11" t="s">
        <v>75</v>
      </c>
    </row>
    <row r="29" spans="2:8" ht="15" x14ac:dyDescent="0.2">
      <c r="B29" s="12" t="s">
        <v>221</v>
      </c>
      <c r="C29" s="13">
        <v>584849</v>
      </c>
      <c r="D29" s="14" t="s">
        <v>75</v>
      </c>
      <c r="F29" s="153">
        <v>71432</v>
      </c>
      <c r="G29" s="157" t="s">
        <v>99</v>
      </c>
      <c r="H29" s="14" t="s">
        <v>75</v>
      </c>
    </row>
    <row r="30" spans="2:8" ht="15" x14ac:dyDescent="0.2">
      <c r="B30" s="9" t="s">
        <v>78</v>
      </c>
      <c r="C30" s="10">
        <v>53963</v>
      </c>
      <c r="D30" s="11" t="s">
        <v>75</v>
      </c>
      <c r="F30" s="152">
        <v>71556</v>
      </c>
      <c r="G30" s="156" t="s">
        <v>100</v>
      </c>
      <c r="H30" s="11" t="s">
        <v>73</v>
      </c>
    </row>
    <row r="31" spans="2:8" ht="15" x14ac:dyDescent="0.2">
      <c r="B31" s="12" t="s">
        <v>216</v>
      </c>
      <c r="C31" s="13">
        <v>532274</v>
      </c>
      <c r="D31" s="14" t="s">
        <v>75</v>
      </c>
      <c r="F31" s="153">
        <v>72435</v>
      </c>
      <c r="G31" s="157" t="s">
        <v>101</v>
      </c>
      <c r="H31" s="14" t="s">
        <v>75</v>
      </c>
    </row>
    <row r="32" spans="2:8" ht="15" x14ac:dyDescent="0.2">
      <c r="B32" s="9" t="s">
        <v>130</v>
      </c>
      <c r="C32" s="10">
        <v>79469</v>
      </c>
      <c r="D32" s="11" t="s">
        <v>75</v>
      </c>
      <c r="F32" s="152">
        <v>74839</v>
      </c>
      <c r="G32" s="156" t="s">
        <v>102</v>
      </c>
      <c r="H32" s="11" t="s">
        <v>75</v>
      </c>
    </row>
    <row r="33" spans="2:8" ht="15" x14ac:dyDescent="0.2">
      <c r="B33" s="12" t="s">
        <v>141</v>
      </c>
      <c r="C33" s="13">
        <v>91941</v>
      </c>
      <c r="D33" s="14" t="s">
        <v>75</v>
      </c>
      <c r="F33" s="153">
        <v>74873</v>
      </c>
      <c r="G33" s="157" t="s">
        <v>103</v>
      </c>
      <c r="H33" s="14" t="s">
        <v>75</v>
      </c>
    </row>
    <row r="34" spans="2:8" ht="15" x14ac:dyDescent="0.2">
      <c r="B34" s="9" t="s">
        <v>193</v>
      </c>
      <c r="C34" s="10">
        <v>119904</v>
      </c>
      <c r="D34" s="11" t="s">
        <v>75</v>
      </c>
      <c r="F34" s="152">
        <v>74884</v>
      </c>
      <c r="G34" s="156" t="s">
        <v>104</v>
      </c>
      <c r="H34" s="11" t="s">
        <v>75</v>
      </c>
    </row>
    <row r="35" spans="2:8" ht="15" x14ac:dyDescent="0.2">
      <c r="B35" s="12" t="s">
        <v>194</v>
      </c>
      <c r="C35" s="13">
        <v>119937</v>
      </c>
      <c r="D35" s="14" t="s">
        <v>75</v>
      </c>
      <c r="F35" s="153">
        <v>75003</v>
      </c>
      <c r="G35" s="157" t="s">
        <v>105</v>
      </c>
      <c r="H35" s="14" t="s">
        <v>75</v>
      </c>
    </row>
    <row r="36" spans="2:8" ht="15" x14ac:dyDescent="0.2">
      <c r="B36" s="9" t="s">
        <v>163</v>
      </c>
      <c r="C36" s="10">
        <v>101144</v>
      </c>
      <c r="D36" s="11" t="s">
        <v>73</v>
      </c>
      <c r="F36" s="152">
        <v>75014</v>
      </c>
      <c r="G36" s="156" t="s">
        <v>106</v>
      </c>
      <c r="H36" s="11" t="s">
        <v>75</v>
      </c>
    </row>
    <row r="37" spans="2:8" ht="15" x14ac:dyDescent="0.2">
      <c r="B37" s="12" t="s">
        <v>165</v>
      </c>
      <c r="C37" s="13">
        <v>101779</v>
      </c>
      <c r="D37" s="14" t="s">
        <v>73</v>
      </c>
      <c r="F37" s="153">
        <v>75058</v>
      </c>
      <c r="G37" s="157" t="s">
        <v>107</v>
      </c>
      <c r="H37" s="14" t="s">
        <v>75</v>
      </c>
    </row>
    <row r="38" spans="2:8" ht="15" x14ac:dyDescent="0.2">
      <c r="B38" s="9" t="s">
        <v>217</v>
      </c>
      <c r="C38" s="10">
        <v>534521</v>
      </c>
      <c r="D38" s="11" t="s">
        <v>73</v>
      </c>
      <c r="F38" s="152">
        <v>75070</v>
      </c>
      <c r="G38" s="156" t="s">
        <v>108</v>
      </c>
      <c r="H38" s="11" t="s">
        <v>75</v>
      </c>
    </row>
    <row r="39" spans="2:8" ht="15" x14ac:dyDescent="0.2">
      <c r="B39" s="12" t="s">
        <v>143</v>
      </c>
      <c r="C39" s="13">
        <v>92671</v>
      </c>
      <c r="D39" s="14" t="s">
        <v>75</v>
      </c>
      <c r="F39" s="153">
        <v>75092</v>
      </c>
      <c r="G39" s="157" t="s">
        <v>109</v>
      </c>
      <c r="H39" s="14" t="s">
        <v>73</v>
      </c>
    </row>
    <row r="40" spans="2:8" ht="15" x14ac:dyDescent="0.2">
      <c r="B40" s="9" t="s">
        <v>145</v>
      </c>
      <c r="C40" s="10">
        <v>92933</v>
      </c>
      <c r="D40" s="11" t="s">
        <v>75</v>
      </c>
      <c r="F40" s="152">
        <v>75150</v>
      </c>
      <c r="G40" s="156" t="s">
        <v>110</v>
      </c>
      <c r="H40" s="11" t="s">
        <v>75</v>
      </c>
    </row>
    <row r="41" spans="2:8" ht="15" x14ac:dyDescent="0.2">
      <c r="B41" s="12" t="s">
        <v>159</v>
      </c>
      <c r="C41" s="13">
        <v>100027</v>
      </c>
      <c r="D41" s="14" t="s">
        <v>75</v>
      </c>
      <c r="F41" s="153">
        <v>75218</v>
      </c>
      <c r="G41" s="157" t="s">
        <v>111</v>
      </c>
      <c r="H41" s="14" t="s">
        <v>75</v>
      </c>
    </row>
    <row r="42" spans="2:8" ht="15" x14ac:dyDescent="0.2">
      <c r="B42" s="9" t="s">
        <v>108</v>
      </c>
      <c r="C42" s="10">
        <v>75070</v>
      </c>
      <c r="D42" s="11" t="s">
        <v>75</v>
      </c>
      <c r="F42" s="152">
        <v>75252</v>
      </c>
      <c r="G42" s="156" t="s">
        <v>112</v>
      </c>
      <c r="H42" s="11" t="s">
        <v>75</v>
      </c>
    </row>
    <row r="43" spans="2:8" ht="15" x14ac:dyDescent="0.2">
      <c r="B43" s="12" t="s">
        <v>89</v>
      </c>
      <c r="C43" s="13">
        <v>60355</v>
      </c>
      <c r="D43" s="14" t="s">
        <v>75</v>
      </c>
      <c r="F43" s="153">
        <v>75343</v>
      </c>
      <c r="G43" s="157" t="s">
        <v>113</v>
      </c>
      <c r="H43" s="14" t="s">
        <v>75</v>
      </c>
    </row>
    <row r="44" spans="2:8" ht="15" x14ac:dyDescent="0.2">
      <c r="B44" s="9" t="s">
        <v>107</v>
      </c>
      <c r="C44" s="10">
        <v>75058</v>
      </c>
      <c r="D44" s="11" t="s">
        <v>75</v>
      </c>
      <c r="F44" s="152">
        <v>75354</v>
      </c>
      <c r="G44" s="156" t="s">
        <v>114</v>
      </c>
      <c r="H44" s="11" t="s">
        <v>75</v>
      </c>
    </row>
    <row r="45" spans="2:8" ht="15" x14ac:dyDescent="0.2">
      <c r="B45" s="12" t="s">
        <v>157</v>
      </c>
      <c r="C45" s="13">
        <v>98862</v>
      </c>
      <c r="D45" s="14" t="s">
        <v>75</v>
      </c>
      <c r="F45" s="153">
        <v>75445</v>
      </c>
      <c r="G45" s="157" t="s">
        <v>115</v>
      </c>
      <c r="H45" s="14" t="s">
        <v>75</v>
      </c>
    </row>
    <row r="46" spans="2:8" ht="15" x14ac:dyDescent="0.2">
      <c r="B46" s="9" t="s">
        <v>175</v>
      </c>
      <c r="C46" s="10">
        <v>107028</v>
      </c>
      <c r="D46" s="11" t="s">
        <v>75</v>
      </c>
      <c r="F46" s="152">
        <v>75558</v>
      </c>
      <c r="G46" s="156" t="s">
        <v>116</v>
      </c>
      <c r="H46" s="11" t="s">
        <v>75</v>
      </c>
    </row>
    <row r="47" spans="2:8" ht="15" x14ac:dyDescent="0.2">
      <c r="B47" s="12" t="s">
        <v>125</v>
      </c>
      <c r="C47" s="13">
        <v>79061</v>
      </c>
      <c r="D47" s="14" t="s">
        <v>75</v>
      </c>
      <c r="F47" s="153">
        <v>75569</v>
      </c>
      <c r="G47" s="157" t="s">
        <v>117</v>
      </c>
      <c r="H47" s="14" t="s">
        <v>75</v>
      </c>
    </row>
    <row r="48" spans="2:8" ht="15" x14ac:dyDescent="0.2">
      <c r="B48" s="9" t="s">
        <v>126</v>
      </c>
      <c r="C48" s="10">
        <v>79107</v>
      </c>
      <c r="D48" s="11" t="s">
        <v>75</v>
      </c>
      <c r="F48" s="152">
        <v>76448</v>
      </c>
      <c r="G48" s="156" t="s">
        <v>118</v>
      </c>
      <c r="H48" s="11" t="s">
        <v>75</v>
      </c>
    </row>
    <row r="49" spans="2:8" ht="15" x14ac:dyDescent="0.2">
      <c r="B49" s="12" t="s">
        <v>178</v>
      </c>
      <c r="C49" s="13">
        <v>107131</v>
      </c>
      <c r="D49" s="14" t="s">
        <v>75</v>
      </c>
      <c r="F49" s="153">
        <v>77474</v>
      </c>
      <c r="G49" s="157" t="s">
        <v>119</v>
      </c>
      <c r="H49" s="14" t="s">
        <v>75</v>
      </c>
    </row>
    <row r="50" spans="2:8" ht="15" x14ac:dyDescent="0.2">
      <c r="B50" s="9" t="s">
        <v>176</v>
      </c>
      <c r="C50" s="10">
        <v>107051</v>
      </c>
      <c r="D50" s="11" t="s">
        <v>75</v>
      </c>
      <c r="F50" s="152">
        <v>77781</v>
      </c>
      <c r="G50" s="156" t="s">
        <v>120</v>
      </c>
      <c r="H50" s="11" t="s">
        <v>75</v>
      </c>
    </row>
    <row r="51" spans="2:8" ht="15" x14ac:dyDescent="0.2">
      <c r="B51" s="12" t="s">
        <v>90</v>
      </c>
      <c r="C51" s="13">
        <v>62533</v>
      </c>
      <c r="D51" s="14" t="s">
        <v>75</v>
      </c>
      <c r="F51" s="153">
        <v>78591</v>
      </c>
      <c r="G51" s="157" t="s">
        <v>121</v>
      </c>
      <c r="H51" s="14" t="s">
        <v>75</v>
      </c>
    </row>
    <row r="52" spans="2:8" ht="15" x14ac:dyDescent="0.2">
      <c r="B52" s="9" t="s">
        <v>240</v>
      </c>
      <c r="C52" s="10">
        <v>7440360</v>
      </c>
      <c r="D52" s="11" t="s">
        <v>73</v>
      </c>
      <c r="F52" s="152">
        <v>78875</v>
      </c>
      <c r="G52" s="156" t="s">
        <v>122</v>
      </c>
      <c r="H52" s="11" t="s">
        <v>75</v>
      </c>
    </row>
    <row r="53" spans="2:8" ht="15" x14ac:dyDescent="0.2">
      <c r="B53" s="12" t="s">
        <v>241</v>
      </c>
      <c r="C53" s="13">
        <v>7440382</v>
      </c>
      <c r="D53" s="14" t="s">
        <v>73</v>
      </c>
      <c r="F53" s="153">
        <v>79005</v>
      </c>
      <c r="G53" s="157" t="s">
        <v>123</v>
      </c>
      <c r="H53" s="14" t="s">
        <v>75</v>
      </c>
    </row>
    <row r="54" spans="2:8" ht="15" x14ac:dyDescent="0.2">
      <c r="B54" s="9" t="s">
        <v>230</v>
      </c>
      <c r="C54" s="10">
        <v>1332214</v>
      </c>
      <c r="D54" s="11" t="s">
        <v>73</v>
      </c>
      <c r="F54" s="152">
        <v>79016</v>
      </c>
      <c r="G54" s="156" t="s">
        <v>124</v>
      </c>
      <c r="H54" s="11" t="s">
        <v>75</v>
      </c>
    </row>
    <row r="55" spans="2:8" ht="15" x14ac:dyDescent="0.2">
      <c r="B55" s="12" t="s">
        <v>99</v>
      </c>
      <c r="C55" s="13">
        <v>71432</v>
      </c>
      <c r="D55" s="14" t="s">
        <v>75</v>
      </c>
      <c r="F55" s="153">
        <v>79061</v>
      </c>
      <c r="G55" s="157" t="s">
        <v>125</v>
      </c>
      <c r="H55" s="14" t="s">
        <v>75</v>
      </c>
    </row>
    <row r="56" spans="2:8" ht="15" x14ac:dyDescent="0.2">
      <c r="B56" s="9" t="s">
        <v>144</v>
      </c>
      <c r="C56" s="10">
        <v>92875</v>
      </c>
      <c r="D56" s="11" t="s">
        <v>75</v>
      </c>
      <c r="F56" s="152">
        <v>79107</v>
      </c>
      <c r="G56" s="156" t="s">
        <v>126</v>
      </c>
      <c r="H56" s="11" t="s">
        <v>75</v>
      </c>
    </row>
    <row r="57" spans="2:8" ht="15" x14ac:dyDescent="0.2">
      <c r="B57" s="12" t="s">
        <v>155</v>
      </c>
      <c r="C57" s="13">
        <v>98077</v>
      </c>
      <c r="D57" s="14" t="s">
        <v>75</v>
      </c>
      <c r="F57" s="153">
        <v>79118</v>
      </c>
      <c r="G57" s="157" t="s">
        <v>127</v>
      </c>
      <c r="H57" s="14" t="s">
        <v>75</v>
      </c>
    </row>
    <row r="58" spans="2:8" ht="15" x14ac:dyDescent="0.2">
      <c r="B58" s="9" t="s">
        <v>162</v>
      </c>
      <c r="C58" s="10">
        <v>100447</v>
      </c>
      <c r="D58" s="11" t="s">
        <v>75</v>
      </c>
      <c r="F58" s="152">
        <v>79345</v>
      </c>
      <c r="G58" s="156" t="s">
        <v>128</v>
      </c>
      <c r="H58" s="11" t="s">
        <v>75</v>
      </c>
    </row>
    <row r="59" spans="2:8" ht="15" x14ac:dyDescent="0.2">
      <c r="B59" s="12" t="s">
        <v>242</v>
      </c>
      <c r="C59" s="13">
        <v>7440417</v>
      </c>
      <c r="D59" s="14" t="s">
        <v>73</v>
      </c>
      <c r="F59" s="153">
        <v>79447</v>
      </c>
      <c r="G59" s="157" t="s">
        <v>129</v>
      </c>
      <c r="H59" s="14" t="s">
        <v>75</v>
      </c>
    </row>
    <row r="60" spans="2:8" ht="15" x14ac:dyDescent="0.2">
      <c r="B60" s="9" t="s">
        <v>83</v>
      </c>
      <c r="C60" s="10">
        <v>57578</v>
      </c>
      <c r="D60" s="11" t="s">
        <v>75</v>
      </c>
      <c r="F60" s="152">
        <v>79469</v>
      </c>
      <c r="G60" s="156" t="s">
        <v>130</v>
      </c>
      <c r="H60" s="11" t="s">
        <v>75</v>
      </c>
    </row>
    <row r="61" spans="2:8" ht="15" x14ac:dyDescent="0.2">
      <c r="B61" s="12" t="s">
        <v>142</v>
      </c>
      <c r="C61" s="13">
        <v>92524</v>
      </c>
      <c r="D61" s="14" t="s">
        <v>75</v>
      </c>
      <c r="F61" s="153">
        <v>80626</v>
      </c>
      <c r="G61" s="157" t="s">
        <v>131</v>
      </c>
      <c r="H61" s="14" t="s">
        <v>75</v>
      </c>
    </row>
    <row r="62" spans="2:8" ht="15" x14ac:dyDescent="0.2">
      <c r="B62" s="9" t="s">
        <v>220</v>
      </c>
      <c r="C62" s="10">
        <v>542881</v>
      </c>
      <c r="D62" s="11" t="s">
        <v>75</v>
      </c>
      <c r="F62" s="152">
        <v>82688</v>
      </c>
      <c r="G62" s="156" t="s">
        <v>132</v>
      </c>
      <c r="H62" s="11" t="s">
        <v>75</v>
      </c>
    </row>
    <row r="63" spans="2:8" ht="15" x14ac:dyDescent="0.2">
      <c r="B63" s="12" t="s">
        <v>112</v>
      </c>
      <c r="C63" s="13">
        <v>75252</v>
      </c>
      <c r="D63" s="14" t="s">
        <v>75</v>
      </c>
      <c r="F63" s="153">
        <v>84742</v>
      </c>
      <c r="G63" s="157" t="s">
        <v>133</v>
      </c>
      <c r="H63" s="14" t="s">
        <v>75</v>
      </c>
    </row>
    <row r="64" spans="2:8" ht="15" x14ac:dyDescent="0.2">
      <c r="B64" s="9" t="s">
        <v>243</v>
      </c>
      <c r="C64" s="10">
        <v>7440439</v>
      </c>
      <c r="D64" s="11" t="s">
        <v>73</v>
      </c>
      <c r="F64" s="152">
        <v>85449</v>
      </c>
      <c r="G64" s="156" t="s">
        <v>134</v>
      </c>
      <c r="H64" s="11" t="s">
        <v>73</v>
      </c>
    </row>
    <row r="65" spans="2:8" ht="15" x14ac:dyDescent="0.2">
      <c r="B65" s="12" t="s">
        <v>211</v>
      </c>
      <c r="C65" s="13">
        <v>156627</v>
      </c>
      <c r="D65" s="14" t="s">
        <v>73</v>
      </c>
      <c r="F65" s="153">
        <v>87683</v>
      </c>
      <c r="G65" s="157" t="s">
        <v>135</v>
      </c>
      <c r="H65" s="14" t="s">
        <v>75</v>
      </c>
    </row>
    <row r="66" spans="2:8" ht="15" x14ac:dyDescent="0.2">
      <c r="B66" s="9" t="s">
        <v>207</v>
      </c>
      <c r="C66" s="10">
        <v>133062</v>
      </c>
      <c r="D66" s="11" t="s">
        <v>73</v>
      </c>
      <c r="F66" s="152">
        <v>87865</v>
      </c>
      <c r="G66" s="156" t="s">
        <v>136</v>
      </c>
      <c r="H66" s="11" t="s">
        <v>75</v>
      </c>
    </row>
    <row r="67" spans="2:8" ht="15" x14ac:dyDescent="0.2">
      <c r="B67" s="12" t="s">
        <v>93</v>
      </c>
      <c r="C67" s="13">
        <v>63252</v>
      </c>
      <c r="D67" s="14" t="s">
        <v>73</v>
      </c>
      <c r="F67" s="153">
        <v>88062</v>
      </c>
      <c r="G67" s="157" t="s">
        <v>137</v>
      </c>
      <c r="H67" s="14" t="s">
        <v>75</v>
      </c>
    </row>
    <row r="68" spans="2:8" ht="15" x14ac:dyDescent="0.2">
      <c r="B68" s="9" t="s">
        <v>110</v>
      </c>
      <c r="C68" s="10">
        <v>75150</v>
      </c>
      <c r="D68" s="11" t="s">
        <v>75</v>
      </c>
      <c r="F68" s="152">
        <v>90040</v>
      </c>
      <c r="G68" s="156" t="s">
        <v>138</v>
      </c>
      <c r="H68" s="11" t="s">
        <v>75</v>
      </c>
    </row>
    <row r="69" spans="2:8" ht="15" x14ac:dyDescent="0.2">
      <c r="B69" s="12" t="s">
        <v>79</v>
      </c>
      <c r="C69" s="13">
        <v>56235</v>
      </c>
      <c r="D69" s="14" t="s">
        <v>75</v>
      </c>
      <c r="F69" s="153">
        <v>91203</v>
      </c>
      <c r="G69" s="157" t="s">
        <v>139</v>
      </c>
      <c r="H69" s="14" t="s">
        <v>75</v>
      </c>
    </row>
    <row r="70" spans="2:8" ht="15" x14ac:dyDescent="0.2">
      <c r="B70" s="9" t="s">
        <v>214</v>
      </c>
      <c r="C70" s="10">
        <v>463581</v>
      </c>
      <c r="D70" s="11" t="s">
        <v>75</v>
      </c>
      <c r="F70" s="152">
        <v>91225</v>
      </c>
      <c r="G70" s="156" t="s">
        <v>140</v>
      </c>
      <c r="H70" s="11" t="s">
        <v>75</v>
      </c>
    </row>
    <row r="71" spans="2:8" ht="15" x14ac:dyDescent="0.2">
      <c r="B71" s="12" t="s">
        <v>195</v>
      </c>
      <c r="C71" s="13">
        <v>120809</v>
      </c>
      <c r="D71" s="14" t="s">
        <v>75</v>
      </c>
      <c r="F71" s="153">
        <v>91941</v>
      </c>
      <c r="G71" s="157" t="s">
        <v>141</v>
      </c>
      <c r="H71" s="14" t="s">
        <v>75</v>
      </c>
    </row>
    <row r="72" spans="2:8" ht="15" x14ac:dyDescent="0.2">
      <c r="B72" s="9" t="s">
        <v>208</v>
      </c>
      <c r="C72" s="10">
        <v>133904</v>
      </c>
      <c r="D72" s="11" t="s">
        <v>73</v>
      </c>
      <c r="F72" s="152">
        <v>92524</v>
      </c>
      <c r="G72" s="156" t="s">
        <v>142</v>
      </c>
      <c r="H72" s="11" t="s">
        <v>75</v>
      </c>
    </row>
    <row r="73" spans="2:8" ht="15" x14ac:dyDescent="0.2">
      <c r="B73" s="12" t="s">
        <v>84</v>
      </c>
      <c r="C73" s="13">
        <v>57749</v>
      </c>
      <c r="D73" s="14" t="s">
        <v>75</v>
      </c>
      <c r="F73" s="153">
        <v>92671</v>
      </c>
      <c r="G73" s="157" t="s">
        <v>143</v>
      </c>
      <c r="H73" s="14" t="s">
        <v>75</v>
      </c>
    </row>
    <row r="74" spans="2:8" ht="15" x14ac:dyDescent="0.2">
      <c r="B74" s="9" t="s">
        <v>251</v>
      </c>
      <c r="C74" s="10">
        <v>7782505</v>
      </c>
      <c r="D74" s="11" t="s">
        <v>73</v>
      </c>
      <c r="F74" s="152">
        <v>92875</v>
      </c>
      <c r="G74" s="156" t="s">
        <v>144</v>
      </c>
      <c r="H74" s="11" t="s">
        <v>75</v>
      </c>
    </row>
    <row r="75" spans="2:8" ht="15" x14ac:dyDescent="0.2">
      <c r="B75" s="12" t="s">
        <v>127</v>
      </c>
      <c r="C75" s="13">
        <v>79118</v>
      </c>
      <c r="D75" s="14" t="s">
        <v>75</v>
      </c>
      <c r="F75" s="153">
        <v>92933</v>
      </c>
      <c r="G75" s="157" t="s">
        <v>145</v>
      </c>
      <c r="H75" s="14" t="s">
        <v>75</v>
      </c>
    </row>
    <row r="76" spans="2:8" ht="15" x14ac:dyDescent="0.2">
      <c r="B76" s="9" t="s">
        <v>186</v>
      </c>
      <c r="C76" s="10">
        <v>108907</v>
      </c>
      <c r="D76" s="11" t="s">
        <v>75</v>
      </c>
      <c r="F76" s="152">
        <v>94757</v>
      </c>
      <c r="G76" s="156" t="s">
        <v>146</v>
      </c>
      <c r="H76" s="11" t="s">
        <v>75</v>
      </c>
    </row>
    <row r="77" spans="2:8" ht="15" x14ac:dyDescent="0.2">
      <c r="B77" s="12" t="s">
        <v>215</v>
      </c>
      <c r="C77" s="13">
        <v>510156</v>
      </c>
      <c r="D77" s="14" t="s">
        <v>75</v>
      </c>
      <c r="F77" s="153">
        <v>95476</v>
      </c>
      <c r="G77" s="157" t="s">
        <v>147</v>
      </c>
      <c r="H77" s="14" t="s">
        <v>75</v>
      </c>
    </row>
    <row r="78" spans="2:8" ht="15" x14ac:dyDescent="0.2">
      <c r="B78" s="9" t="s">
        <v>96</v>
      </c>
      <c r="C78" s="10">
        <v>67663</v>
      </c>
      <c r="D78" s="11" t="s">
        <v>75</v>
      </c>
      <c r="F78" s="152">
        <v>95487</v>
      </c>
      <c r="G78" s="156" t="s">
        <v>148</v>
      </c>
      <c r="H78" s="11" t="s">
        <v>75</v>
      </c>
    </row>
    <row r="79" spans="2:8" ht="15" x14ac:dyDescent="0.2">
      <c r="B79" s="12" t="s">
        <v>103</v>
      </c>
      <c r="C79" s="13">
        <v>74873</v>
      </c>
      <c r="D79" s="14" t="s">
        <v>75</v>
      </c>
      <c r="F79" s="153">
        <v>95534</v>
      </c>
      <c r="G79" s="157" t="s">
        <v>149</v>
      </c>
      <c r="H79" s="14" t="s">
        <v>75</v>
      </c>
    </row>
    <row r="80" spans="2:8" ht="15" x14ac:dyDescent="0.2">
      <c r="B80" s="9" t="s">
        <v>180</v>
      </c>
      <c r="C80" s="10">
        <v>107302</v>
      </c>
      <c r="D80" s="11" t="s">
        <v>75</v>
      </c>
      <c r="F80" s="152">
        <v>95807</v>
      </c>
      <c r="G80" s="156" t="s">
        <v>150</v>
      </c>
      <c r="H80" s="11" t="s">
        <v>75</v>
      </c>
    </row>
    <row r="81" spans="2:8" ht="15" x14ac:dyDescent="0.2">
      <c r="B81" s="12" t="s">
        <v>204</v>
      </c>
      <c r="C81" s="13">
        <v>126998</v>
      </c>
      <c r="D81" s="14" t="s">
        <v>75</v>
      </c>
      <c r="F81" s="153">
        <v>95954</v>
      </c>
      <c r="G81" s="157" t="s">
        <v>151</v>
      </c>
      <c r="H81" s="14" t="s">
        <v>75</v>
      </c>
    </row>
    <row r="82" spans="2:8" ht="15" x14ac:dyDescent="0.2">
      <c r="B82" s="9" t="s">
        <v>244</v>
      </c>
      <c r="C82" s="10">
        <v>7440473</v>
      </c>
      <c r="D82" s="11" t="s">
        <v>73</v>
      </c>
      <c r="F82" s="152">
        <v>96093</v>
      </c>
      <c r="G82" s="156" t="s">
        <v>152</v>
      </c>
      <c r="H82" s="11" t="s">
        <v>75</v>
      </c>
    </row>
    <row r="83" spans="2:8" ht="15" x14ac:dyDescent="0.2">
      <c r="B83" s="12" t="s">
        <v>245</v>
      </c>
      <c r="C83" s="13">
        <v>7440484</v>
      </c>
      <c r="D83" s="14" t="s">
        <v>73</v>
      </c>
      <c r="F83" s="153">
        <v>96128</v>
      </c>
      <c r="G83" s="157" t="s">
        <v>153</v>
      </c>
      <c r="H83" s="14" t="s">
        <v>75</v>
      </c>
    </row>
    <row r="84" spans="2:8" ht="15" x14ac:dyDescent="0.2">
      <c r="B84" s="9" t="s">
        <v>228</v>
      </c>
      <c r="C84" s="10">
        <v>1319773</v>
      </c>
      <c r="D84" s="11" t="s">
        <v>75</v>
      </c>
      <c r="F84" s="152">
        <v>96457</v>
      </c>
      <c r="G84" s="156" t="s">
        <v>154</v>
      </c>
      <c r="H84" s="11" t="s">
        <v>73</v>
      </c>
    </row>
    <row r="85" spans="2:8" ht="15" x14ac:dyDescent="0.2">
      <c r="B85" s="12" t="s">
        <v>156</v>
      </c>
      <c r="C85" s="13">
        <v>98828</v>
      </c>
      <c r="D85" s="14" t="s">
        <v>75</v>
      </c>
      <c r="F85" s="153">
        <v>98077</v>
      </c>
      <c r="G85" s="157" t="s">
        <v>155</v>
      </c>
      <c r="H85" s="14" t="s">
        <v>75</v>
      </c>
    </row>
    <row r="86" spans="2:8" ht="15" x14ac:dyDescent="0.2">
      <c r="B86" s="9" t="s">
        <v>81</v>
      </c>
      <c r="C86" s="10">
        <v>57125</v>
      </c>
      <c r="D86" s="11" t="s">
        <v>73</v>
      </c>
      <c r="F86" s="152">
        <v>98828</v>
      </c>
      <c r="G86" s="156" t="s">
        <v>156</v>
      </c>
      <c r="H86" s="11" t="s">
        <v>75</v>
      </c>
    </row>
    <row r="87" spans="2:8" ht="15" x14ac:dyDescent="0.2">
      <c r="B87" s="12" t="s">
        <v>235</v>
      </c>
      <c r="C87" s="13">
        <v>3547044</v>
      </c>
      <c r="D87" s="14" t="s">
        <v>75</v>
      </c>
      <c r="F87" s="153">
        <v>98862</v>
      </c>
      <c r="G87" s="157" t="s">
        <v>157</v>
      </c>
      <c r="H87" s="14" t="s">
        <v>75</v>
      </c>
    </row>
    <row r="88" spans="2:8" ht="15" x14ac:dyDescent="0.2">
      <c r="B88" s="9" t="s">
        <v>213</v>
      </c>
      <c r="C88" s="10">
        <v>334883</v>
      </c>
      <c r="D88" s="11" t="s">
        <v>75</v>
      </c>
      <c r="F88" s="152">
        <v>98953</v>
      </c>
      <c r="G88" s="156" t="s">
        <v>158</v>
      </c>
      <c r="H88" s="11" t="s">
        <v>75</v>
      </c>
    </row>
    <row r="89" spans="2:8" ht="15" x14ac:dyDescent="0.2">
      <c r="B89" s="12" t="s">
        <v>206</v>
      </c>
      <c r="C89" s="13">
        <v>132649</v>
      </c>
      <c r="D89" s="14" t="s">
        <v>73</v>
      </c>
      <c r="F89" s="153">
        <v>100027</v>
      </c>
      <c r="G89" s="157" t="s">
        <v>159</v>
      </c>
      <c r="H89" s="14" t="s">
        <v>75</v>
      </c>
    </row>
    <row r="90" spans="2:8" ht="15" x14ac:dyDescent="0.2">
      <c r="B90" s="9" t="s">
        <v>133</v>
      </c>
      <c r="C90" s="10">
        <v>84742</v>
      </c>
      <c r="D90" s="11" t="s">
        <v>75</v>
      </c>
      <c r="F90" s="152">
        <v>100414</v>
      </c>
      <c r="G90" s="156" t="s">
        <v>160</v>
      </c>
      <c r="H90" s="11" t="s">
        <v>75</v>
      </c>
    </row>
    <row r="91" spans="2:8" ht="15" x14ac:dyDescent="0.2">
      <c r="B91" s="12" t="s">
        <v>189</v>
      </c>
      <c r="C91" s="13">
        <v>111444</v>
      </c>
      <c r="D91" s="14" t="s">
        <v>75</v>
      </c>
      <c r="F91" s="153">
        <v>100425</v>
      </c>
      <c r="G91" s="157" t="s">
        <v>161</v>
      </c>
      <c r="H91" s="14" t="s">
        <v>75</v>
      </c>
    </row>
    <row r="92" spans="2:8" ht="15" x14ac:dyDescent="0.2">
      <c r="B92" s="9" t="s">
        <v>91</v>
      </c>
      <c r="C92" s="10">
        <v>62737</v>
      </c>
      <c r="D92" s="11" t="s">
        <v>75</v>
      </c>
      <c r="F92" s="152">
        <v>100447</v>
      </c>
      <c r="G92" s="156" t="s">
        <v>162</v>
      </c>
      <c r="H92" s="11" t="s">
        <v>75</v>
      </c>
    </row>
    <row r="93" spans="2:8" ht="15" x14ac:dyDescent="0.2">
      <c r="B93" s="12" t="s">
        <v>27</v>
      </c>
      <c r="C93" s="13">
        <v>111422</v>
      </c>
      <c r="D93" s="14" t="s">
        <v>75</v>
      </c>
      <c r="F93" s="153">
        <v>101144</v>
      </c>
      <c r="G93" s="157" t="s">
        <v>163</v>
      </c>
      <c r="H93" s="14" t="s">
        <v>73</v>
      </c>
    </row>
    <row r="94" spans="2:8" ht="15" x14ac:dyDescent="0.2">
      <c r="B94" s="9" t="s">
        <v>94</v>
      </c>
      <c r="C94" s="10">
        <v>64675</v>
      </c>
      <c r="D94" s="11" t="s">
        <v>75</v>
      </c>
      <c r="F94" s="152">
        <v>101688</v>
      </c>
      <c r="G94" s="156" t="s">
        <v>164</v>
      </c>
      <c r="H94" s="11" t="s">
        <v>73</v>
      </c>
    </row>
    <row r="95" spans="2:8" ht="15" x14ac:dyDescent="0.2">
      <c r="B95" s="12" t="s">
        <v>191</v>
      </c>
      <c r="C95" s="13">
        <v>117817</v>
      </c>
      <c r="D95" s="14" t="s">
        <v>75</v>
      </c>
      <c r="F95" s="153">
        <v>101779</v>
      </c>
      <c r="G95" s="157" t="s">
        <v>165</v>
      </c>
      <c r="H95" s="14" t="s">
        <v>73</v>
      </c>
    </row>
    <row r="96" spans="2:8" ht="15" x14ac:dyDescent="0.2">
      <c r="B96" s="9" t="s">
        <v>87</v>
      </c>
      <c r="C96" s="10">
        <v>60117</v>
      </c>
      <c r="D96" s="11" t="s">
        <v>75</v>
      </c>
      <c r="F96" s="152">
        <v>106423</v>
      </c>
      <c r="G96" s="156" t="s">
        <v>166</v>
      </c>
      <c r="H96" s="11" t="s">
        <v>75</v>
      </c>
    </row>
    <row r="97" spans="2:8" ht="15" x14ac:dyDescent="0.2">
      <c r="B97" s="12" t="s">
        <v>129</v>
      </c>
      <c r="C97" s="13">
        <v>79447</v>
      </c>
      <c r="D97" s="14" t="s">
        <v>75</v>
      </c>
      <c r="F97" s="153">
        <v>106445</v>
      </c>
      <c r="G97" s="157" t="s">
        <v>167</v>
      </c>
      <c r="H97" s="14" t="s">
        <v>75</v>
      </c>
    </row>
    <row r="98" spans="2:8" ht="15" x14ac:dyDescent="0.2">
      <c r="B98" s="9" t="s">
        <v>98</v>
      </c>
      <c r="C98" s="10">
        <v>68122</v>
      </c>
      <c r="D98" s="11" t="s">
        <v>75</v>
      </c>
      <c r="F98" s="152">
        <v>106467</v>
      </c>
      <c r="G98" s="156" t="s">
        <v>168</v>
      </c>
      <c r="H98" s="11" t="s">
        <v>75</v>
      </c>
    </row>
    <row r="99" spans="2:8" ht="15" x14ac:dyDescent="0.2">
      <c r="B99" s="12" t="s">
        <v>205</v>
      </c>
      <c r="C99" s="13">
        <v>131113</v>
      </c>
      <c r="D99" s="14" t="s">
        <v>75</v>
      </c>
      <c r="F99" s="153">
        <v>106503</v>
      </c>
      <c r="G99" s="157" t="s">
        <v>169</v>
      </c>
      <c r="H99" s="14" t="s">
        <v>75</v>
      </c>
    </row>
    <row r="100" spans="2:8" ht="15" x14ac:dyDescent="0.2">
      <c r="B100" s="9" t="s">
        <v>120</v>
      </c>
      <c r="C100" s="10">
        <v>77781</v>
      </c>
      <c r="D100" s="11" t="s">
        <v>75</v>
      </c>
      <c r="F100" s="152">
        <v>106514</v>
      </c>
      <c r="G100" s="156" t="s">
        <v>170</v>
      </c>
      <c r="H100" s="11" t="s">
        <v>75</v>
      </c>
    </row>
    <row r="101" spans="2:8" ht="15" x14ac:dyDescent="0.2">
      <c r="B101" s="12" t="s">
        <v>172</v>
      </c>
      <c r="C101" s="13">
        <v>106898</v>
      </c>
      <c r="D101" s="14" t="s">
        <v>75</v>
      </c>
      <c r="F101" s="153">
        <v>106887</v>
      </c>
      <c r="G101" s="157" t="s">
        <v>171</v>
      </c>
      <c r="H101" s="14" t="s">
        <v>75</v>
      </c>
    </row>
    <row r="102" spans="2:8" ht="15" x14ac:dyDescent="0.2">
      <c r="B102" s="9" t="s">
        <v>209</v>
      </c>
      <c r="C102" s="10">
        <v>140885</v>
      </c>
      <c r="D102" s="11" t="s">
        <v>75</v>
      </c>
      <c r="F102" s="152">
        <v>106898</v>
      </c>
      <c r="G102" s="156" t="s">
        <v>172</v>
      </c>
      <c r="H102" s="11" t="s">
        <v>75</v>
      </c>
    </row>
    <row r="103" spans="2:8" ht="15" x14ac:dyDescent="0.2">
      <c r="B103" s="12" t="s">
        <v>160</v>
      </c>
      <c r="C103" s="13">
        <v>100414</v>
      </c>
      <c r="D103" s="14" t="s">
        <v>75</v>
      </c>
      <c r="F103" s="153">
        <v>106934</v>
      </c>
      <c r="G103" s="157" t="s">
        <v>173</v>
      </c>
      <c r="H103" s="14" t="s">
        <v>75</v>
      </c>
    </row>
    <row r="104" spans="2:8" ht="15" x14ac:dyDescent="0.2">
      <c r="B104" s="9" t="s">
        <v>77</v>
      </c>
      <c r="C104" s="10">
        <v>51796</v>
      </c>
      <c r="D104" s="11" t="s">
        <v>73</v>
      </c>
      <c r="F104" s="152">
        <v>106990</v>
      </c>
      <c r="G104" s="156" t="s">
        <v>174</v>
      </c>
      <c r="H104" s="11" t="s">
        <v>75</v>
      </c>
    </row>
    <row r="105" spans="2:8" ht="15" x14ac:dyDescent="0.2">
      <c r="B105" s="12" t="s">
        <v>105</v>
      </c>
      <c r="C105" s="13">
        <v>75003</v>
      </c>
      <c r="D105" s="14" t="s">
        <v>75</v>
      </c>
      <c r="F105" s="153">
        <v>107028</v>
      </c>
      <c r="G105" s="157" t="s">
        <v>175</v>
      </c>
      <c r="H105" s="14" t="s">
        <v>75</v>
      </c>
    </row>
    <row r="106" spans="2:8" ht="15" x14ac:dyDescent="0.2">
      <c r="B106" s="9" t="s">
        <v>173</v>
      </c>
      <c r="C106" s="10">
        <v>106934</v>
      </c>
      <c r="D106" s="11" t="s">
        <v>75</v>
      </c>
      <c r="F106" s="152">
        <v>107051</v>
      </c>
      <c r="G106" s="156" t="s">
        <v>176</v>
      </c>
      <c r="H106" s="11" t="s">
        <v>75</v>
      </c>
    </row>
    <row r="107" spans="2:8" ht="15" x14ac:dyDescent="0.2">
      <c r="B107" s="12" t="s">
        <v>177</v>
      </c>
      <c r="C107" s="13">
        <v>107062</v>
      </c>
      <c r="D107" s="14" t="s">
        <v>75</v>
      </c>
      <c r="F107" s="153">
        <v>107062</v>
      </c>
      <c r="G107" s="157" t="s">
        <v>177</v>
      </c>
      <c r="H107" s="14" t="s">
        <v>75</v>
      </c>
    </row>
    <row r="108" spans="2:8" ht="15" x14ac:dyDescent="0.2">
      <c r="B108" s="9" t="s">
        <v>179</v>
      </c>
      <c r="C108" s="10">
        <v>107211</v>
      </c>
      <c r="D108" s="11" t="s">
        <v>75</v>
      </c>
      <c r="F108" s="152">
        <v>107131</v>
      </c>
      <c r="G108" s="156" t="s">
        <v>178</v>
      </c>
      <c r="H108" s="11" t="s">
        <v>75</v>
      </c>
    </row>
    <row r="109" spans="2:8" ht="15" x14ac:dyDescent="0.2">
      <c r="B109" s="12" t="s">
        <v>210</v>
      </c>
      <c r="C109" s="13">
        <v>151564</v>
      </c>
      <c r="D109" s="14" t="s">
        <v>75</v>
      </c>
      <c r="F109" s="153">
        <v>107211</v>
      </c>
      <c r="G109" s="157" t="s">
        <v>179</v>
      </c>
      <c r="H109" s="14" t="s">
        <v>75</v>
      </c>
    </row>
    <row r="110" spans="2:8" ht="15" x14ac:dyDescent="0.2">
      <c r="B110" s="9" t="s">
        <v>111</v>
      </c>
      <c r="C110" s="10">
        <v>75218</v>
      </c>
      <c r="D110" s="11" t="s">
        <v>75</v>
      </c>
      <c r="F110" s="152">
        <v>107302</v>
      </c>
      <c r="G110" s="156" t="s">
        <v>180</v>
      </c>
      <c r="H110" s="11" t="s">
        <v>75</v>
      </c>
    </row>
    <row r="111" spans="2:8" ht="15" x14ac:dyDescent="0.2">
      <c r="B111" s="12" t="s">
        <v>154</v>
      </c>
      <c r="C111" s="13">
        <v>96457</v>
      </c>
      <c r="D111" s="14" t="s">
        <v>73</v>
      </c>
      <c r="F111" s="153">
        <v>108054</v>
      </c>
      <c r="G111" s="157" t="s">
        <v>181</v>
      </c>
      <c r="H111" s="14" t="s">
        <v>75</v>
      </c>
    </row>
    <row r="112" spans="2:8" ht="15" x14ac:dyDescent="0.2">
      <c r="B112" s="9" t="s">
        <v>74</v>
      </c>
      <c r="C112" s="10">
        <v>50000</v>
      </c>
      <c r="D112" s="11" t="s">
        <v>75</v>
      </c>
      <c r="F112" s="152">
        <v>108101</v>
      </c>
      <c r="G112" s="156" t="s">
        <v>182</v>
      </c>
      <c r="H112" s="11" t="s">
        <v>75</v>
      </c>
    </row>
    <row r="113" spans="2:8" ht="15" x14ac:dyDescent="0.2">
      <c r="B113" s="12" t="s">
        <v>72</v>
      </c>
      <c r="C113" s="13">
        <v>171</v>
      </c>
      <c r="D113" s="14" t="s">
        <v>73</v>
      </c>
      <c r="F113" s="153">
        <v>108316</v>
      </c>
      <c r="G113" s="157" t="s">
        <v>183</v>
      </c>
      <c r="H113" s="14" t="s">
        <v>73</v>
      </c>
    </row>
    <row r="114" spans="2:8" ht="15" x14ac:dyDescent="0.2">
      <c r="B114" s="9" t="s">
        <v>118</v>
      </c>
      <c r="C114" s="10">
        <v>76448</v>
      </c>
      <c r="D114" s="11" t="s">
        <v>75</v>
      </c>
      <c r="F114" s="152">
        <v>108383</v>
      </c>
      <c r="G114" s="156" t="s">
        <v>184</v>
      </c>
      <c r="H114" s="11" t="s">
        <v>75</v>
      </c>
    </row>
    <row r="115" spans="2:8" ht="15" x14ac:dyDescent="0.2">
      <c r="B115" s="12" t="s">
        <v>192</v>
      </c>
      <c r="C115" s="13">
        <v>118741</v>
      </c>
      <c r="D115" s="14" t="s">
        <v>73</v>
      </c>
      <c r="F115" s="153">
        <v>108394</v>
      </c>
      <c r="G115" s="157" t="s">
        <v>185</v>
      </c>
      <c r="H115" s="14" t="s">
        <v>75</v>
      </c>
    </row>
    <row r="116" spans="2:8" ht="15" x14ac:dyDescent="0.2">
      <c r="B116" s="9" t="s">
        <v>135</v>
      </c>
      <c r="C116" s="10">
        <v>87683</v>
      </c>
      <c r="D116" s="11" t="s">
        <v>75</v>
      </c>
      <c r="F116" s="152">
        <v>108883</v>
      </c>
      <c r="G116" s="156" t="s">
        <v>1</v>
      </c>
      <c r="H116" s="11" t="s">
        <v>75</v>
      </c>
    </row>
    <row r="117" spans="2:8" ht="15" x14ac:dyDescent="0.2">
      <c r="B117" s="12" t="s">
        <v>119</v>
      </c>
      <c r="C117" s="13">
        <v>77474</v>
      </c>
      <c r="D117" s="14" t="s">
        <v>75</v>
      </c>
      <c r="F117" s="153">
        <v>108907</v>
      </c>
      <c r="G117" s="157" t="s">
        <v>186</v>
      </c>
      <c r="H117" s="14" t="s">
        <v>75</v>
      </c>
    </row>
    <row r="118" spans="2:8" ht="15" x14ac:dyDescent="0.2">
      <c r="B118" s="9" t="s">
        <v>97</v>
      </c>
      <c r="C118" s="10">
        <v>67721</v>
      </c>
      <c r="D118" s="11" t="s">
        <v>73</v>
      </c>
      <c r="F118" s="152">
        <v>108952</v>
      </c>
      <c r="G118" s="156" t="s">
        <v>187</v>
      </c>
      <c r="H118" s="11" t="s">
        <v>75</v>
      </c>
    </row>
    <row r="119" spans="2:8" ht="15" x14ac:dyDescent="0.2">
      <c r="B119" s="12" t="s">
        <v>226</v>
      </c>
      <c r="C119" s="13">
        <v>822060</v>
      </c>
      <c r="D119" s="14" t="s">
        <v>73</v>
      </c>
      <c r="F119" s="153">
        <v>110543</v>
      </c>
      <c r="G119" s="157" t="s">
        <v>188</v>
      </c>
      <c r="H119" s="14" t="s">
        <v>75</v>
      </c>
    </row>
    <row r="120" spans="2:8" ht="15" x14ac:dyDescent="0.2">
      <c r="B120" s="9" t="s">
        <v>224</v>
      </c>
      <c r="C120" s="10">
        <v>680319</v>
      </c>
      <c r="D120" s="11" t="s">
        <v>73</v>
      </c>
      <c r="F120" s="152">
        <v>111422</v>
      </c>
      <c r="G120" s="156" t="s">
        <v>27</v>
      </c>
      <c r="H120" s="11" t="s">
        <v>75</v>
      </c>
    </row>
    <row r="121" spans="2:8" ht="15" x14ac:dyDescent="0.2">
      <c r="B121" s="12" t="s">
        <v>188</v>
      </c>
      <c r="C121" s="13">
        <v>110543</v>
      </c>
      <c r="D121" s="14" t="s">
        <v>75</v>
      </c>
      <c r="F121" s="153">
        <v>111444</v>
      </c>
      <c r="G121" s="157" t="s">
        <v>189</v>
      </c>
      <c r="H121" s="14" t="s">
        <v>75</v>
      </c>
    </row>
    <row r="122" spans="2:8" ht="15" x14ac:dyDescent="0.2">
      <c r="B122" s="9" t="s">
        <v>212</v>
      </c>
      <c r="C122" s="10">
        <v>302012</v>
      </c>
      <c r="D122" s="11" t="s">
        <v>73</v>
      </c>
      <c r="F122" s="152">
        <v>114261</v>
      </c>
      <c r="G122" s="156" t="s">
        <v>190</v>
      </c>
      <c r="H122" s="11" t="s">
        <v>73</v>
      </c>
    </row>
    <row r="123" spans="2:8" ht="15" x14ac:dyDescent="0.2">
      <c r="B123" s="12" t="s">
        <v>247</v>
      </c>
      <c r="C123" s="13">
        <v>7647010</v>
      </c>
      <c r="D123" s="14" t="s">
        <v>73</v>
      </c>
      <c r="F123" s="153">
        <v>117817</v>
      </c>
      <c r="G123" s="157" t="s">
        <v>191</v>
      </c>
      <c r="H123" s="14" t="s">
        <v>75</v>
      </c>
    </row>
    <row r="124" spans="2:8" ht="15" x14ac:dyDescent="0.2">
      <c r="B124" s="9" t="s">
        <v>248</v>
      </c>
      <c r="C124" s="10">
        <v>7664393</v>
      </c>
      <c r="D124" s="11" t="s">
        <v>73</v>
      </c>
      <c r="F124" s="152">
        <v>118741</v>
      </c>
      <c r="G124" s="156" t="s">
        <v>192</v>
      </c>
      <c r="H124" s="11" t="s">
        <v>73</v>
      </c>
    </row>
    <row r="125" spans="2:8" ht="15" x14ac:dyDescent="0.2">
      <c r="B125" s="12" t="s">
        <v>201</v>
      </c>
      <c r="C125" s="13">
        <v>123319</v>
      </c>
      <c r="D125" s="14" t="s">
        <v>75</v>
      </c>
      <c r="F125" s="153">
        <v>119904</v>
      </c>
      <c r="G125" s="157" t="s">
        <v>193</v>
      </c>
      <c r="H125" s="14" t="s">
        <v>75</v>
      </c>
    </row>
    <row r="126" spans="2:8" ht="15" x14ac:dyDescent="0.2">
      <c r="B126" s="9" t="s">
        <v>121</v>
      </c>
      <c r="C126" s="10">
        <v>78591</v>
      </c>
      <c r="D126" s="11" t="s">
        <v>75</v>
      </c>
      <c r="F126" s="152">
        <v>119937</v>
      </c>
      <c r="G126" s="156" t="s">
        <v>194</v>
      </c>
      <c r="H126" s="11" t="s">
        <v>75</v>
      </c>
    </row>
    <row r="127" spans="2:8" ht="15" x14ac:dyDescent="0.2">
      <c r="B127" s="12" t="s">
        <v>236</v>
      </c>
      <c r="C127" s="13">
        <v>7439921</v>
      </c>
      <c r="D127" s="14" t="s">
        <v>73</v>
      </c>
      <c r="F127" s="153">
        <v>120809</v>
      </c>
      <c r="G127" s="157" t="s">
        <v>195</v>
      </c>
      <c r="H127" s="14" t="s">
        <v>75</v>
      </c>
    </row>
    <row r="128" spans="2:8" ht="15" x14ac:dyDescent="0.2">
      <c r="B128" s="9" t="s">
        <v>85</v>
      </c>
      <c r="C128" s="10">
        <v>58899</v>
      </c>
      <c r="D128" s="11" t="s">
        <v>73</v>
      </c>
      <c r="F128" s="152">
        <v>120821</v>
      </c>
      <c r="G128" s="156" t="s">
        <v>196</v>
      </c>
      <c r="H128" s="11" t="s">
        <v>75</v>
      </c>
    </row>
    <row r="129" spans="2:8" ht="15" x14ac:dyDescent="0.2">
      <c r="B129" s="12" t="s">
        <v>183</v>
      </c>
      <c r="C129" s="13">
        <v>108316</v>
      </c>
      <c r="D129" s="14" t="s">
        <v>73</v>
      </c>
      <c r="F129" s="153">
        <v>121142</v>
      </c>
      <c r="G129" s="157" t="s">
        <v>197</v>
      </c>
      <c r="H129" s="14" t="s">
        <v>75</v>
      </c>
    </row>
    <row r="130" spans="2:8" ht="15" x14ac:dyDescent="0.2">
      <c r="B130" s="9" t="s">
        <v>237</v>
      </c>
      <c r="C130" s="10">
        <v>7439965</v>
      </c>
      <c r="D130" s="11" t="s">
        <v>73</v>
      </c>
      <c r="F130" s="152">
        <v>121448</v>
      </c>
      <c r="G130" s="156" t="s">
        <v>198</v>
      </c>
      <c r="H130" s="11" t="s">
        <v>75</v>
      </c>
    </row>
    <row r="131" spans="2:8" ht="15" x14ac:dyDescent="0.2">
      <c r="B131" s="12" t="s">
        <v>185</v>
      </c>
      <c r="C131" s="13">
        <v>108394</v>
      </c>
      <c r="D131" s="14" t="s">
        <v>75</v>
      </c>
      <c r="F131" s="153">
        <v>121697</v>
      </c>
      <c r="G131" s="157" t="s">
        <v>199</v>
      </c>
      <c r="H131" s="14" t="s">
        <v>75</v>
      </c>
    </row>
    <row r="132" spans="2:8" ht="15" x14ac:dyDescent="0.2">
      <c r="B132" s="9" t="s">
        <v>238</v>
      </c>
      <c r="C132" s="10">
        <v>7439976</v>
      </c>
      <c r="D132" s="11" t="s">
        <v>73</v>
      </c>
      <c r="F132" s="152">
        <v>122667</v>
      </c>
      <c r="G132" s="156" t="s">
        <v>200</v>
      </c>
      <c r="H132" s="11" t="s">
        <v>75</v>
      </c>
    </row>
    <row r="133" spans="2:8" ht="15" x14ac:dyDescent="0.2">
      <c r="B133" s="12" t="s">
        <v>95</v>
      </c>
      <c r="C133" s="13">
        <v>67561</v>
      </c>
      <c r="D133" s="14" t="s">
        <v>75</v>
      </c>
      <c r="F133" s="153">
        <v>123319</v>
      </c>
      <c r="G133" s="157" t="s">
        <v>201</v>
      </c>
      <c r="H133" s="14" t="s">
        <v>75</v>
      </c>
    </row>
    <row r="134" spans="2:8" ht="15" x14ac:dyDescent="0.2">
      <c r="B134" s="9" t="s">
        <v>101</v>
      </c>
      <c r="C134" s="10">
        <v>72435</v>
      </c>
      <c r="D134" s="11" t="s">
        <v>75</v>
      </c>
      <c r="F134" s="152">
        <v>123386</v>
      </c>
      <c r="G134" s="156" t="s">
        <v>202</v>
      </c>
      <c r="H134" s="11" t="s">
        <v>75</v>
      </c>
    </row>
    <row r="135" spans="2:8" ht="15" x14ac:dyDescent="0.2">
      <c r="B135" s="12" t="s">
        <v>102</v>
      </c>
      <c r="C135" s="13">
        <v>74839</v>
      </c>
      <c r="D135" s="14" t="s">
        <v>75</v>
      </c>
      <c r="F135" s="153">
        <v>123911</v>
      </c>
      <c r="G135" s="157" t="s">
        <v>203</v>
      </c>
      <c r="H135" s="14" t="s">
        <v>75</v>
      </c>
    </row>
    <row r="136" spans="2:8" ht="15" x14ac:dyDescent="0.2">
      <c r="B136" s="9" t="s">
        <v>88</v>
      </c>
      <c r="C136" s="10">
        <v>60344</v>
      </c>
      <c r="D136" s="11" t="s">
        <v>75</v>
      </c>
      <c r="F136" s="152">
        <v>126998</v>
      </c>
      <c r="G136" s="156" t="s">
        <v>204</v>
      </c>
      <c r="H136" s="11" t="s">
        <v>75</v>
      </c>
    </row>
    <row r="137" spans="2:8" ht="15" x14ac:dyDescent="0.2">
      <c r="B137" s="12" t="s">
        <v>104</v>
      </c>
      <c r="C137" s="13">
        <v>74884</v>
      </c>
      <c r="D137" s="14" t="s">
        <v>75</v>
      </c>
      <c r="F137" s="153">
        <v>127184</v>
      </c>
      <c r="G137" s="157" t="s">
        <v>2</v>
      </c>
      <c r="H137" s="14" t="s">
        <v>73</v>
      </c>
    </row>
    <row r="138" spans="2:8" ht="15" x14ac:dyDescent="0.2">
      <c r="B138" s="9" t="s">
        <v>182</v>
      </c>
      <c r="C138" s="10">
        <v>108101</v>
      </c>
      <c r="D138" s="11" t="s">
        <v>75</v>
      </c>
      <c r="F138" s="152">
        <v>131113</v>
      </c>
      <c r="G138" s="156" t="s">
        <v>205</v>
      </c>
      <c r="H138" s="11" t="s">
        <v>75</v>
      </c>
    </row>
    <row r="139" spans="2:8" ht="15" x14ac:dyDescent="0.2">
      <c r="B139" s="12" t="s">
        <v>223</v>
      </c>
      <c r="C139" s="13">
        <v>624839</v>
      </c>
      <c r="D139" s="14" t="s">
        <v>75</v>
      </c>
      <c r="F139" s="153">
        <v>132649</v>
      </c>
      <c r="G139" s="157" t="s">
        <v>206</v>
      </c>
      <c r="H139" s="14" t="s">
        <v>73</v>
      </c>
    </row>
    <row r="140" spans="2:8" ht="15" x14ac:dyDescent="0.2">
      <c r="B140" s="9" t="s">
        <v>131</v>
      </c>
      <c r="C140" s="10">
        <v>80626</v>
      </c>
      <c r="D140" s="11" t="s">
        <v>75</v>
      </c>
      <c r="F140" s="152">
        <v>133062</v>
      </c>
      <c r="G140" s="156" t="s">
        <v>207</v>
      </c>
      <c r="H140" s="11" t="s">
        <v>73</v>
      </c>
    </row>
    <row r="141" spans="2:8" ht="15" x14ac:dyDescent="0.2">
      <c r="B141" s="12" t="s">
        <v>233</v>
      </c>
      <c r="C141" s="13">
        <v>1634044</v>
      </c>
      <c r="D141" s="14" t="s">
        <v>75</v>
      </c>
      <c r="F141" s="153">
        <v>133904</v>
      </c>
      <c r="G141" s="157" t="s">
        <v>208</v>
      </c>
      <c r="H141" s="14" t="s">
        <v>73</v>
      </c>
    </row>
    <row r="142" spans="2:8" ht="15" x14ac:dyDescent="0.2">
      <c r="B142" s="9" t="s">
        <v>109</v>
      </c>
      <c r="C142" s="10">
        <v>75092</v>
      </c>
      <c r="D142" s="11" t="s">
        <v>73</v>
      </c>
      <c r="F142" s="152">
        <v>140885</v>
      </c>
      <c r="G142" s="156" t="s">
        <v>209</v>
      </c>
      <c r="H142" s="11" t="s">
        <v>75</v>
      </c>
    </row>
    <row r="143" spans="2:8" ht="15" x14ac:dyDescent="0.2">
      <c r="B143" s="12" t="s">
        <v>164</v>
      </c>
      <c r="C143" s="13">
        <v>101688</v>
      </c>
      <c r="D143" s="14" t="s">
        <v>73</v>
      </c>
      <c r="F143" s="153">
        <v>151564</v>
      </c>
      <c r="G143" s="157" t="s">
        <v>210</v>
      </c>
      <c r="H143" s="14" t="s">
        <v>75</v>
      </c>
    </row>
    <row r="144" spans="2:8" ht="15" x14ac:dyDescent="0.2">
      <c r="B144" s="9" t="s">
        <v>184</v>
      </c>
      <c r="C144" s="10">
        <v>108383</v>
      </c>
      <c r="D144" s="11" t="s">
        <v>75</v>
      </c>
      <c r="F144" s="152">
        <v>156627</v>
      </c>
      <c r="G144" s="156" t="s">
        <v>211</v>
      </c>
      <c r="H144" s="11" t="s">
        <v>73</v>
      </c>
    </row>
    <row r="145" spans="2:8" ht="15" x14ac:dyDescent="0.2">
      <c r="B145" s="12" t="s">
        <v>199</v>
      </c>
      <c r="C145" s="13">
        <v>121697</v>
      </c>
      <c r="D145" s="14" t="s">
        <v>75</v>
      </c>
      <c r="F145" s="153">
        <v>302012</v>
      </c>
      <c r="G145" s="157" t="s">
        <v>212</v>
      </c>
      <c r="H145" s="14" t="s">
        <v>73</v>
      </c>
    </row>
    <row r="146" spans="2:8" ht="15" x14ac:dyDescent="0.2">
      <c r="B146" s="9" t="s">
        <v>139</v>
      </c>
      <c r="C146" s="10">
        <v>91203</v>
      </c>
      <c r="D146" s="11" t="s">
        <v>75</v>
      </c>
      <c r="F146" s="152">
        <v>334883</v>
      </c>
      <c r="G146" s="156" t="s">
        <v>213</v>
      </c>
      <c r="H146" s="11" t="s">
        <v>75</v>
      </c>
    </row>
    <row r="147" spans="2:8" ht="15" x14ac:dyDescent="0.2">
      <c r="B147" s="12" t="s">
        <v>239</v>
      </c>
      <c r="C147" s="13">
        <v>7440020</v>
      </c>
      <c r="D147" s="14" t="s">
        <v>73</v>
      </c>
      <c r="F147" s="153">
        <v>463581</v>
      </c>
      <c r="G147" s="157" t="s">
        <v>214</v>
      </c>
      <c r="H147" s="14" t="s">
        <v>75</v>
      </c>
    </row>
    <row r="148" spans="2:8" ht="15" x14ac:dyDescent="0.2">
      <c r="B148" s="9" t="s">
        <v>158</v>
      </c>
      <c r="C148" s="10">
        <v>98953</v>
      </c>
      <c r="D148" s="11" t="s">
        <v>75</v>
      </c>
      <c r="F148" s="152">
        <v>510156</v>
      </c>
      <c r="G148" s="156" t="s">
        <v>215</v>
      </c>
      <c r="H148" s="11" t="s">
        <v>75</v>
      </c>
    </row>
    <row r="149" spans="2:8" ht="15" x14ac:dyDescent="0.2">
      <c r="B149" s="12" t="s">
        <v>92</v>
      </c>
      <c r="C149" s="13">
        <v>62759</v>
      </c>
      <c r="D149" s="14" t="s">
        <v>75</v>
      </c>
      <c r="F149" s="153">
        <v>532274</v>
      </c>
      <c r="G149" s="157" t="s">
        <v>216</v>
      </c>
      <c r="H149" s="14" t="s">
        <v>75</v>
      </c>
    </row>
    <row r="150" spans="2:8" ht="15" x14ac:dyDescent="0.2">
      <c r="B150" s="9" t="s">
        <v>86</v>
      </c>
      <c r="C150" s="10">
        <v>59892</v>
      </c>
      <c r="D150" s="11" t="s">
        <v>75</v>
      </c>
      <c r="F150" s="152">
        <v>534521</v>
      </c>
      <c r="G150" s="156" t="s">
        <v>217</v>
      </c>
      <c r="H150" s="11" t="s">
        <v>73</v>
      </c>
    </row>
    <row r="151" spans="2:8" ht="15" x14ac:dyDescent="0.2">
      <c r="B151" s="12" t="s">
        <v>225</v>
      </c>
      <c r="C151" s="13">
        <v>684935</v>
      </c>
      <c r="D151" s="14" t="s">
        <v>75</v>
      </c>
      <c r="F151" s="153">
        <v>540841</v>
      </c>
      <c r="G151" s="157" t="s">
        <v>218</v>
      </c>
      <c r="H151" s="14" t="s">
        <v>75</v>
      </c>
    </row>
    <row r="152" spans="2:8" ht="15" x14ac:dyDescent="0.2">
      <c r="B152" s="9" t="s">
        <v>138</v>
      </c>
      <c r="C152" s="10">
        <v>90040</v>
      </c>
      <c r="D152" s="11" t="s">
        <v>75</v>
      </c>
      <c r="F152" s="152">
        <v>542756</v>
      </c>
      <c r="G152" s="156" t="s">
        <v>219</v>
      </c>
      <c r="H152" s="11" t="s">
        <v>75</v>
      </c>
    </row>
    <row r="153" spans="2:8" ht="15" x14ac:dyDescent="0.2">
      <c r="B153" s="12" t="s">
        <v>148</v>
      </c>
      <c r="C153" s="13">
        <v>95487</v>
      </c>
      <c r="D153" s="14" t="s">
        <v>75</v>
      </c>
      <c r="F153" s="153">
        <v>542881</v>
      </c>
      <c r="G153" s="157" t="s">
        <v>220</v>
      </c>
      <c r="H153" s="14" t="s">
        <v>75</v>
      </c>
    </row>
    <row r="154" spans="2:8" ht="15" x14ac:dyDescent="0.2">
      <c r="B154" s="9" t="s">
        <v>149</v>
      </c>
      <c r="C154" s="10">
        <v>95534</v>
      </c>
      <c r="D154" s="11" t="s">
        <v>75</v>
      </c>
      <c r="F154" s="152">
        <v>584849</v>
      </c>
      <c r="G154" s="156" t="s">
        <v>221</v>
      </c>
      <c r="H154" s="11" t="s">
        <v>75</v>
      </c>
    </row>
    <row r="155" spans="2:8" ht="15" x14ac:dyDescent="0.2">
      <c r="B155" s="12" t="s">
        <v>147</v>
      </c>
      <c r="C155" s="13">
        <v>95476</v>
      </c>
      <c r="D155" s="14" t="s">
        <v>75</v>
      </c>
      <c r="F155" s="153">
        <v>593602</v>
      </c>
      <c r="G155" s="157" t="s">
        <v>222</v>
      </c>
      <c r="H155" s="14" t="s">
        <v>75</v>
      </c>
    </row>
    <row r="156" spans="2:8" ht="15" x14ac:dyDescent="0.2">
      <c r="B156" s="9" t="s">
        <v>80</v>
      </c>
      <c r="C156" s="10">
        <v>56382</v>
      </c>
      <c r="D156" s="11" t="s">
        <v>75</v>
      </c>
      <c r="F156" s="152">
        <v>624839</v>
      </c>
      <c r="G156" s="156" t="s">
        <v>223</v>
      </c>
      <c r="H156" s="11" t="s">
        <v>75</v>
      </c>
    </row>
    <row r="157" spans="2:8" ht="15" x14ac:dyDescent="0.2">
      <c r="B157" s="12" t="s">
        <v>167</v>
      </c>
      <c r="C157" s="13">
        <v>106445</v>
      </c>
      <c r="D157" s="14" t="s">
        <v>75</v>
      </c>
      <c r="F157" s="153">
        <v>680319</v>
      </c>
      <c r="G157" s="157" t="s">
        <v>224</v>
      </c>
      <c r="H157" s="14" t="s">
        <v>73</v>
      </c>
    </row>
    <row r="158" spans="2:8" ht="15" x14ac:dyDescent="0.2">
      <c r="B158" s="9" t="s">
        <v>132</v>
      </c>
      <c r="C158" s="10">
        <v>82688</v>
      </c>
      <c r="D158" s="11" t="s">
        <v>75</v>
      </c>
      <c r="F158" s="152">
        <v>684935</v>
      </c>
      <c r="G158" s="156" t="s">
        <v>225</v>
      </c>
      <c r="H158" s="11" t="s">
        <v>75</v>
      </c>
    </row>
    <row r="159" spans="2:8" ht="15" x14ac:dyDescent="0.2">
      <c r="B159" s="12" t="s">
        <v>136</v>
      </c>
      <c r="C159" s="13">
        <v>87865</v>
      </c>
      <c r="D159" s="14" t="s">
        <v>75</v>
      </c>
      <c r="F159" s="153">
        <v>822060</v>
      </c>
      <c r="G159" s="157" t="s">
        <v>226</v>
      </c>
      <c r="H159" s="14" t="s">
        <v>73</v>
      </c>
    </row>
    <row r="160" spans="2:8" ht="15" x14ac:dyDescent="0.2">
      <c r="B160" s="9" t="s">
        <v>2</v>
      </c>
      <c r="C160" s="10">
        <v>127184</v>
      </c>
      <c r="D160" s="11" t="s">
        <v>73</v>
      </c>
      <c r="F160" s="152">
        <v>1120714</v>
      </c>
      <c r="G160" s="156" t="s">
        <v>227</v>
      </c>
      <c r="H160" s="11" t="s">
        <v>73</v>
      </c>
    </row>
    <row r="161" spans="2:8" ht="15" x14ac:dyDescent="0.2">
      <c r="B161" s="12" t="s">
        <v>187</v>
      </c>
      <c r="C161" s="13">
        <v>108952</v>
      </c>
      <c r="D161" s="14" t="s">
        <v>75</v>
      </c>
      <c r="F161" s="153">
        <v>1319773</v>
      </c>
      <c r="G161" s="157" t="s">
        <v>228</v>
      </c>
      <c r="H161" s="14" t="s">
        <v>75</v>
      </c>
    </row>
    <row r="162" spans="2:8" ht="15" x14ac:dyDescent="0.2">
      <c r="B162" s="9" t="s">
        <v>115</v>
      </c>
      <c r="C162" s="10">
        <v>75445</v>
      </c>
      <c r="D162" s="11" t="s">
        <v>75</v>
      </c>
      <c r="F162" s="152">
        <v>1330207</v>
      </c>
      <c r="G162" s="156" t="s">
        <v>229</v>
      </c>
      <c r="H162" s="11" t="s">
        <v>75</v>
      </c>
    </row>
    <row r="163" spans="2:8" ht="15" x14ac:dyDescent="0.2">
      <c r="B163" s="12" t="s">
        <v>252</v>
      </c>
      <c r="C163" s="13">
        <v>7803512</v>
      </c>
      <c r="D163" s="14" t="s">
        <v>73</v>
      </c>
      <c r="F163" s="153">
        <v>1332214</v>
      </c>
      <c r="G163" s="157" t="s">
        <v>230</v>
      </c>
      <c r="H163" s="14" t="s">
        <v>73</v>
      </c>
    </row>
    <row r="164" spans="2:8" ht="15" x14ac:dyDescent="0.2">
      <c r="B164" s="9" t="s">
        <v>249</v>
      </c>
      <c r="C164" s="10">
        <v>7723140</v>
      </c>
      <c r="D164" s="11" t="s">
        <v>73</v>
      </c>
      <c r="F164" s="152">
        <v>1336363</v>
      </c>
      <c r="G164" s="156" t="s">
        <v>231</v>
      </c>
      <c r="H164" s="11" t="s">
        <v>75</v>
      </c>
    </row>
    <row r="165" spans="2:8" ht="15" x14ac:dyDescent="0.2">
      <c r="B165" s="12" t="s">
        <v>134</v>
      </c>
      <c r="C165" s="13">
        <v>85449</v>
      </c>
      <c r="D165" s="14" t="s">
        <v>73</v>
      </c>
      <c r="F165" s="153">
        <v>1582098</v>
      </c>
      <c r="G165" s="157" t="s">
        <v>232</v>
      </c>
      <c r="H165" s="14" t="s">
        <v>73</v>
      </c>
    </row>
    <row r="166" spans="2:8" ht="15" x14ac:dyDescent="0.2">
      <c r="B166" s="9" t="s">
        <v>231</v>
      </c>
      <c r="C166" s="10">
        <v>1336363</v>
      </c>
      <c r="D166" s="11" t="s">
        <v>75</v>
      </c>
      <c r="F166" s="152">
        <v>1634044</v>
      </c>
      <c r="G166" s="156" t="s">
        <v>233</v>
      </c>
      <c r="H166" s="11" t="s">
        <v>75</v>
      </c>
    </row>
    <row r="167" spans="2:8" ht="15" x14ac:dyDescent="0.2">
      <c r="B167" s="12" t="s">
        <v>169</v>
      </c>
      <c r="C167" s="13">
        <v>106503</v>
      </c>
      <c r="D167" s="14" t="s">
        <v>75</v>
      </c>
      <c r="F167" s="153">
        <v>1746016</v>
      </c>
      <c r="G167" s="157" t="s">
        <v>234</v>
      </c>
      <c r="H167" s="14" t="s">
        <v>73</v>
      </c>
    </row>
    <row r="168" spans="2:8" ht="15" x14ac:dyDescent="0.2">
      <c r="B168" s="9" t="s">
        <v>202</v>
      </c>
      <c r="C168" s="10">
        <v>123386</v>
      </c>
      <c r="D168" s="11" t="s">
        <v>75</v>
      </c>
      <c r="F168" s="152">
        <v>3547044</v>
      </c>
      <c r="G168" s="156" t="s">
        <v>235</v>
      </c>
      <c r="H168" s="11" t="s">
        <v>75</v>
      </c>
    </row>
    <row r="169" spans="2:8" ht="15" x14ac:dyDescent="0.2">
      <c r="B169" s="12" t="s">
        <v>190</v>
      </c>
      <c r="C169" s="13">
        <v>114261</v>
      </c>
      <c r="D169" s="14" t="s">
        <v>73</v>
      </c>
      <c r="F169" s="153">
        <v>7439921</v>
      </c>
      <c r="G169" s="157" t="s">
        <v>236</v>
      </c>
      <c r="H169" s="14" t="s">
        <v>73</v>
      </c>
    </row>
    <row r="170" spans="2:8" ht="15" x14ac:dyDescent="0.2">
      <c r="B170" s="9" t="s">
        <v>117</v>
      </c>
      <c r="C170" s="10">
        <v>75569</v>
      </c>
      <c r="D170" s="11" t="s">
        <v>75</v>
      </c>
      <c r="F170" s="152">
        <v>7439965</v>
      </c>
      <c r="G170" s="156" t="s">
        <v>237</v>
      </c>
      <c r="H170" s="11" t="s">
        <v>73</v>
      </c>
    </row>
    <row r="171" spans="2:8" ht="15" x14ac:dyDescent="0.2">
      <c r="B171" s="12" t="s">
        <v>166</v>
      </c>
      <c r="C171" s="13">
        <v>106423</v>
      </c>
      <c r="D171" s="14" t="s">
        <v>75</v>
      </c>
      <c r="F171" s="153">
        <v>7439976</v>
      </c>
      <c r="G171" s="157" t="s">
        <v>238</v>
      </c>
      <c r="H171" s="14" t="s">
        <v>73</v>
      </c>
    </row>
    <row r="172" spans="2:8" ht="15" x14ac:dyDescent="0.2">
      <c r="B172" s="9" t="s">
        <v>140</v>
      </c>
      <c r="C172" s="10">
        <v>91225</v>
      </c>
      <c r="D172" s="11" t="s">
        <v>75</v>
      </c>
      <c r="F172" s="152">
        <v>7440020</v>
      </c>
      <c r="G172" s="156" t="s">
        <v>239</v>
      </c>
      <c r="H172" s="11" t="s">
        <v>73</v>
      </c>
    </row>
    <row r="173" spans="2:8" ht="15" x14ac:dyDescent="0.2">
      <c r="B173" s="12" t="s">
        <v>170</v>
      </c>
      <c r="C173" s="13">
        <v>106514</v>
      </c>
      <c r="D173" s="14" t="s">
        <v>75</v>
      </c>
      <c r="F173" s="153">
        <v>7440360</v>
      </c>
      <c r="G173" s="157" t="s">
        <v>240</v>
      </c>
      <c r="H173" s="14" t="s">
        <v>73</v>
      </c>
    </row>
    <row r="174" spans="2:8" ht="15" x14ac:dyDescent="0.2">
      <c r="B174" s="9" t="s">
        <v>250</v>
      </c>
      <c r="C174" s="10">
        <v>7782492</v>
      </c>
      <c r="D174" s="11" t="s">
        <v>73</v>
      </c>
      <c r="F174" s="152">
        <v>7440382</v>
      </c>
      <c r="G174" s="156" t="s">
        <v>241</v>
      </c>
      <c r="H174" s="11" t="s">
        <v>73</v>
      </c>
    </row>
    <row r="175" spans="2:8" ht="15" x14ac:dyDescent="0.2">
      <c r="B175" s="12" t="s">
        <v>161</v>
      </c>
      <c r="C175" s="13">
        <v>100425</v>
      </c>
      <c r="D175" s="14" t="s">
        <v>75</v>
      </c>
      <c r="F175" s="153">
        <v>7440417</v>
      </c>
      <c r="G175" s="157" t="s">
        <v>242</v>
      </c>
      <c r="H175" s="14" t="s">
        <v>73</v>
      </c>
    </row>
    <row r="176" spans="2:8" ht="15" x14ac:dyDescent="0.2">
      <c r="B176" s="9" t="s">
        <v>152</v>
      </c>
      <c r="C176" s="10">
        <v>96093</v>
      </c>
      <c r="D176" s="11" t="s">
        <v>75</v>
      </c>
      <c r="F176" s="152">
        <v>7440439</v>
      </c>
      <c r="G176" s="156" t="s">
        <v>243</v>
      </c>
      <c r="H176" s="11" t="s">
        <v>73</v>
      </c>
    </row>
    <row r="177" spans="2:8" ht="15" x14ac:dyDescent="0.2">
      <c r="B177" s="12" t="s">
        <v>246</v>
      </c>
      <c r="C177" s="13">
        <v>7550450</v>
      </c>
      <c r="D177" s="14" t="s">
        <v>73</v>
      </c>
      <c r="F177" s="153">
        <v>7440473</v>
      </c>
      <c r="G177" s="157" t="s">
        <v>244</v>
      </c>
      <c r="H177" s="14" t="s">
        <v>73</v>
      </c>
    </row>
    <row r="178" spans="2:8" ht="15" x14ac:dyDescent="0.2">
      <c r="B178" s="9" t="s">
        <v>1</v>
      </c>
      <c r="C178" s="10">
        <v>108883</v>
      </c>
      <c r="D178" s="11" t="s">
        <v>75</v>
      </c>
      <c r="F178" s="152">
        <v>7440484</v>
      </c>
      <c r="G178" s="156" t="s">
        <v>245</v>
      </c>
      <c r="H178" s="11" t="s">
        <v>73</v>
      </c>
    </row>
    <row r="179" spans="2:8" ht="15" x14ac:dyDescent="0.2">
      <c r="B179" s="12" t="s">
        <v>253</v>
      </c>
      <c r="C179" s="13">
        <v>8001352</v>
      </c>
      <c r="D179" s="14" t="s">
        <v>73</v>
      </c>
      <c r="F179" s="153">
        <v>7550450</v>
      </c>
      <c r="G179" s="157" t="s">
        <v>246</v>
      </c>
      <c r="H179" s="14" t="s">
        <v>73</v>
      </c>
    </row>
    <row r="180" spans="2:8" ht="15" x14ac:dyDescent="0.2">
      <c r="B180" s="9" t="s">
        <v>124</v>
      </c>
      <c r="C180" s="10">
        <v>79016</v>
      </c>
      <c r="D180" s="11" t="s">
        <v>75</v>
      </c>
      <c r="F180" s="152">
        <v>7647010</v>
      </c>
      <c r="G180" s="156" t="s">
        <v>247</v>
      </c>
      <c r="H180" s="11" t="s">
        <v>73</v>
      </c>
    </row>
    <row r="181" spans="2:8" ht="15" x14ac:dyDescent="0.2">
      <c r="B181" s="12" t="s">
        <v>198</v>
      </c>
      <c r="C181" s="13">
        <v>121448</v>
      </c>
      <c r="D181" s="14" t="s">
        <v>75</v>
      </c>
      <c r="F181" s="153">
        <v>7664393</v>
      </c>
      <c r="G181" s="157" t="s">
        <v>248</v>
      </c>
      <c r="H181" s="14" t="s">
        <v>73</v>
      </c>
    </row>
    <row r="182" spans="2:8" ht="15" x14ac:dyDescent="0.2">
      <c r="B182" s="9" t="s">
        <v>232</v>
      </c>
      <c r="C182" s="10">
        <v>1582098</v>
      </c>
      <c r="D182" s="11" t="s">
        <v>73</v>
      </c>
      <c r="F182" s="152">
        <v>7723140</v>
      </c>
      <c r="G182" s="156" t="s">
        <v>249</v>
      </c>
      <c r="H182" s="11" t="s">
        <v>73</v>
      </c>
    </row>
    <row r="183" spans="2:8" ht="15" x14ac:dyDescent="0.2">
      <c r="B183" s="12" t="s">
        <v>181</v>
      </c>
      <c r="C183" s="13">
        <v>108054</v>
      </c>
      <c r="D183" s="14" t="s">
        <v>75</v>
      </c>
      <c r="F183" s="153">
        <v>7782492</v>
      </c>
      <c r="G183" s="157" t="s">
        <v>250</v>
      </c>
      <c r="H183" s="14" t="s">
        <v>73</v>
      </c>
    </row>
    <row r="184" spans="2:8" ht="15" x14ac:dyDescent="0.2">
      <c r="B184" s="9" t="s">
        <v>222</v>
      </c>
      <c r="C184" s="10">
        <v>593602</v>
      </c>
      <c r="D184" s="11" t="s">
        <v>75</v>
      </c>
      <c r="F184" s="152">
        <v>7782505</v>
      </c>
      <c r="G184" s="156" t="s">
        <v>251</v>
      </c>
      <c r="H184" s="11" t="s">
        <v>73</v>
      </c>
    </row>
    <row r="185" spans="2:8" ht="15" x14ac:dyDescent="0.2">
      <c r="B185" s="12" t="s">
        <v>106</v>
      </c>
      <c r="C185" s="13">
        <v>75014</v>
      </c>
      <c r="D185" s="14" t="s">
        <v>75</v>
      </c>
      <c r="F185" s="153">
        <v>7803512</v>
      </c>
      <c r="G185" s="157" t="s">
        <v>252</v>
      </c>
      <c r="H185" s="14" t="s">
        <v>73</v>
      </c>
    </row>
    <row r="186" spans="2:8" ht="15.75" thickBot="1" x14ac:dyDescent="0.25">
      <c r="B186" s="15" t="s">
        <v>229</v>
      </c>
      <c r="C186" s="16">
        <v>1330207</v>
      </c>
      <c r="D186" s="17" t="s">
        <v>75</v>
      </c>
      <c r="F186" s="159">
        <v>8001352</v>
      </c>
      <c r="G186" s="160" t="s">
        <v>253</v>
      </c>
      <c r="H186" s="17" t="s">
        <v>73</v>
      </c>
    </row>
    <row r="187" spans="2:8" ht="13.5" thickTop="1" x14ac:dyDescent="0.2"/>
    <row r="192" spans="2:8" x14ac:dyDescent="0.2">
      <c r="C192" s="2"/>
      <c r="D192" s="2"/>
    </row>
    <row r="193" spans="3:4" x14ac:dyDescent="0.2">
      <c r="C193" s="2"/>
      <c r="D193" s="2"/>
    </row>
    <row r="194" spans="3:4" x14ac:dyDescent="0.2">
      <c r="C194" s="2"/>
      <c r="D194" s="2"/>
    </row>
    <row r="195" spans="3:4" x14ac:dyDescent="0.2">
      <c r="C195" s="2"/>
      <c r="D195" s="2"/>
    </row>
    <row r="196" spans="3:4" x14ac:dyDescent="0.2">
      <c r="C196" s="2"/>
      <c r="D196" s="2"/>
    </row>
    <row r="197" spans="3:4" x14ac:dyDescent="0.2">
      <c r="C197" s="2"/>
      <c r="D197" s="2"/>
    </row>
    <row r="198" spans="3:4" x14ac:dyDescent="0.2">
      <c r="C198" s="2"/>
      <c r="D198" s="2"/>
    </row>
    <row r="199" spans="3:4" x14ac:dyDescent="0.2">
      <c r="C199" s="2"/>
      <c r="D199" s="2"/>
    </row>
    <row r="200" spans="3:4" x14ac:dyDescent="0.2">
      <c r="C200" s="2"/>
      <c r="D200" s="2"/>
    </row>
    <row r="201" spans="3:4" x14ac:dyDescent="0.2">
      <c r="C201" s="2"/>
      <c r="D201" s="2"/>
    </row>
    <row r="202" spans="3:4" x14ac:dyDescent="0.2">
      <c r="C202" s="2"/>
      <c r="D202" s="2"/>
    </row>
    <row r="203" spans="3:4" x14ac:dyDescent="0.2">
      <c r="C203" s="2"/>
      <c r="D203" s="2"/>
    </row>
    <row r="204" spans="3:4" x14ac:dyDescent="0.2">
      <c r="C204" s="2"/>
      <c r="D204" s="2"/>
    </row>
    <row r="205" spans="3:4" x14ac:dyDescent="0.2">
      <c r="C205" s="2"/>
      <c r="D205" s="2"/>
    </row>
    <row r="206" spans="3:4" x14ac:dyDescent="0.2">
      <c r="C206" s="2"/>
      <c r="D206" s="2"/>
    </row>
    <row r="207" spans="3:4" x14ac:dyDescent="0.2">
      <c r="C207" s="2"/>
      <c r="D207" s="2"/>
    </row>
    <row r="208" spans="3:4" x14ac:dyDescent="0.2">
      <c r="C208" s="2"/>
      <c r="D208" s="2"/>
    </row>
    <row r="209" spans="3:4" x14ac:dyDescent="0.2">
      <c r="C209" s="2"/>
      <c r="D209" s="2"/>
    </row>
    <row r="210" spans="3:4" x14ac:dyDescent="0.2">
      <c r="C210" s="2"/>
      <c r="D210" s="2"/>
    </row>
    <row r="211" spans="3:4" x14ac:dyDescent="0.2">
      <c r="C211" s="2"/>
      <c r="D211" s="2"/>
    </row>
    <row r="212" spans="3:4" x14ac:dyDescent="0.2">
      <c r="C212" s="2"/>
      <c r="D212" s="2"/>
    </row>
    <row r="213" spans="3:4" x14ac:dyDescent="0.2">
      <c r="C213" s="2"/>
      <c r="D213" s="2"/>
    </row>
    <row r="214" spans="3:4" x14ac:dyDescent="0.2">
      <c r="C214" s="2"/>
      <c r="D214" s="2"/>
    </row>
    <row r="215" spans="3:4" x14ac:dyDescent="0.2">
      <c r="C215" s="2"/>
      <c r="D215" s="2"/>
    </row>
    <row r="216" spans="3:4" x14ac:dyDescent="0.2">
      <c r="C216" s="2"/>
      <c r="D216" s="2"/>
    </row>
    <row r="217" spans="3:4" x14ac:dyDescent="0.2">
      <c r="C217" s="2"/>
      <c r="D217" s="2"/>
    </row>
    <row r="218" spans="3:4" x14ac:dyDescent="0.2">
      <c r="C218" s="2"/>
      <c r="D218" s="2"/>
    </row>
    <row r="219" spans="3:4" x14ac:dyDescent="0.2">
      <c r="C219" s="2"/>
      <c r="D219" s="2"/>
    </row>
    <row r="220" spans="3:4" x14ac:dyDescent="0.2">
      <c r="C220" s="2"/>
      <c r="D220" s="2"/>
    </row>
    <row r="221" spans="3:4" x14ac:dyDescent="0.2">
      <c r="C221" s="2"/>
      <c r="D221" s="2"/>
    </row>
    <row r="222" spans="3:4" x14ac:dyDescent="0.2">
      <c r="C222" s="2"/>
      <c r="D222" s="2"/>
    </row>
    <row r="223" spans="3:4" x14ac:dyDescent="0.2">
      <c r="C223" s="2"/>
      <c r="D223" s="2"/>
    </row>
    <row r="224" spans="3:4" x14ac:dyDescent="0.2">
      <c r="C224" s="2"/>
      <c r="D224" s="2"/>
    </row>
    <row r="225" spans="3:4" x14ac:dyDescent="0.2">
      <c r="C225" s="2"/>
      <c r="D225" s="2"/>
    </row>
    <row r="226" spans="3:4" x14ac:dyDescent="0.2">
      <c r="C226" s="2"/>
      <c r="D226" s="2"/>
    </row>
    <row r="227" spans="3:4" x14ac:dyDescent="0.2">
      <c r="C227" s="2"/>
      <c r="D227" s="2"/>
    </row>
    <row r="228" spans="3:4" x14ac:dyDescent="0.2">
      <c r="C228" s="2"/>
      <c r="D228" s="2"/>
    </row>
    <row r="229" spans="3:4" x14ac:dyDescent="0.2">
      <c r="C229" s="2"/>
      <c r="D229" s="2"/>
    </row>
    <row r="230" spans="3:4" x14ac:dyDescent="0.2">
      <c r="C230" s="2"/>
      <c r="D230" s="2"/>
    </row>
    <row r="231" spans="3:4" x14ac:dyDescent="0.2">
      <c r="C231" s="2"/>
      <c r="D231" s="2"/>
    </row>
    <row r="232" spans="3:4" x14ac:dyDescent="0.2">
      <c r="C232" s="2"/>
      <c r="D232" s="2"/>
    </row>
    <row r="233" spans="3:4" x14ac:dyDescent="0.2">
      <c r="C233" s="2"/>
      <c r="D233" s="2"/>
    </row>
    <row r="234" spans="3:4" x14ac:dyDescent="0.2">
      <c r="C234" s="2"/>
      <c r="D234" s="2"/>
    </row>
    <row r="235" spans="3:4" x14ac:dyDescent="0.2">
      <c r="C235" s="2"/>
      <c r="D235" s="2"/>
    </row>
    <row r="236" spans="3:4" x14ac:dyDescent="0.2">
      <c r="C236" s="2"/>
      <c r="D236" s="2"/>
    </row>
    <row r="237" spans="3:4" x14ac:dyDescent="0.2">
      <c r="C237" s="2"/>
      <c r="D237" s="2"/>
    </row>
    <row r="238" spans="3:4" x14ac:dyDescent="0.2">
      <c r="C238" s="2"/>
      <c r="D238" s="2"/>
    </row>
    <row r="239" spans="3:4" x14ac:dyDescent="0.2">
      <c r="C239" s="2"/>
      <c r="D239" s="2"/>
    </row>
    <row r="240" spans="3:4" x14ac:dyDescent="0.2">
      <c r="C240" s="2"/>
      <c r="D240" s="2"/>
    </row>
    <row r="241" spans="3:4" x14ac:dyDescent="0.2">
      <c r="C241" s="2"/>
      <c r="D241" s="2"/>
    </row>
    <row r="242" spans="3:4" x14ac:dyDescent="0.2">
      <c r="C242" s="2"/>
      <c r="D242" s="2"/>
    </row>
    <row r="243" spans="3:4" x14ac:dyDescent="0.2">
      <c r="C243" s="2"/>
      <c r="D243" s="2"/>
    </row>
    <row r="244" spans="3:4" x14ac:dyDescent="0.2">
      <c r="C244" s="2"/>
      <c r="D244" s="2"/>
    </row>
    <row r="245" spans="3:4" x14ac:dyDescent="0.2">
      <c r="C245" s="2"/>
      <c r="D245" s="2"/>
    </row>
    <row r="246" spans="3:4" x14ac:dyDescent="0.2">
      <c r="C246" s="2"/>
      <c r="D246" s="2"/>
    </row>
    <row r="247" spans="3:4" x14ac:dyDescent="0.2">
      <c r="C247" s="2"/>
      <c r="D247" s="2"/>
    </row>
    <row r="248" spans="3:4" x14ac:dyDescent="0.2">
      <c r="C248" s="2"/>
      <c r="D248" s="2"/>
    </row>
    <row r="249" spans="3:4" x14ac:dyDescent="0.2">
      <c r="C249" s="2"/>
      <c r="D249" s="2"/>
    </row>
    <row r="250" spans="3:4" x14ac:dyDescent="0.2">
      <c r="C250" s="2"/>
      <c r="D250" s="2"/>
    </row>
    <row r="251" spans="3:4" x14ac:dyDescent="0.2">
      <c r="C251" s="2"/>
      <c r="D251" s="2"/>
    </row>
    <row r="252" spans="3:4" x14ac:dyDescent="0.2">
      <c r="C252" s="2"/>
      <c r="D252" s="2"/>
    </row>
    <row r="253" spans="3:4" x14ac:dyDescent="0.2">
      <c r="C253" s="2"/>
      <c r="D253" s="2"/>
    </row>
    <row r="254" spans="3:4" x14ac:dyDescent="0.2">
      <c r="C254" s="2"/>
      <c r="D254" s="2"/>
    </row>
    <row r="255" spans="3:4" x14ac:dyDescent="0.2">
      <c r="C255" s="2"/>
      <c r="D255" s="2"/>
    </row>
    <row r="256" spans="3:4" x14ac:dyDescent="0.2">
      <c r="C256" s="2"/>
      <c r="D256" s="2"/>
    </row>
    <row r="257" spans="3:4" x14ac:dyDescent="0.2">
      <c r="C257" s="2"/>
      <c r="D257" s="2"/>
    </row>
    <row r="258" spans="3:4" x14ac:dyDescent="0.2">
      <c r="C258" s="2"/>
      <c r="D258" s="2"/>
    </row>
    <row r="259" spans="3:4" x14ac:dyDescent="0.2">
      <c r="C259" s="2"/>
      <c r="D259" s="2"/>
    </row>
    <row r="260" spans="3:4" x14ac:dyDescent="0.2">
      <c r="C260" s="2"/>
      <c r="D260" s="2"/>
    </row>
    <row r="261" spans="3:4" x14ac:dyDescent="0.2">
      <c r="C261" s="2"/>
      <c r="D261" s="2"/>
    </row>
    <row r="262" spans="3:4" x14ac:dyDescent="0.2">
      <c r="C262" s="2"/>
      <c r="D262" s="2"/>
    </row>
    <row r="263" spans="3:4" x14ac:dyDescent="0.2">
      <c r="C263" s="2"/>
      <c r="D263" s="2"/>
    </row>
    <row r="264" spans="3:4" x14ac:dyDescent="0.2">
      <c r="C264" s="2"/>
      <c r="D264" s="2"/>
    </row>
    <row r="265" spans="3:4" x14ac:dyDescent="0.2">
      <c r="C265" s="2"/>
      <c r="D265" s="2"/>
    </row>
    <row r="266" spans="3:4" x14ac:dyDescent="0.2">
      <c r="C266" s="2"/>
      <c r="D266" s="2"/>
    </row>
    <row r="267" spans="3:4" x14ac:dyDescent="0.2">
      <c r="C267" s="2"/>
      <c r="D267" s="2"/>
    </row>
    <row r="268" spans="3:4" x14ac:dyDescent="0.2">
      <c r="C268" s="2"/>
      <c r="D268" s="2"/>
    </row>
    <row r="269" spans="3:4" x14ac:dyDescent="0.2">
      <c r="C269" s="2"/>
      <c r="D269" s="2"/>
    </row>
    <row r="270" spans="3:4" x14ac:dyDescent="0.2">
      <c r="C270" s="2"/>
      <c r="D270" s="2"/>
    </row>
    <row r="271" spans="3:4" x14ac:dyDescent="0.2">
      <c r="C271" s="2"/>
      <c r="D271" s="2"/>
    </row>
    <row r="272" spans="3:4" x14ac:dyDescent="0.2">
      <c r="C272" s="2"/>
      <c r="D272" s="2"/>
    </row>
    <row r="273" spans="3:4" x14ac:dyDescent="0.2">
      <c r="C273" s="2"/>
      <c r="D273" s="2"/>
    </row>
    <row r="274" spans="3:4" x14ac:dyDescent="0.2">
      <c r="C274" s="2"/>
      <c r="D274" s="2"/>
    </row>
    <row r="275" spans="3:4" x14ac:dyDescent="0.2">
      <c r="C275" s="2"/>
      <c r="D275" s="2"/>
    </row>
    <row r="276" spans="3:4" x14ac:dyDescent="0.2">
      <c r="C276" s="2"/>
      <c r="D276" s="2"/>
    </row>
    <row r="277" spans="3:4" x14ac:dyDescent="0.2">
      <c r="C277" s="2"/>
      <c r="D277" s="2"/>
    </row>
    <row r="278" spans="3:4" x14ac:dyDescent="0.2">
      <c r="C278" s="2"/>
      <c r="D278" s="2"/>
    </row>
    <row r="279" spans="3:4" x14ac:dyDescent="0.2">
      <c r="C279" s="2"/>
      <c r="D279" s="2"/>
    </row>
    <row r="280" spans="3:4" x14ac:dyDescent="0.2">
      <c r="C280" s="2"/>
      <c r="D280" s="2"/>
    </row>
    <row r="281" spans="3:4" x14ac:dyDescent="0.2">
      <c r="C281" s="2"/>
      <c r="D281" s="2"/>
    </row>
    <row r="282" spans="3:4" x14ac:dyDescent="0.2">
      <c r="C282" s="2"/>
      <c r="D282" s="2"/>
    </row>
    <row r="283" spans="3:4" x14ac:dyDescent="0.2">
      <c r="C283" s="2"/>
      <c r="D283" s="2"/>
    </row>
    <row r="284" spans="3:4" x14ac:dyDescent="0.2">
      <c r="C284" s="2"/>
      <c r="D284" s="2"/>
    </row>
    <row r="285" spans="3:4" x14ac:dyDescent="0.2">
      <c r="C285" s="2"/>
      <c r="D285" s="2"/>
    </row>
    <row r="286" spans="3:4" x14ac:dyDescent="0.2">
      <c r="C286" s="2"/>
      <c r="D286" s="2"/>
    </row>
    <row r="287" spans="3:4" x14ac:dyDescent="0.2">
      <c r="C287" s="2"/>
      <c r="D287" s="2"/>
    </row>
    <row r="288" spans="3:4" x14ac:dyDescent="0.2">
      <c r="C288" s="2"/>
      <c r="D288" s="2"/>
    </row>
    <row r="289" spans="3:4" x14ac:dyDescent="0.2">
      <c r="C289" s="2"/>
      <c r="D289" s="2"/>
    </row>
    <row r="290" spans="3:4" x14ac:dyDescent="0.2">
      <c r="C290" s="2"/>
      <c r="D290" s="2"/>
    </row>
    <row r="291" spans="3:4" x14ac:dyDescent="0.2">
      <c r="C291" s="2"/>
      <c r="D291" s="2"/>
    </row>
    <row r="292" spans="3:4" x14ac:dyDescent="0.2">
      <c r="C292" s="2"/>
      <c r="D292" s="2"/>
    </row>
    <row r="293" spans="3:4" x14ac:dyDescent="0.2">
      <c r="C293" s="2"/>
      <c r="D293" s="2"/>
    </row>
    <row r="294" spans="3:4" x14ac:dyDescent="0.2">
      <c r="C294" s="2"/>
      <c r="D294" s="2"/>
    </row>
    <row r="295" spans="3:4" x14ac:dyDescent="0.2">
      <c r="C295" s="2"/>
      <c r="D295" s="2"/>
    </row>
    <row r="296" spans="3:4" x14ac:dyDescent="0.2">
      <c r="C296" s="2"/>
      <c r="D296" s="2"/>
    </row>
    <row r="297" spans="3:4" x14ac:dyDescent="0.2">
      <c r="C297" s="2"/>
      <c r="D297" s="2"/>
    </row>
    <row r="298" spans="3:4" x14ac:dyDescent="0.2">
      <c r="C298" s="2"/>
      <c r="D298" s="2"/>
    </row>
    <row r="299" spans="3:4" x14ac:dyDescent="0.2">
      <c r="C299" s="2"/>
      <c r="D299" s="2"/>
    </row>
    <row r="300" spans="3:4" x14ac:dyDescent="0.2">
      <c r="C300" s="2"/>
      <c r="D300" s="2"/>
    </row>
    <row r="301" spans="3:4" x14ac:dyDescent="0.2">
      <c r="C301" s="2"/>
      <c r="D301" s="2"/>
    </row>
    <row r="302" spans="3:4" x14ac:dyDescent="0.2">
      <c r="C302" s="2"/>
      <c r="D302" s="2"/>
    </row>
    <row r="303" spans="3:4" x14ac:dyDescent="0.2">
      <c r="C303" s="2"/>
      <c r="D303" s="2"/>
    </row>
    <row r="304" spans="3:4" x14ac:dyDescent="0.2">
      <c r="C304" s="2"/>
      <c r="D304" s="2"/>
    </row>
    <row r="305" spans="3:4" x14ac:dyDescent="0.2">
      <c r="C305" s="2"/>
      <c r="D305" s="2"/>
    </row>
    <row r="306" spans="3:4" x14ac:dyDescent="0.2">
      <c r="C306" s="2"/>
      <c r="D306" s="2"/>
    </row>
    <row r="307" spans="3:4" x14ac:dyDescent="0.2">
      <c r="C307" s="2"/>
      <c r="D307" s="2"/>
    </row>
    <row r="308" spans="3:4" x14ac:dyDescent="0.2">
      <c r="C308" s="2"/>
      <c r="D308" s="2"/>
    </row>
    <row r="309" spans="3:4" x14ac:dyDescent="0.2">
      <c r="C309" s="2"/>
      <c r="D309" s="2"/>
    </row>
    <row r="310" spans="3:4" x14ac:dyDescent="0.2">
      <c r="C310" s="2"/>
      <c r="D310" s="2"/>
    </row>
    <row r="311" spans="3:4" x14ac:dyDescent="0.2">
      <c r="C311" s="2"/>
      <c r="D311" s="2"/>
    </row>
    <row r="312" spans="3:4" x14ac:dyDescent="0.2">
      <c r="C312" s="2"/>
      <c r="D312" s="2"/>
    </row>
    <row r="313" spans="3:4" x14ac:dyDescent="0.2">
      <c r="C313" s="2"/>
      <c r="D313" s="2"/>
    </row>
    <row r="314" spans="3:4" x14ac:dyDescent="0.2">
      <c r="C314" s="2"/>
      <c r="D314" s="2"/>
    </row>
    <row r="315" spans="3:4" x14ac:dyDescent="0.2">
      <c r="C315" s="2"/>
      <c r="D315" s="2"/>
    </row>
    <row r="316" spans="3:4" x14ac:dyDescent="0.2">
      <c r="C316" s="2"/>
      <c r="D316" s="2"/>
    </row>
    <row r="317" spans="3:4" x14ac:dyDescent="0.2">
      <c r="C317" s="2"/>
      <c r="D317" s="2"/>
    </row>
    <row r="318" spans="3:4" x14ac:dyDescent="0.2">
      <c r="C318" s="2"/>
      <c r="D318" s="2"/>
    </row>
    <row r="319" spans="3:4" x14ac:dyDescent="0.2">
      <c r="C319" s="2"/>
      <c r="D319" s="2"/>
    </row>
    <row r="320" spans="3:4" x14ac:dyDescent="0.2">
      <c r="C320" s="2"/>
      <c r="D320" s="2"/>
    </row>
    <row r="321" spans="3:4" x14ac:dyDescent="0.2">
      <c r="C321" s="2"/>
      <c r="D321" s="2"/>
    </row>
    <row r="322" spans="3:4" x14ac:dyDescent="0.2">
      <c r="C322" s="2"/>
      <c r="D322" s="2"/>
    </row>
    <row r="323" spans="3:4" x14ac:dyDescent="0.2">
      <c r="C323" s="2"/>
      <c r="D323" s="2"/>
    </row>
    <row r="324" spans="3:4" x14ac:dyDescent="0.2">
      <c r="C324" s="2"/>
      <c r="D324" s="2"/>
    </row>
    <row r="325" spans="3:4" x14ac:dyDescent="0.2">
      <c r="C325" s="2"/>
      <c r="D325" s="2"/>
    </row>
    <row r="326" spans="3:4" x14ac:dyDescent="0.2">
      <c r="C326" s="2"/>
      <c r="D326" s="2"/>
    </row>
    <row r="327" spans="3:4" x14ac:dyDescent="0.2">
      <c r="C327" s="2"/>
      <c r="D327" s="2"/>
    </row>
    <row r="328" spans="3:4" x14ac:dyDescent="0.2">
      <c r="C328" s="2"/>
      <c r="D328" s="2"/>
    </row>
    <row r="329" spans="3:4" x14ac:dyDescent="0.2">
      <c r="C329" s="2"/>
      <c r="D329" s="2"/>
    </row>
    <row r="330" spans="3:4" x14ac:dyDescent="0.2">
      <c r="C330" s="2"/>
      <c r="D330" s="2"/>
    </row>
    <row r="331" spans="3:4" x14ac:dyDescent="0.2">
      <c r="C331" s="2"/>
      <c r="D331" s="2"/>
    </row>
    <row r="332" spans="3:4" x14ac:dyDescent="0.2">
      <c r="C332" s="2"/>
      <c r="D332" s="2"/>
    </row>
    <row r="333" spans="3:4" x14ac:dyDescent="0.2">
      <c r="C333" s="2"/>
      <c r="D333" s="2"/>
    </row>
    <row r="334" spans="3:4" x14ac:dyDescent="0.2">
      <c r="C334" s="2"/>
      <c r="D334" s="2"/>
    </row>
    <row r="335" spans="3:4" x14ac:dyDescent="0.2">
      <c r="C335" s="2"/>
      <c r="D335" s="2"/>
    </row>
    <row r="336" spans="3:4" x14ac:dyDescent="0.2">
      <c r="C336" s="2"/>
      <c r="D336" s="2"/>
    </row>
    <row r="337" spans="3:4" x14ac:dyDescent="0.2">
      <c r="C337" s="2"/>
      <c r="D337" s="2"/>
    </row>
    <row r="338" spans="3:4" x14ac:dyDescent="0.2">
      <c r="C338" s="2"/>
      <c r="D338" s="2"/>
    </row>
    <row r="339" spans="3:4" x14ac:dyDescent="0.2">
      <c r="C339" s="2"/>
      <c r="D339" s="2"/>
    </row>
    <row r="340" spans="3:4" x14ac:dyDescent="0.2">
      <c r="C340" s="2"/>
      <c r="D340" s="2"/>
    </row>
    <row r="341" spans="3:4" x14ac:dyDescent="0.2">
      <c r="C341" s="2"/>
      <c r="D341" s="2"/>
    </row>
    <row r="342" spans="3:4" x14ac:dyDescent="0.2">
      <c r="C342" s="2"/>
      <c r="D342" s="2"/>
    </row>
    <row r="343" spans="3:4" x14ac:dyDescent="0.2">
      <c r="C343" s="2"/>
      <c r="D343" s="2"/>
    </row>
    <row r="344" spans="3:4" x14ac:dyDescent="0.2">
      <c r="C344" s="2"/>
      <c r="D344" s="2"/>
    </row>
    <row r="345" spans="3:4" x14ac:dyDescent="0.2">
      <c r="C345" s="2"/>
      <c r="D345" s="2"/>
    </row>
    <row r="346" spans="3:4" x14ac:dyDescent="0.2">
      <c r="C346" s="2"/>
      <c r="D346" s="2"/>
    </row>
    <row r="347" spans="3:4" x14ac:dyDescent="0.2">
      <c r="C347" s="2"/>
      <c r="D347" s="2"/>
    </row>
    <row r="348" spans="3:4" x14ac:dyDescent="0.2">
      <c r="C348" s="2"/>
      <c r="D348" s="2"/>
    </row>
    <row r="349" spans="3:4" x14ac:dyDescent="0.2">
      <c r="C349" s="2"/>
      <c r="D349" s="2"/>
    </row>
    <row r="350" spans="3:4" x14ac:dyDescent="0.2">
      <c r="C350" s="2"/>
      <c r="D350" s="2"/>
    </row>
    <row r="351" spans="3:4" x14ac:dyDescent="0.2">
      <c r="C351" s="2"/>
      <c r="D351" s="2"/>
    </row>
    <row r="352" spans="3:4" x14ac:dyDescent="0.2">
      <c r="C352" s="2"/>
      <c r="D352" s="2"/>
    </row>
    <row r="353" spans="3:4" x14ac:dyDescent="0.2">
      <c r="C353" s="2"/>
      <c r="D353" s="2"/>
    </row>
    <row r="354" spans="3:4" x14ac:dyDescent="0.2">
      <c r="C354" s="2"/>
      <c r="D354" s="2"/>
    </row>
    <row r="355" spans="3:4" x14ac:dyDescent="0.2">
      <c r="C355" s="2"/>
      <c r="D355" s="2"/>
    </row>
    <row r="356" spans="3:4" x14ac:dyDescent="0.2">
      <c r="C356" s="2"/>
      <c r="D356" s="2"/>
    </row>
    <row r="357" spans="3:4" x14ac:dyDescent="0.2">
      <c r="C357" s="2"/>
      <c r="D357" s="2"/>
    </row>
    <row r="358" spans="3:4" x14ac:dyDescent="0.2">
      <c r="C358" s="2"/>
      <c r="D358" s="2"/>
    </row>
    <row r="359" spans="3:4" x14ac:dyDescent="0.2">
      <c r="C359" s="2"/>
      <c r="D359" s="2"/>
    </row>
    <row r="360" spans="3:4" x14ac:dyDescent="0.2">
      <c r="C360" s="2"/>
      <c r="D360" s="2"/>
    </row>
    <row r="361" spans="3:4" x14ac:dyDescent="0.2">
      <c r="C361" s="2"/>
      <c r="D361" s="2"/>
    </row>
    <row r="362" spans="3:4" x14ac:dyDescent="0.2">
      <c r="C362" s="2"/>
      <c r="D362" s="2"/>
    </row>
    <row r="363" spans="3:4" x14ac:dyDescent="0.2">
      <c r="C363" s="2"/>
      <c r="D363" s="2"/>
    </row>
    <row r="364" spans="3:4" x14ac:dyDescent="0.2">
      <c r="C364" s="2"/>
      <c r="D364" s="2"/>
    </row>
    <row r="365" spans="3:4" x14ac:dyDescent="0.2">
      <c r="C365" s="2"/>
      <c r="D365" s="2"/>
    </row>
    <row r="366" spans="3:4" x14ac:dyDescent="0.2">
      <c r="C366" s="2"/>
      <c r="D366" s="2"/>
    </row>
    <row r="367" spans="3:4" x14ac:dyDescent="0.2">
      <c r="C367" s="2"/>
      <c r="D367" s="2"/>
    </row>
    <row r="368" spans="3:4" x14ac:dyDescent="0.2">
      <c r="C368" s="2"/>
      <c r="D368" s="2"/>
    </row>
    <row r="369" spans="3:4" x14ac:dyDescent="0.2">
      <c r="C369" s="2"/>
      <c r="D369" s="2"/>
    </row>
    <row r="370" spans="3:4" x14ac:dyDescent="0.2">
      <c r="C370" s="2"/>
      <c r="D370" s="2"/>
    </row>
    <row r="371" spans="3:4" x14ac:dyDescent="0.2">
      <c r="C371" s="2"/>
      <c r="D371" s="2"/>
    </row>
    <row r="372" spans="3:4" x14ac:dyDescent="0.2">
      <c r="C372" s="2"/>
      <c r="D372" s="2"/>
    </row>
    <row r="373" spans="3:4" x14ac:dyDescent="0.2">
      <c r="C373" s="2"/>
      <c r="D373" s="2"/>
    </row>
    <row r="374" spans="3:4" x14ac:dyDescent="0.2">
      <c r="C374" s="2"/>
      <c r="D374" s="2"/>
    </row>
    <row r="375" spans="3:4" x14ac:dyDescent="0.2">
      <c r="C375" s="2"/>
      <c r="D375" s="2"/>
    </row>
  </sheetData>
  <sheetProtection password="CCBE" sheet="1" objects="1" scenarios="1"/>
  <mergeCells count="3">
    <mergeCell ref="B2:D2"/>
    <mergeCell ref="B1:H1"/>
    <mergeCell ref="F2:H2"/>
  </mergeCells>
  <printOptions horizontalCentered="1"/>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rgb="FF00B050"/>
    <pageSetUpPr fitToPage="1"/>
  </sheetPr>
  <dimension ref="A1:B1067"/>
  <sheetViews>
    <sheetView workbookViewId="0"/>
  </sheetViews>
  <sheetFormatPr defaultRowHeight="15" x14ac:dyDescent="0.25"/>
  <cols>
    <col min="1" max="1" width="16.85546875" style="25" customWidth="1"/>
    <col min="2" max="2" width="103.42578125" style="25" customWidth="1"/>
    <col min="3" max="257" width="9.140625" style="25"/>
    <col min="258" max="258" width="103.42578125" style="25" customWidth="1"/>
    <col min="259" max="513" width="9.140625" style="25"/>
    <col min="514" max="514" width="103.42578125" style="25" customWidth="1"/>
    <col min="515" max="769" width="9.140625" style="25"/>
    <col min="770" max="770" width="103.42578125" style="25" customWidth="1"/>
    <col min="771" max="1025" width="9.140625" style="25"/>
    <col min="1026" max="1026" width="103.42578125" style="25" customWidth="1"/>
    <col min="1027" max="1281" width="9.140625" style="25"/>
    <col min="1282" max="1282" width="103.42578125" style="25" customWidth="1"/>
    <col min="1283" max="1537" width="9.140625" style="25"/>
    <col min="1538" max="1538" width="103.42578125" style="25" customWidth="1"/>
    <col min="1539" max="1793" width="9.140625" style="25"/>
    <col min="1794" max="1794" width="103.42578125" style="25" customWidth="1"/>
    <col min="1795" max="2049" width="9.140625" style="25"/>
    <col min="2050" max="2050" width="103.42578125" style="25" customWidth="1"/>
    <col min="2051" max="2305" width="9.140625" style="25"/>
    <col min="2306" max="2306" width="103.42578125" style="25" customWidth="1"/>
    <col min="2307" max="2561" width="9.140625" style="25"/>
    <col min="2562" max="2562" width="103.42578125" style="25" customWidth="1"/>
    <col min="2563" max="2817" width="9.140625" style="25"/>
    <col min="2818" max="2818" width="103.42578125" style="25" customWidth="1"/>
    <col min="2819" max="3073" width="9.140625" style="25"/>
    <col min="3074" max="3074" width="103.42578125" style="25" customWidth="1"/>
    <col min="3075" max="3329" width="9.140625" style="25"/>
    <col min="3330" max="3330" width="103.42578125" style="25" customWidth="1"/>
    <col min="3331" max="3585" width="9.140625" style="25"/>
    <col min="3586" max="3586" width="103.42578125" style="25" customWidth="1"/>
    <col min="3587" max="3841" width="9.140625" style="25"/>
    <col min="3842" max="3842" width="103.42578125" style="25" customWidth="1"/>
    <col min="3843" max="4097" width="9.140625" style="25"/>
    <col min="4098" max="4098" width="103.42578125" style="25" customWidth="1"/>
    <col min="4099" max="4353" width="9.140625" style="25"/>
    <col min="4354" max="4354" width="103.42578125" style="25" customWidth="1"/>
    <col min="4355" max="4609" width="9.140625" style="25"/>
    <col min="4610" max="4610" width="103.42578125" style="25" customWidth="1"/>
    <col min="4611" max="4865" width="9.140625" style="25"/>
    <col min="4866" max="4866" width="103.42578125" style="25" customWidth="1"/>
    <col min="4867" max="5121" width="9.140625" style="25"/>
    <col min="5122" max="5122" width="103.42578125" style="25" customWidth="1"/>
    <col min="5123" max="5377" width="9.140625" style="25"/>
    <col min="5378" max="5378" width="103.42578125" style="25" customWidth="1"/>
    <col min="5379" max="5633" width="9.140625" style="25"/>
    <col min="5634" max="5634" width="103.42578125" style="25" customWidth="1"/>
    <col min="5635" max="5889" width="9.140625" style="25"/>
    <col min="5890" max="5890" width="103.42578125" style="25" customWidth="1"/>
    <col min="5891" max="6145" width="9.140625" style="25"/>
    <col min="6146" max="6146" width="103.42578125" style="25" customWidth="1"/>
    <col min="6147" max="6401" width="9.140625" style="25"/>
    <col min="6402" max="6402" width="103.42578125" style="25" customWidth="1"/>
    <col min="6403" max="6657" width="9.140625" style="25"/>
    <col min="6658" max="6658" width="103.42578125" style="25" customWidth="1"/>
    <col min="6659" max="6913" width="9.140625" style="25"/>
    <col min="6914" max="6914" width="103.42578125" style="25" customWidth="1"/>
    <col min="6915" max="7169" width="9.140625" style="25"/>
    <col min="7170" max="7170" width="103.42578125" style="25" customWidth="1"/>
    <col min="7171" max="7425" width="9.140625" style="25"/>
    <col min="7426" max="7426" width="103.42578125" style="25" customWidth="1"/>
    <col min="7427" max="7681" width="9.140625" style="25"/>
    <col min="7682" max="7682" width="103.42578125" style="25" customWidth="1"/>
    <col min="7683" max="7937" width="9.140625" style="25"/>
    <col min="7938" max="7938" width="103.42578125" style="25" customWidth="1"/>
    <col min="7939" max="8193" width="9.140625" style="25"/>
    <col min="8194" max="8194" width="103.42578125" style="25" customWidth="1"/>
    <col min="8195" max="8449" width="9.140625" style="25"/>
    <col min="8450" max="8450" width="103.42578125" style="25" customWidth="1"/>
    <col min="8451" max="8705" width="9.140625" style="25"/>
    <col min="8706" max="8706" width="103.42578125" style="25" customWidth="1"/>
    <col min="8707" max="8961" width="9.140625" style="25"/>
    <col min="8962" max="8962" width="103.42578125" style="25" customWidth="1"/>
    <col min="8963" max="9217" width="9.140625" style="25"/>
    <col min="9218" max="9218" width="103.42578125" style="25" customWidth="1"/>
    <col min="9219" max="9473" width="9.140625" style="25"/>
    <col min="9474" max="9474" width="103.42578125" style="25" customWidth="1"/>
    <col min="9475" max="9729" width="9.140625" style="25"/>
    <col min="9730" max="9730" width="103.42578125" style="25" customWidth="1"/>
    <col min="9731" max="9985" width="9.140625" style="25"/>
    <col min="9986" max="9986" width="103.42578125" style="25" customWidth="1"/>
    <col min="9987" max="10241" width="9.140625" style="25"/>
    <col min="10242" max="10242" width="103.42578125" style="25" customWidth="1"/>
    <col min="10243" max="10497" width="9.140625" style="25"/>
    <col min="10498" max="10498" width="103.42578125" style="25" customWidth="1"/>
    <col min="10499" max="10753" width="9.140625" style="25"/>
    <col min="10754" max="10754" width="103.42578125" style="25" customWidth="1"/>
    <col min="10755" max="11009" width="9.140625" style="25"/>
    <col min="11010" max="11010" width="103.42578125" style="25" customWidth="1"/>
    <col min="11011" max="11265" width="9.140625" style="25"/>
    <col min="11266" max="11266" width="103.42578125" style="25" customWidth="1"/>
    <col min="11267" max="11521" width="9.140625" style="25"/>
    <col min="11522" max="11522" width="103.42578125" style="25" customWidth="1"/>
    <col min="11523" max="11777" width="9.140625" style="25"/>
    <col min="11778" max="11778" width="103.42578125" style="25" customWidth="1"/>
    <col min="11779" max="12033" width="9.140625" style="25"/>
    <col min="12034" max="12034" width="103.42578125" style="25" customWidth="1"/>
    <col min="12035" max="12289" width="9.140625" style="25"/>
    <col min="12290" max="12290" width="103.42578125" style="25" customWidth="1"/>
    <col min="12291" max="12545" width="9.140625" style="25"/>
    <col min="12546" max="12546" width="103.42578125" style="25" customWidth="1"/>
    <col min="12547" max="12801" width="9.140625" style="25"/>
    <col min="12802" max="12802" width="103.42578125" style="25" customWidth="1"/>
    <col min="12803" max="13057" width="9.140625" style="25"/>
    <col min="13058" max="13058" width="103.42578125" style="25" customWidth="1"/>
    <col min="13059" max="13313" width="9.140625" style="25"/>
    <col min="13314" max="13314" width="103.42578125" style="25" customWidth="1"/>
    <col min="13315" max="13569" width="9.140625" style="25"/>
    <col min="13570" max="13570" width="103.42578125" style="25" customWidth="1"/>
    <col min="13571" max="13825" width="9.140625" style="25"/>
    <col min="13826" max="13826" width="103.42578125" style="25" customWidth="1"/>
    <col min="13827" max="14081" width="9.140625" style="25"/>
    <col min="14082" max="14082" width="103.42578125" style="25" customWidth="1"/>
    <col min="14083" max="14337" width="9.140625" style="25"/>
    <col min="14338" max="14338" width="103.42578125" style="25" customWidth="1"/>
    <col min="14339" max="14593" width="9.140625" style="25"/>
    <col min="14594" max="14594" width="103.42578125" style="25" customWidth="1"/>
    <col min="14595" max="14849" width="9.140625" style="25"/>
    <col min="14850" max="14850" width="103.42578125" style="25" customWidth="1"/>
    <col min="14851" max="15105" width="9.140625" style="25"/>
    <col min="15106" max="15106" width="103.42578125" style="25" customWidth="1"/>
    <col min="15107" max="15361" width="9.140625" style="25"/>
    <col min="15362" max="15362" width="103.42578125" style="25" customWidth="1"/>
    <col min="15363" max="15617" width="9.140625" style="25"/>
    <col min="15618" max="15618" width="103.42578125" style="25" customWidth="1"/>
    <col min="15619" max="15873" width="9.140625" style="25"/>
    <col min="15874" max="15874" width="103.42578125" style="25" customWidth="1"/>
    <col min="15875" max="16129" width="9.140625" style="25"/>
    <col min="16130" max="16130" width="103.42578125" style="25" customWidth="1"/>
    <col min="16131" max="16384" width="9.140625" style="25"/>
  </cols>
  <sheetData>
    <row r="1" spans="1:2" s="191" customFormat="1" ht="38.25" customHeight="1" thickBot="1" x14ac:dyDescent="0.25">
      <c r="A1" s="189" t="s">
        <v>299</v>
      </c>
      <c r="B1" s="190" t="s">
        <v>300</v>
      </c>
    </row>
    <row r="2" spans="1:2" x14ac:dyDescent="0.25">
      <c r="A2" s="192"/>
      <c r="B2" s="192"/>
    </row>
    <row r="3" spans="1:2" x14ac:dyDescent="0.25">
      <c r="A3" s="192">
        <v>111110</v>
      </c>
      <c r="B3" s="192" t="s">
        <v>301</v>
      </c>
    </row>
    <row r="4" spans="1:2" x14ac:dyDescent="0.25">
      <c r="A4" s="192">
        <v>111120</v>
      </c>
      <c r="B4" s="192" t="s">
        <v>302</v>
      </c>
    </row>
    <row r="5" spans="1:2" x14ac:dyDescent="0.25">
      <c r="A5" s="192">
        <v>111130</v>
      </c>
      <c r="B5" s="192" t="s">
        <v>303</v>
      </c>
    </row>
    <row r="6" spans="1:2" x14ac:dyDescent="0.25">
      <c r="A6" s="192">
        <v>111140</v>
      </c>
      <c r="B6" s="192" t="s">
        <v>304</v>
      </c>
    </row>
    <row r="7" spans="1:2" x14ac:dyDescent="0.25">
      <c r="A7" s="192">
        <v>111150</v>
      </c>
      <c r="B7" s="192" t="s">
        <v>305</v>
      </c>
    </row>
    <row r="8" spans="1:2" x14ac:dyDescent="0.25">
      <c r="A8" s="192">
        <v>111160</v>
      </c>
      <c r="B8" s="192" t="s">
        <v>306</v>
      </c>
    </row>
    <row r="9" spans="1:2" x14ac:dyDescent="0.25">
      <c r="A9" s="192">
        <v>111191</v>
      </c>
      <c r="B9" s="192" t="s">
        <v>307</v>
      </c>
    </row>
    <row r="10" spans="1:2" x14ac:dyDescent="0.25">
      <c r="A10" s="192">
        <v>111199</v>
      </c>
      <c r="B10" s="192" t="s">
        <v>308</v>
      </c>
    </row>
    <row r="11" spans="1:2" x14ac:dyDescent="0.25">
      <c r="A11" s="192">
        <v>111211</v>
      </c>
      <c r="B11" s="192" t="s">
        <v>309</v>
      </c>
    </row>
    <row r="12" spans="1:2" x14ac:dyDescent="0.25">
      <c r="A12" s="192">
        <v>111219</v>
      </c>
      <c r="B12" s="192" t="s">
        <v>310</v>
      </c>
    </row>
    <row r="13" spans="1:2" x14ac:dyDescent="0.25">
      <c r="A13" s="192">
        <v>111310</v>
      </c>
      <c r="B13" s="192" t="s">
        <v>311</v>
      </c>
    </row>
    <row r="14" spans="1:2" x14ac:dyDescent="0.25">
      <c r="A14" s="192">
        <v>111320</v>
      </c>
      <c r="B14" s="192" t="s">
        <v>312</v>
      </c>
    </row>
    <row r="15" spans="1:2" x14ac:dyDescent="0.25">
      <c r="A15" s="192">
        <v>111331</v>
      </c>
      <c r="B15" s="192" t="s">
        <v>313</v>
      </c>
    </row>
    <row r="16" spans="1:2" x14ac:dyDescent="0.25">
      <c r="A16" s="192">
        <v>111332</v>
      </c>
      <c r="B16" s="192" t="s">
        <v>314</v>
      </c>
    </row>
    <row r="17" spans="1:2" x14ac:dyDescent="0.25">
      <c r="A17" s="192">
        <v>111333</v>
      </c>
      <c r="B17" s="192" t="s">
        <v>315</v>
      </c>
    </row>
    <row r="18" spans="1:2" x14ac:dyDescent="0.25">
      <c r="A18" s="192">
        <v>111334</v>
      </c>
      <c r="B18" s="192" t="s">
        <v>316</v>
      </c>
    </row>
    <row r="19" spans="1:2" x14ac:dyDescent="0.25">
      <c r="A19" s="192">
        <v>111335</v>
      </c>
      <c r="B19" s="192" t="s">
        <v>317</v>
      </c>
    </row>
    <row r="20" spans="1:2" x14ac:dyDescent="0.25">
      <c r="A20" s="192">
        <v>111336</v>
      </c>
      <c r="B20" s="192" t="s">
        <v>318</v>
      </c>
    </row>
    <row r="21" spans="1:2" x14ac:dyDescent="0.25">
      <c r="A21" s="192">
        <v>111339</v>
      </c>
      <c r="B21" s="192" t="s">
        <v>319</v>
      </c>
    </row>
    <row r="22" spans="1:2" x14ac:dyDescent="0.25">
      <c r="A22" s="192">
        <v>111411</v>
      </c>
      <c r="B22" s="192" t="s">
        <v>320</v>
      </c>
    </row>
    <row r="23" spans="1:2" x14ac:dyDescent="0.25">
      <c r="A23" s="192">
        <v>111419</v>
      </c>
      <c r="B23" s="192" t="s">
        <v>321</v>
      </c>
    </row>
    <row r="24" spans="1:2" x14ac:dyDescent="0.25">
      <c r="A24" s="192">
        <v>111421</v>
      </c>
      <c r="B24" s="192" t="s">
        <v>322</v>
      </c>
    </row>
    <row r="25" spans="1:2" x14ac:dyDescent="0.25">
      <c r="A25" s="192">
        <v>111422</v>
      </c>
      <c r="B25" s="192" t="s">
        <v>323</v>
      </c>
    </row>
    <row r="26" spans="1:2" x14ac:dyDescent="0.25">
      <c r="A26" s="192">
        <v>111910</v>
      </c>
      <c r="B26" s="192" t="s">
        <v>324</v>
      </c>
    </row>
    <row r="27" spans="1:2" x14ac:dyDescent="0.25">
      <c r="A27" s="192">
        <v>111920</v>
      </c>
      <c r="B27" s="192" t="s">
        <v>325</v>
      </c>
    </row>
    <row r="28" spans="1:2" x14ac:dyDescent="0.25">
      <c r="A28" s="192">
        <v>111930</v>
      </c>
      <c r="B28" s="192" t="s">
        <v>326</v>
      </c>
    </row>
    <row r="29" spans="1:2" x14ac:dyDescent="0.25">
      <c r="A29" s="192">
        <v>111940</v>
      </c>
      <c r="B29" s="192" t="s">
        <v>327</v>
      </c>
    </row>
    <row r="30" spans="1:2" x14ac:dyDescent="0.25">
      <c r="A30" s="192">
        <v>111991</v>
      </c>
      <c r="B30" s="192" t="s">
        <v>328</v>
      </c>
    </row>
    <row r="31" spans="1:2" x14ac:dyDescent="0.25">
      <c r="A31" s="192">
        <v>111992</v>
      </c>
      <c r="B31" s="192" t="s">
        <v>329</v>
      </c>
    </row>
    <row r="32" spans="1:2" x14ac:dyDescent="0.25">
      <c r="A32" s="192">
        <v>111998</v>
      </c>
      <c r="B32" s="192" t="s">
        <v>330</v>
      </c>
    </row>
    <row r="33" spans="1:2" x14ac:dyDescent="0.25">
      <c r="A33" s="192">
        <v>112111</v>
      </c>
      <c r="B33" s="192" t="s">
        <v>331</v>
      </c>
    </row>
    <row r="34" spans="1:2" x14ac:dyDescent="0.25">
      <c r="A34" s="192">
        <v>112112</v>
      </c>
      <c r="B34" s="192" t="s">
        <v>332</v>
      </c>
    </row>
    <row r="35" spans="1:2" x14ac:dyDescent="0.25">
      <c r="A35" s="192">
        <v>112120</v>
      </c>
      <c r="B35" s="192" t="s">
        <v>333</v>
      </c>
    </row>
    <row r="36" spans="1:2" x14ac:dyDescent="0.25">
      <c r="A36" s="192">
        <v>112130</v>
      </c>
      <c r="B36" s="192" t="s">
        <v>334</v>
      </c>
    </row>
    <row r="37" spans="1:2" x14ac:dyDescent="0.25">
      <c r="A37" s="192">
        <v>112210</v>
      </c>
      <c r="B37" s="192" t="s">
        <v>335</v>
      </c>
    </row>
    <row r="38" spans="1:2" x14ac:dyDescent="0.25">
      <c r="A38" s="192">
        <v>112310</v>
      </c>
      <c r="B38" s="192" t="s">
        <v>336</v>
      </c>
    </row>
    <row r="39" spans="1:2" x14ac:dyDescent="0.25">
      <c r="A39" s="192">
        <v>112320</v>
      </c>
      <c r="B39" s="192" t="s">
        <v>337</v>
      </c>
    </row>
    <row r="40" spans="1:2" x14ac:dyDescent="0.25">
      <c r="A40" s="192">
        <v>112330</v>
      </c>
      <c r="B40" s="192" t="s">
        <v>338</v>
      </c>
    </row>
    <row r="41" spans="1:2" x14ac:dyDescent="0.25">
      <c r="A41" s="192">
        <v>112340</v>
      </c>
      <c r="B41" s="192" t="s">
        <v>339</v>
      </c>
    </row>
    <row r="42" spans="1:2" x14ac:dyDescent="0.25">
      <c r="A42" s="192">
        <v>112390</v>
      </c>
      <c r="B42" s="192" t="s">
        <v>340</v>
      </c>
    </row>
    <row r="43" spans="1:2" x14ac:dyDescent="0.25">
      <c r="A43" s="192">
        <v>112410</v>
      </c>
      <c r="B43" s="192" t="s">
        <v>341</v>
      </c>
    </row>
    <row r="44" spans="1:2" x14ac:dyDescent="0.25">
      <c r="A44" s="192">
        <v>112420</v>
      </c>
      <c r="B44" s="192" t="s">
        <v>342</v>
      </c>
    </row>
    <row r="45" spans="1:2" x14ac:dyDescent="0.25">
      <c r="A45" s="192">
        <v>112511</v>
      </c>
      <c r="B45" s="192" t="s">
        <v>343</v>
      </c>
    </row>
    <row r="46" spans="1:2" x14ac:dyDescent="0.25">
      <c r="A46" s="192">
        <v>112512</v>
      </c>
      <c r="B46" s="192" t="s">
        <v>344</v>
      </c>
    </row>
    <row r="47" spans="1:2" x14ac:dyDescent="0.25">
      <c r="A47" s="192">
        <v>112519</v>
      </c>
      <c r="B47" s="192" t="s">
        <v>345</v>
      </c>
    </row>
    <row r="48" spans="1:2" x14ac:dyDescent="0.25">
      <c r="A48" s="192">
        <v>112910</v>
      </c>
      <c r="B48" s="192" t="s">
        <v>346</v>
      </c>
    </row>
    <row r="49" spans="1:2" x14ac:dyDescent="0.25">
      <c r="A49" s="192">
        <v>112920</v>
      </c>
      <c r="B49" s="192" t="s">
        <v>347</v>
      </c>
    </row>
    <row r="50" spans="1:2" x14ac:dyDescent="0.25">
      <c r="A50" s="192">
        <v>112930</v>
      </c>
      <c r="B50" s="192" t="s">
        <v>348</v>
      </c>
    </row>
    <row r="51" spans="1:2" x14ac:dyDescent="0.25">
      <c r="A51" s="192">
        <v>112990</v>
      </c>
      <c r="B51" s="192" t="s">
        <v>349</v>
      </c>
    </row>
    <row r="52" spans="1:2" x14ac:dyDescent="0.25">
      <c r="A52" s="192">
        <v>113110</v>
      </c>
      <c r="B52" s="192" t="s">
        <v>350</v>
      </c>
    </row>
    <row r="53" spans="1:2" x14ac:dyDescent="0.25">
      <c r="A53" s="192">
        <v>113210</v>
      </c>
      <c r="B53" s="192" t="s">
        <v>351</v>
      </c>
    </row>
    <row r="54" spans="1:2" x14ac:dyDescent="0.25">
      <c r="A54" s="192">
        <v>113310</v>
      </c>
      <c r="B54" s="192" t="s">
        <v>352</v>
      </c>
    </row>
    <row r="55" spans="1:2" x14ac:dyDescent="0.25">
      <c r="A55" s="192">
        <v>114111</v>
      </c>
      <c r="B55" s="192" t="s">
        <v>353</v>
      </c>
    </row>
    <row r="56" spans="1:2" x14ac:dyDescent="0.25">
      <c r="A56" s="192">
        <v>114112</v>
      </c>
      <c r="B56" s="192" t="s">
        <v>354</v>
      </c>
    </row>
    <row r="57" spans="1:2" x14ac:dyDescent="0.25">
      <c r="A57" s="192">
        <v>114119</v>
      </c>
      <c r="B57" s="192" t="s">
        <v>355</v>
      </c>
    </row>
    <row r="58" spans="1:2" x14ac:dyDescent="0.25">
      <c r="A58" s="192">
        <v>114210</v>
      </c>
      <c r="B58" s="192" t="s">
        <v>356</v>
      </c>
    </row>
    <row r="59" spans="1:2" x14ac:dyDescent="0.25">
      <c r="A59" s="192">
        <v>115111</v>
      </c>
      <c r="B59" s="192" t="s">
        <v>357</v>
      </c>
    </row>
    <row r="60" spans="1:2" x14ac:dyDescent="0.25">
      <c r="A60" s="192">
        <v>115112</v>
      </c>
      <c r="B60" s="192" t="s">
        <v>358</v>
      </c>
    </row>
    <row r="61" spans="1:2" x14ac:dyDescent="0.25">
      <c r="A61" s="192">
        <v>115113</v>
      </c>
      <c r="B61" s="192" t="s">
        <v>359</v>
      </c>
    </row>
    <row r="62" spans="1:2" x14ac:dyDescent="0.25">
      <c r="A62" s="192">
        <v>115114</v>
      </c>
      <c r="B62" s="192" t="s">
        <v>360</v>
      </c>
    </row>
    <row r="63" spans="1:2" x14ac:dyDescent="0.25">
      <c r="A63" s="192">
        <v>115115</v>
      </c>
      <c r="B63" s="192" t="s">
        <v>361</v>
      </c>
    </row>
    <row r="64" spans="1:2" x14ac:dyDescent="0.25">
      <c r="A64" s="192">
        <v>115116</v>
      </c>
      <c r="B64" s="192" t="s">
        <v>362</v>
      </c>
    </row>
    <row r="65" spans="1:2" x14ac:dyDescent="0.25">
      <c r="A65" s="192">
        <v>115210</v>
      </c>
      <c r="B65" s="192" t="s">
        <v>363</v>
      </c>
    </row>
    <row r="66" spans="1:2" x14ac:dyDescent="0.25">
      <c r="A66" s="192">
        <v>115310</v>
      </c>
      <c r="B66" s="192" t="s">
        <v>364</v>
      </c>
    </row>
    <row r="67" spans="1:2" x14ac:dyDescent="0.25">
      <c r="A67" s="192">
        <v>211111</v>
      </c>
      <c r="B67" s="192" t="s">
        <v>365</v>
      </c>
    </row>
    <row r="68" spans="1:2" x14ac:dyDescent="0.25">
      <c r="A68" s="192">
        <v>211112</v>
      </c>
      <c r="B68" s="192" t="s">
        <v>366</v>
      </c>
    </row>
    <row r="69" spans="1:2" x14ac:dyDescent="0.25">
      <c r="A69" s="192">
        <v>212111</v>
      </c>
      <c r="B69" s="192" t="s">
        <v>367</v>
      </c>
    </row>
    <row r="70" spans="1:2" x14ac:dyDescent="0.25">
      <c r="A70" s="192">
        <v>212112</v>
      </c>
      <c r="B70" s="192" t="s">
        <v>368</v>
      </c>
    </row>
    <row r="71" spans="1:2" x14ac:dyDescent="0.25">
      <c r="A71" s="192">
        <v>212113</v>
      </c>
      <c r="B71" s="192" t="s">
        <v>369</v>
      </c>
    </row>
    <row r="72" spans="1:2" x14ac:dyDescent="0.25">
      <c r="A72" s="192">
        <v>212210</v>
      </c>
      <c r="B72" s="192" t="s">
        <v>370</v>
      </c>
    </row>
    <row r="73" spans="1:2" x14ac:dyDescent="0.25">
      <c r="A73" s="192">
        <v>212221</v>
      </c>
      <c r="B73" s="192" t="s">
        <v>371</v>
      </c>
    </row>
    <row r="74" spans="1:2" x14ac:dyDescent="0.25">
      <c r="A74" s="192">
        <v>212222</v>
      </c>
      <c r="B74" s="192" t="s">
        <v>372</v>
      </c>
    </row>
    <row r="75" spans="1:2" x14ac:dyDescent="0.25">
      <c r="A75" s="192">
        <v>212231</v>
      </c>
      <c r="B75" s="192" t="s">
        <v>373</v>
      </c>
    </row>
    <row r="76" spans="1:2" x14ac:dyDescent="0.25">
      <c r="A76" s="192">
        <v>212234</v>
      </c>
      <c r="B76" s="192" t="s">
        <v>374</v>
      </c>
    </row>
    <row r="77" spans="1:2" x14ac:dyDescent="0.25">
      <c r="A77" s="192">
        <v>212291</v>
      </c>
      <c r="B77" s="192" t="s">
        <v>375</v>
      </c>
    </row>
    <row r="78" spans="1:2" x14ac:dyDescent="0.25">
      <c r="A78" s="192">
        <v>212299</v>
      </c>
      <c r="B78" s="192" t="s">
        <v>376</v>
      </c>
    </row>
    <row r="79" spans="1:2" x14ac:dyDescent="0.25">
      <c r="A79" s="192">
        <v>212311</v>
      </c>
      <c r="B79" s="192" t="s">
        <v>377</v>
      </c>
    </row>
    <row r="80" spans="1:2" x14ac:dyDescent="0.25">
      <c r="A80" s="192">
        <v>212312</v>
      </c>
      <c r="B80" s="192" t="s">
        <v>378</v>
      </c>
    </row>
    <row r="81" spans="1:2" x14ac:dyDescent="0.25">
      <c r="A81" s="192">
        <v>212313</v>
      </c>
      <c r="B81" s="192" t="s">
        <v>379</v>
      </c>
    </row>
    <row r="82" spans="1:2" x14ac:dyDescent="0.25">
      <c r="A82" s="192">
        <v>212319</v>
      </c>
      <c r="B82" s="192" t="s">
        <v>380</v>
      </c>
    </row>
    <row r="83" spans="1:2" x14ac:dyDescent="0.25">
      <c r="A83" s="192">
        <v>212321</v>
      </c>
      <c r="B83" s="192" t="s">
        <v>381</v>
      </c>
    </row>
    <row r="84" spans="1:2" x14ac:dyDescent="0.25">
      <c r="A84" s="192">
        <v>212322</v>
      </c>
      <c r="B84" s="192" t="s">
        <v>382</v>
      </c>
    </row>
    <row r="85" spans="1:2" x14ac:dyDescent="0.25">
      <c r="A85" s="192">
        <v>212324</v>
      </c>
      <c r="B85" s="192" t="s">
        <v>383</v>
      </c>
    </row>
    <row r="86" spans="1:2" x14ac:dyDescent="0.25">
      <c r="A86" s="192">
        <v>212325</v>
      </c>
      <c r="B86" s="192" t="s">
        <v>384</v>
      </c>
    </row>
    <row r="87" spans="1:2" x14ac:dyDescent="0.25">
      <c r="A87" s="192">
        <v>212391</v>
      </c>
      <c r="B87" s="192" t="s">
        <v>385</v>
      </c>
    </row>
    <row r="88" spans="1:2" x14ac:dyDescent="0.25">
      <c r="A88" s="192">
        <v>212392</v>
      </c>
      <c r="B88" s="192" t="s">
        <v>386</v>
      </c>
    </row>
    <row r="89" spans="1:2" x14ac:dyDescent="0.25">
      <c r="A89" s="192">
        <v>212393</v>
      </c>
      <c r="B89" s="192" t="s">
        <v>387</v>
      </c>
    </row>
    <row r="90" spans="1:2" x14ac:dyDescent="0.25">
      <c r="A90" s="192">
        <v>212399</v>
      </c>
      <c r="B90" s="192" t="s">
        <v>388</v>
      </c>
    </row>
    <row r="91" spans="1:2" x14ac:dyDescent="0.25">
      <c r="A91" s="192">
        <v>213111</v>
      </c>
      <c r="B91" s="192" t="s">
        <v>389</v>
      </c>
    </row>
    <row r="92" spans="1:2" x14ac:dyDescent="0.25">
      <c r="A92" s="192">
        <v>213112</v>
      </c>
      <c r="B92" s="192" t="s">
        <v>390</v>
      </c>
    </row>
    <row r="93" spans="1:2" x14ac:dyDescent="0.25">
      <c r="A93" s="192">
        <v>213113</v>
      </c>
      <c r="B93" s="192" t="s">
        <v>391</v>
      </c>
    </row>
    <row r="94" spans="1:2" x14ac:dyDescent="0.25">
      <c r="A94" s="192">
        <v>213114</v>
      </c>
      <c r="B94" s="192" t="s">
        <v>392</v>
      </c>
    </row>
    <row r="95" spans="1:2" x14ac:dyDescent="0.25">
      <c r="A95" s="192">
        <v>213115</v>
      </c>
      <c r="B95" s="192" t="s">
        <v>393</v>
      </c>
    </row>
    <row r="96" spans="1:2" x14ac:dyDescent="0.25">
      <c r="A96" s="192">
        <v>221111</v>
      </c>
      <c r="B96" s="192" t="s">
        <v>394</v>
      </c>
    </row>
    <row r="97" spans="1:2" x14ac:dyDescent="0.25">
      <c r="A97" s="192">
        <v>221112</v>
      </c>
      <c r="B97" s="192" t="s">
        <v>395</v>
      </c>
    </row>
    <row r="98" spans="1:2" x14ac:dyDescent="0.25">
      <c r="A98" s="192">
        <v>221113</v>
      </c>
      <c r="B98" s="192" t="s">
        <v>396</v>
      </c>
    </row>
    <row r="99" spans="1:2" x14ac:dyDescent="0.25">
      <c r="A99" s="192">
        <v>221114</v>
      </c>
      <c r="B99" s="192" t="s">
        <v>397</v>
      </c>
    </row>
    <row r="100" spans="1:2" x14ac:dyDescent="0.25">
      <c r="A100" s="192">
        <v>221115</v>
      </c>
      <c r="B100" s="192" t="s">
        <v>398</v>
      </c>
    </row>
    <row r="101" spans="1:2" x14ac:dyDescent="0.25">
      <c r="A101" s="192">
        <v>221116</v>
      </c>
      <c r="B101" s="192" t="s">
        <v>399</v>
      </c>
    </row>
    <row r="102" spans="1:2" x14ac:dyDescent="0.25">
      <c r="A102" s="192">
        <v>221117</v>
      </c>
      <c r="B102" s="192" t="s">
        <v>400</v>
      </c>
    </row>
    <row r="103" spans="1:2" x14ac:dyDescent="0.25">
      <c r="A103" s="192">
        <v>221118</v>
      </c>
      <c r="B103" s="192" t="s">
        <v>401</v>
      </c>
    </row>
    <row r="104" spans="1:2" x14ac:dyDescent="0.25">
      <c r="A104" s="192">
        <v>221121</v>
      </c>
      <c r="B104" s="192" t="s">
        <v>402</v>
      </c>
    </row>
    <row r="105" spans="1:2" x14ac:dyDescent="0.25">
      <c r="A105" s="192">
        <v>221122</v>
      </c>
      <c r="B105" s="192" t="s">
        <v>403</v>
      </c>
    </row>
    <row r="106" spans="1:2" x14ac:dyDescent="0.25">
      <c r="A106" s="192">
        <v>221210</v>
      </c>
      <c r="B106" s="192" t="s">
        <v>404</v>
      </c>
    </row>
    <row r="107" spans="1:2" x14ac:dyDescent="0.25">
      <c r="A107" s="192">
        <v>221310</v>
      </c>
      <c r="B107" s="192" t="s">
        <v>405</v>
      </c>
    </row>
    <row r="108" spans="1:2" x14ac:dyDescent="0.25">
      <c r="A108" s="192">
        <v>221320</v>
      </c>
      <c r="B108" s="192" t="s">
        <v>406</v>
      </c>
    </row>
    <row r="109" spans="1:2" x14ac:dyDescent="0.25">
      <c r="A109" s="192">
        <v>221330</v>
      </c>
      <c r="B109" s="192" t="s">
        <v>407</v>
      </c>
    </row>
    <row r="110" spans="1:2" x14ac:dyDescent="0.25">
      <c r="A110" s="192">
        <v>236115</v>
      </c>
      <c r="B110" s="192" t="s">
        <v>408</v>
      </c>
    </row>
    <row r="111" spans="1:2" x14ac:dyDescent="0.25">
      <c r="A111" s="192">
        <v>236116</v>
      </c>
      <c r="B111" s="192" t="s">
        <v>409</v>
      </c>
    </row>
    <row r="112" spans="1:2" x14ac:dyDescent="0.25">
      <c r="A112" s="192">
        <v>236117</v>
      </c>
      <c r="B112" s="192" t="s">
        <v>410</v>
      </c>
    </row>
    <row r="113" spans="1:2" x14ac:dyDescent="0.25">
      <c r="A113" s="192">
        <v>236118</v>
      </c>
      <c r="B113" s="192" t="s">
        <v>411</v>
      </c>
    </row>
    <row r="114" spans="1:2" x14ac:dyDescent="0.25">
      <c r="A114" s="192">
        <v>236210</v>
      </c>
      <c r="B114" s="192" t="s">
        <v>412</v>
      </c>
    </row>
    <row r="115" spans="1:2" x14ac:dyDescent="0.25">
      <c r="A115" s="192">
        <v>236220</v>
      </c>
      <c r="B115" s="192" t="s">
        <v>413</v>
      </c>
    </row>
    <row r="116" spans="1:2" x14ac:dyDescent="0.25">
      <c r="A116" s="192">
        <v>237110</v>
      </c>
      <c r="B116" s="192" t="s">
        <v>414</v>
      </c>
    </row>
    <row r="117" spans="1:2" x14ac:dyDescent="0.25">
      <c r="A117" s="192">
        <v>237120</v>
      </c>
      <c r="B117" s="192" t="s">
        <v>415</v>
      </c>
    </row>
    <row r="118" spans="1:2" x14ac:dyDescent="0.25">
      <c r="A118" s="192">
        <v>237130</v>
      </c>
      <c r="B118" s="192" t="s">
        <v>416</v>
      </c>
    </row>
    <row r="119" spans="1:2" x14ac:dyDescent="0.25">
      <c r="A119" s="192">
        <v>237210</v>
      </c>
      <c r="B119" s="192" t="s">
        <v>417</v>
      </c>
    </row>
    <row r="120" spans="1:2" x14ac:dyDescent="0.25">
      <c r="A120" s="192">
        <v>237310</v>
      </c>
      <c r="B120" s="192" t="s">
        <v>418</v>
      </c>
    </row>
    <row r="121" spans="1:2" x14ac:dyDescent="0.25">
      <c r="A121" s="192">
        <v>237990</v>
      </c>
      <c r="B121" s="192" t="s">
        <v>419</v>
      </c>
    </row>
    <row r="122" spans="1:2" x14ac:dyDescent="0.25">
      <c r="A122" s="192">
        <v>238110</v>
      </c>
      <c r="B122" s="192" t="s">
        <v>420</v>
      </c>
    </row>
    <row r="123" spans="1:2" x14ac:dyDescent="0.25">
      <c r="A123" s="192">
        <v>238120</v>
      </c>
      <c r="B123" s="192" t="s">
        <v>421</v>
      </c>
    </row>
    <row r="124" spans="1:2" x14ac:dyDescent="0.25">
      <c r="A124" s="192">
        <v>238130</v>
      </c>
      <c r="B124" s="192" t="s">
        <v>422</v>
      </c>
    </row>
    <row r="125" spans="1:2" x14ac:dyDescent="0.25">
      <c r="A125" s="192">
        <v>238140</v>
      </c>
      <c r="B125" s="192" t="s">
        <v>423</v>
      </c>
    </row>
    <row r="126" spans="1:2" x14ac:dyDescent="0.25">
      <c r="A126" s="192">
        <v>238150</v>
      </c>
      <c r="B126" s="192" t="s">
        <v>424</v>
      </c>
    </row>
    <row r="127" spans="1:2" x14ac:dyDescent="0.25">
      <c r="A127" s="192">
        <v>238160</v>
      </c>
      <c r="B127" s="192" t="s">
        <v>425</v>
      </c>
    </row>
    <row r="128" spans="1:2" x14ac:dyDescent="0.25">
      <c r="A128" s="192">
        <v>238170</v>
      </c>
      <c r="B128" s="192" t="s">
        <v>426</v>
      </c>
    </row>
    <row r="129" spans="1:2" x14ac:dyDescent="0.25">
      <c r="A129" s="192">
        <v>238190</v>
      </c>
      <c r="B129" s="192" t="s">
        <v>427</v>
      </c>
    </row>
    <row r="130" spans="1:2" x14ac:dyDescent="0.25">
      <c r="A130" s="192">
        <v>238210</v>
      </c>
      <c r="B130" s="192" t="s">
        <v>428</v>
      </c>
    </row>
    <row r="131" spans="1:2" x14ac:dyDescent="0.25">
      <c r="A131" s="192">
        <v>238220</v>
      </c>
      <c r="B131" s="192" t="s">
        <v>429</v>
      </c>
    </row>
    <row r="132" spans="1:2" x14ac:dyDescent="0.25">
      <c r="A132" s="192">
        <v>238290</v>
      </c>
      <c r="B132" s="192" t="s">
        <v>430</v>
      </c>
    </row>
    <row r="133" spans="1:2" x14ac:dyDescent="0.25">
      <c r="A133" s="192">
        <v>238310</v>
      </c>
      <c r="B133" s="192" t="s">
        <v>431</v>
      </c>
    </row>
    <row r="134" spans="1:2" x14ac:dyDescent="0.25">
      <c r="A134" s="192">
        <v>238320</v>
      </c>
      <c r="B134" s="192" t="s">
        <v>432</v>
      </c>
    </row>
    <row r="135" spans="1:2" x14ac:dyDescent="0.25">
      <c r="A135" s="192">
        <v>238330</v>
      </c>
      <c r="B135" s="192" t="s">
        <v>433</v>
      </c>
    </row>
    <row r="136" spans="1:2" x14ac:dyDescent="0.25">
      <c r="A136" s="192">
        <v>238340</v>
      </c>
      <c r="B136" s="192" t="s">
        <v>434</v>
      </c>
    </row>
    <row r="137" spans="1:2" x14ac:dyDescent="0.25">
      <c r="A137" s="192">
        <v>238350</v>
      </c>
      <c r="B137" s="192" t="s">
        <v>435</v>
      </c>
    </row>
    <row r="138" spans="1:2" x14ac:dyDescent="0.25">
      <c r="A138" s="192">
        <v>238390</v>
      </c>
      <c r="B138" s="192" t="s">
        <v>436</v>
      </c>
    </row>
    <row r="139" spans="1:2" x14ac:dyDescent="0.25">
      <c r="A139" s="192">
        <v>238910</v>
      </c>
      <c r="B139" s="192" t="s">
        <v>437</v>
      </c>
    </row>
    <row r="140" spans="1:2" x14ac:dyDescent="0.25">
      <c r="A140" s="192">
        <v>238990</v>
      </c>
      <c r="B140" s="192" t="s">
        <v>438</v>
      </c>
    </row>
    <row r="141" spans="1:2" x14ac:dyDescent="0.25">
      <c r="A141" s="192">
        <v>311111</v>
      </c>
      <c r="B141" s="192" t="s">
        <v>439</v>
      </c>
    </row>
    <row r="142" spans="1:2" x14ac:dyDescent="0.25">
      <c r="A142" s="192">
        <v>311119</v>
      </c>
      <c r="B142" s="192" t="s">
        <v>440</v>
      </c>
    </row>
    <row r="143" spans="1:2" x14ac:dyDescent="0.25">
      <c r="A143" s="192">
        <v>311211</v>
      </c>
      <c r="B143" s="192" t="s">
        <v>441</v>
      </c>
    </row>
    <row r="144" spans="1:2" x14ac:dyDescent="0.25">
      <c r="A144" s="192">
        <v>311212</v>
      </c>
      <c r="B144" s="192" t="s">
        <v>442</v>
      </c>
    </row>
    <row r="145" spans="1:2" x14ac:dyDescent="0.25">
      <c r="A145" s="192">
        <v>311213</v>
      </c>
      <c r="B145" s="192" t="s">
        <v>443</v>
      </c>
    </row>
    <row r="146" spans="1:2" x14ac:dyDescent="0.25">
      <c r="A146" s="192">
        <v>311221</v>
      </c>
      <c r="B146" s="192" t="s">
        <v>444</v>
      </c>
    </row>
    <row r="147" spans="1:2" x14ac:dyDescent="0.25">
      <c r="A147" s="192">
        <v>311224</v>
      </c>
      <c r="B147" s="192" t="s">
        <v>445</v>
      </c>
    </row>
    <row r="148" spans="1:2" x14ac:dyDescent="0.25">
      <c r="A148" s="192">
        <v>311225</v>
      </c>
      <c r="B148" s="192" t="s">
        <v>446</v>
      </c>
    </row>
    <row r="149" spans="1:2" x14ac:dyDescent="0.25">
      <c r="A149" s="192">
        <v>311230</v>
      </c>
      <c r="B149" s="192" t="s">
        <v>447</v>
      </c>
    </row>
    <row r="150" spans="1:2" x14ac:dyDescent="0.25">
      <c r="A150" s="192">
        <v>311313</v>
      </c>
      <c r="B150" s="192" t="s">
        <v>448</v>
      </c>
    </row>
    <row r="151" spans="1:2" x14ac:dyDescent="0.25">
      <c r="A151" s="192">
        <v>311314</v>
      </c>
      <c r="B151" s="192" t="s">
        <v>449</v>
      </c>
    </row>
    <row r="152" spans="1:2" x14ac:dyDescent="0.25">
      <c r="A152" s="192">
        <v>311340</v>
      </c>
      <c r="B152" s="192" t="s">
        <v>450</v>
      </c>
    </row>
    <row r="153" spans="1:2" x14ac:dyDescent="0.25">
      <c r="A153" s="192">
        <v>311351</v>
      </c>
      <c r="B153" s="192" t="s">
        <v>451</v>
      </c>
    </row>
    <row r="154" spans="1:2" x14ac:dyDescent="0.25">
      <c r="A154" s="192">
        <v>311352</v>
      </c>
      <c r="B154" s="192" t="s">
        <v>452</v>
      </c>
    </row>
    <row r="155" spans="1:2" x14ac:dyDescent="0.25">
      <c r="A155" s="192">
        <v>311411</v>
      </c>
      <c r="B155" s="192" t="s">
        <v>453</v>
      </c>
    </row>
    <row r="156" spans="1:2" x14ac:dyDescent="0.25">
      <c r="A156" s="192">
        <v>311412</v>
      </c>
      <c r="B156" s="192" t="s">
        <v>454</v>
      </c>
    </row>
    <row r="157" spans="1:2" x14ac:dyDescent="0.25">
      <c r="A157" s="192">
        <v>311421</v>
      </c>
      <c r="B157" s="192" t="s">
        <v>455</v>
      </c>
    </row>
    <row r="158" spans="1:2" x14ac:dyDescent="0.25">
      <c r="A158" s="192">
        <v>311422</v>
      </c>
      <c r="B158" s="192" t="s">
        <v>456</v>
      </c>
    </row>
    <row r="159" spans="1:2" x14ac:dyDescent="0.25">
      <c r="A159" s="192">
        <v>311423</v>
      </c>
      <c r="B159" s="192" t="s">
        <v>457</v>
      </c>
    </row>
    <row r="160" spans="1:2" x14ac:dyDescent="0.25">
      <c r="A160" s="192">
        <v>311511</v>
      </c>
      <c r="B160" s="192" t="s">
        <v>458</v>
      </c>
    </row>
    <row r="161" spans="1:2" x14ac:dyDescent="0.25">
      <c r="A161" s="192">
        <v>311512</v>
      </c>
      <c r="B161" s="192" t="s">
        <v>459</v>
      </c>
    </row>
    <row r="162" spans="1:2" x14ac:dyDescent="0.25">
      <c r="A162" s="192">
        <v>311513</v>
      </c>
      <c r="B162" s="192" t="s">
        <v>460</v>
      </c>
    </row>
    <row r="163" spans="1:2" x14ac:dyDescent="0.25">
      <c r="A163" s="192">
        <v>311514</v>
      </c>
      <c r="B163" s="192" t="s">
        <v>461</v>
      </c>
    </row>
    <row r="164" spans="1:2" x14ac:dyDescent="0.25">
      <c r="A164" s="192">
        <v>311520</v>
      </c>
      <c r="B164" s="192" t="s">
        <v>462</v>
      </c>
    </row>
    <row r="165" spans="1:2" x14ac:dyDescent="0.25">
      <c r="A165" s="192">
        <v>311611</v>
      </c>
      <c r="B165" s="192" t="s">
        <v>463</v>
      </c>
    </row>
    <row r="166" spans="1:2" x14ac:dyDescent="0.25">
      <c r="A166" s="192">
        <v>311612</v>
      </c>
      <c r="B166" s="192" t="s">
        <v>464</v>
      </c>
    </row>
    <row r="167" spans="1:2" x14ac:dyDescent="0.25">
      <c r="A167" s="192">
        <v>311613</v>
      </c>
      <c r="B167" s="192" t="s">
        <v>465</v>
      </c>
    </row>
    <row r="168" spans="1:2" x14ac:dyDescent="0.25">
      <c r="A168" s="192">
        <v>311615</v>
      </c>
      <c r="B168" s="192" t="s">
        <v>466</v>
      </c>
    </row>
    <row r="169" spans="1:2" x14ac:dyDescent="0.25">
      <c r="A169" s="192">
        <v>311710</v>
      </c>
      <c r="B169" s="192" t="s">
        <v>467</v>
      </c>
    </row>
    <row r="170" spans="1:2" x14ac:dyDescent="0.25">
      <c r="A170" s="192">
        <v>311811</v>
      </c>
      <c r="B170" s="192" t="s">
        <v>468</v>
      </c>
    </row>
    <row r="171" spans="1:2" x14ac:dyDescent="0.25">
      <c r="A171" s="192">
        <v>311812</v>
      </c>
      <c r="B171" s="192" t="s">
        <v>469</v>
      </c>
    </row>
    <row r="172" spans="1:2" x14ac:dyDescent="0.25">
      <c r="A172" s="192">
        <v>311813</v>
      </c>
      <c r="B172" s="192" t="s">
        <v>470</v>
      </c>
    </row>
    <row r="173" spans="1:2" x14ac:dyDescent="0.25">
      <c r="A173" s="192">
        <v>311821</v>
      </c>
      <c r="B173" s="192" t="s">
        <v>471</v>
      </c>
    </row>
    <row r="174" spans="1:2" x14ac:dyDescent="0.25">
      <c r="A174" s="192">
        <v>311824</v>
      </c>
      <c r="B174" s="192" t="s">
        <v>472</v>
      </c>
    </row>
    <row r="175" spans="1:2" x14ac:dyDescent="0.25">
      <c r="A175" s="192">
        <v>311830</v>
      </c>
      <c r="B175" s="192" t="s">
        <v>473</v>
      </c>
    </row>
    <row r="176" spans="1:2" x14ac:dyDescent="0.25">
      <c r="A176" s="192">
        <v>311911</v>
      </c>
      <c r="B176" s="192" t="s">
        <v>474</v>
      </c>
    </row>
    <row r="177" spans="1:2" x14ac:dyDescent="0.25">
      <c r="A177" s="192">
        <v>311919</v>
      </c>
      <c r="B177" s="192" t="s">
        <v>475</v>
      </c>
    </row>
    <row r="178" spans="1:2" x14ac:dyDescent="0.25">
      <c r="A178" s="192">
        <v>311920</v>
      </c>
      <c r="B178" s="192" t="s">
        <v>476</v>
      </c>
    </row>
    <row r="179" spans="1:2" x14ac:dyDescent="0.25">
      <c r="A179" s="192">
        <v>311930</v>
      </c>
      <c r="B179" s="192" t="s">
        <v>477</v>
      </c>
    </row>
    <row r="180" spans="1:2" x14ac:dyDescent="0.25">
      <c r="A180" s="192">
        <v>311941</v>
      </c>
      <c r="B180" s="192" t="s">
        <v>478</v>
      </c>
    </row>
    <row r="181" spans="1:2" x14ac:dyDescent="0.25">
      <c r="A181" s="192">
        <v>311942</v>
      </c>
      <c r="B181" s="192" t="s">
        <v>479</v>
      </c>
    </row>
    <row r="182" spans="1:2" x14ac:dyDescent="0.25">
      <c r="A182" s="192">
        <v>311991</v>
      </c>
      <c r="B182" s="192" t="s">
        <v>480</v>
      </c>
    </row>
    <row r="183" spans="1:2" x14ac:dyDescent="0.25">
      <c r="A183" s="192">
        <v>311999</v>
      </c>
      <c r="B183" s="192" t="s">
        <v>481</v>
      </c>
    </row>
    <row r="184" spans="1:2" x14ac:dyDescent="0.25">
      <c r="A184" s="192">
        <v>312111</v>
      </c>
      <c r="B184" s="192" t="s">
        <v>482</v>
      </c>
    </row>
    <row r="185" spans="1:2" x14ac:dyDescent="0.25">
      <c r="A185" s="192">
        <v>312112</v>
      </c>
      <c r="B185" s="192" t="s">
        <v>483</v>
      </c>
    </row>
    <row r="186" spans="1:2" x14ac:dyDescent="0.25">
      <c r="A186" s="192">
        <v>312113</v>
      </c>
      <c r="B186" s="192" t="s">
        <v>484</v>
      </c>
    </row>
    <row r="187" spans="1:2" x14ac:dyDescent="0.25">
      <c r="A187" s="192">
        <v>312120</v>
      </c>
      <c r="B187" s="192" t="s">
        <v>289</v>
      </c>
    </row>
    <row r="188" spans="1:2" x14ac:dyDescent="0.25">
      <c r="A188" s="192">
        <v>312130</v>
      </c>
      <c r="B188" s="192" t="s">
        <v>485</v>
      </c>
    </row>
    <row r="189" spans="1:2" x14ac:dyDescent="0.25">
      <c r="A189" s="192">
        <v>312140</v>
      </c>
      <c r="B189" s="192" t="s">
        <v>486</v>
      </c>
    </row>
    <row r="190" spans="1:2" x14ac:dyDescent="0.25">
      <c r="A190" s="192">
        <v>312230</v>
      </c>
      <c r="B190" s="192" t="s">
        <v>487</v>
      </c>
    </row>
    <row r="191" spans="1:2" x14ac:dyDescent="0.25">
      <c r="A191" s="192">
        <v>313110</v>
      </c>
      <c r="B191" s="192" t="s">
        <v>488</v>
      </c>
    </row>
    <row r="192" spans="1:2" x14ac:dyDescent="0.25">
      <c r="A192" s="192">
        <v>313210</v>
      </c>
      <c r="B192" s="192" t="s">
        <v>489</v>
      </c>
    </row>
    <row r="193" spans="1:2" x14ac:dyDescent="0.25">
      <c r="A193" s="192">
        <v>313220</v>
      </c>
      <c r="B193" s="192" t="s">
        <v>490</v>
      </c>
    </row>
    <row r="194" spans="1:2" x14ac:dyDescent="0.25">
      <c r="A194" s="192">
        <v>313230</v>
      </c>
      <c r="B194" s="192" t="s">
        <v>491</v>
      </c>
    </row>
    <row r="195" spans="1:2" x14ac:dyDescent="0.25">
      <c r="A195" s="192">
        <v>313240</v>
      </c>
      <c r="B195" s="192" t="s">
        <v>492</v>
      </c>
    </row>
    <row r="196" spans="1:2" x14ac:dyDescent="0.25">
      <c r="A196" s="192">
        <v>313310</v>
      </c>
      <c r="B196" s="192" t="s">
        <v>493</v>
      </c>
    </row>
    <row r="197" spans="1:2" x14ac:dyDescent="0.25">
      <c r="A197" s="192">
        <v>313320</v>
      </c>
      <c r="B197" s="192" t="s">
        <v>494</v>
      </c>
    </row>
    <row r="198" spans="1:2" x14ac:dyDescent="0.25">
      <c r="A198" s="192">
        <v>314110</v>
      </c>
      <c r="B198" s="192" t="s">
        <v>495</v>
      </c>
    </row>
    <row r="199" spans="1:2" x14ac:dyDescent="0.25">
      <c r="A199" s="192">
        <v>314120</v>
      </c>
      <c r="B199" s="192" t="s">
        <v>496</v>
      </c>
    </row>
    <row r="200" spans="1:2" x14ac:dyDescent="0.25">
      <c r="A200" s="192">
        <v>314910</v>
      </c>
      <c r="B200" s="192" t="s">
        <v>497</v>
      </c>
    </row>
    <row r="201" spans="1:2" x14ac:dyDescent="0.25">
      <c r="A201" s="192">
        <v>314994</v>
      </c>
      <c r="B201" s="192" t="s">
        <v>498</v>
      </c>
    </row>
    <row r="202" spans="1:2" x14ac:dyDescent="0.25">
      <c r="A202" s="192">
        <v>314999</v>
      </c>
      <c r="B202" s="192" t="s">
        <v>499</v>
      </c>
    </row>
    <row r="203" spans="1:2" x14ac:dyDescent="0.25">
      <c r="A203" s="192">
        <v>315110</v>
      </c>
      <c r="B203" s="192" t="s">
        <v>500</v>
      </c>
    </row>
    <row r="204" spans="1:2" x14ac:dyDescent="0.25">
      <c r="A204" s="192">
        <v>315190</v>
      </c>
      <c r="B204" s="192" t="s">
        <v>501</v>
      </c>
    </row>
    <row r="205" spans="1:2" x14ac:dyDescent="0.25">
      <c r="A205" s="192">
        <v>315210</v>
      </c>
      <c r="B205" s="192" t="s">
        <v>502</v>
      </c>
    </row>
    <row r="206" spans="1:2" x14ac:dyDescent="0.25">
      <c r="A206" s="192">
        <v>315220</v>
      </c>
      <c r="B206" s="192" t="s">
        <v>503</v>
      </c>
    </row>
    <row r="207" spans="1:2" x14ac:dyDescent="0.25">
      <c r="A207" s="192">
        <v>315240</v>
      </c>
      <c r="B207" s="192" t="s">
        <v>504</v>
      </c>
    </row>
    <row r="208" spans="1:2" x14ac:dyDescent="0.25">
      <c r="A208" s="192">
        <v>315280</v>
      </c>
      <c r="B208" s="192" t="s">
        <v>505</v>
      </c>
    </row>
    <row r="209" spans="1:2" x14ac:dyDescent="0.25">
      <c r="A209" s="192">
        <v>315990</v>
      </c>
      <c r="B209" s="192" t="s">
        <v>506</v>
      </c>
    </row>
    <row r="210" spans="1:2" x14ac:dyDescent="0.25">
      <c r="A210" s="192">
        <v>316110</v>
      </c>
      <c r="B210" s="192" t="s">
        <v>507</v>
      </c>
    </row>
    <row r="211" spans="1:2" x14ac:dyDescent="0.25">
      <c r="A211" s="192">
        <v>316210</v>
      </c>
      <c r="B211" s="192" t="s">
        <v>508</v>
      </c>
    </row>
    <row r="212" spans="1:2" x14ac:dyDescent="0.25">
      <c r="A212" s="192">
        <v>316992</v>
      </c>
      <c r="B212" s="192" t="s">
        <v>509</v>
      </c>
    </row>
    <row r="213" spans="1:2" x14ac:dyDescent="0.25">
      <c r="A213" s="192">
        <v>316998</v>
      </c>
      <c r="B213" s="192" t="s">
        <v>510</v>
      </c>
    </row>
    <row r="214" spans="1:2" x14ac:dyDescent="0.25">
      <c r="A214" s="192">
        <v>321113</v>
      </c>
      <c r="B214" s="192" t="s">
        <v>511</v>
      </c>
    </row>
    <row r="215" spans="1:2" x14ac:dyDescent="0.25">
      <c r="A215" s="192">
        <v>321114</v>
      </c>
      <c r="B215" s="192" t="s">
        <v>512</v>
      </c>
    </row>
    <row r="216" spans="1:2" x14ac:dyDescent="0.25">
      <c r="A216" s="192">
        <v>321211</v>
      </c>
      <c r="B216" s="192" t="s">
        <v>513</v>
      </c>
    </row>
    <row r="217" spans="1:2" x14ac:dyDescent="0.25">
      <c r="A217" s="192">
        <v>321212</v>
      </c>
      <c r="B217" s="192" t="s">
        <v>514</v>
      </c>
    </row>
    <row r="218" spans="1:2" x14ac:dyDescent="0.25">
      <c r="A218" s="192">
        <v>321213</v>
      </c>
      <c r="B218" s="192" t="s">
        <v>515</v>
      </c>
    </row>
    <row r="219" spans="1:2" x14ac:dyDescent="0.25">
      <c r="A219" s="192">
        <v>321214</v>
      </c>
      <c r="B219" s="192" t="s">
        <v>516</v>
      </c>
    </row>
    <row r="220" spans="1:2" x14ac:dyDescent="0.25">
      <c r="A220" s="192">
        <v>321219</v>
      </c>
      <c r="B220" s="192" t="s">
        <v>517</v>
      </c>
    </row>
    <row r="221" spans="1:2" x14ac:dyDescent="0.25">
      <c r="A221" s="192">
        <v>321911</v>
      </c>
      <c r="B221" s="192" t="s">
        <v>518</v>
      </c>
    </row>
    <row r="222" spans="1:2" x14ac:dyDescent="0.25">
      <c r="A222" s="192">
        <v>321912</v>
      </c>
      <c r="B222" s="192" t="s">
        <v>519</v>
      </c>
    </row>
    <row r="223" spans="1:2" x14ac:dyDescent="0.25">
      <c r="A223" s="192">
        <v>321918</v>
      </c>
      <c r="B223" s="192" t="s">
        <v>520</v>
      </c>
    </row>
    <row r="224" spans="1:2" x14ac:dyDescent="0.25">
      <c r="A224" s="192">
        <v>321920</v>
      </c>
      <c r="B224" s="192" t="s">
        <v>521</v>
      </c>
    </row>
    <row r="225" spans="1:2" x14ac:dyDescent="0.25">
      <c r="A225" s="192">
        <v>321991</v>
      </c>
      <c r="B225" s="192" t="s">
        <v>522</v>
      </c>
    </row>
    <row r="226" spans="1:2" x14ac:dyDescent="0.25">
      <c r="A226" s="192">
        <v>321992</v>
      </c>
      <c r="B226" s="192" t="s">
        <v>523</v>
      </c>
    </row>
    <row r="227" spans="1:2" x14ac:dyDescent="0.25">
      <c r="A227" s="192">
        <v>321999</v>
      </c>
      <c r="B227" s="192" t="s">
        <v>524</v>
      </c>
    </row>
    <row r="228" spans="1:2" x14ac:dyDescent="0.25">
      <c r="A228" s="192">
        <v>322110</v>
      </c>
      <c r="B228" s="192" t="s">
        <v>525</v>
      </c>
    </row>
    <row r="229" spans="1:2" x14ac:dyDescent="0.25">
      <c r="A229" s="192">
        <v>322121</v>
      </c>
      <c r="B229" s="192" t="s">
        <v>526</v>
      </c>
    </row>
    <row r="230" spans="1:2" x14ac:dyDescent="0.25">
      <c r="A230" s="192">
        <v>322122</v>
      </c>
      <c r="B230" s="192" t="s">
        <v>527</v>
      </c>
    </row>
    <row r="231" spans="1:2" x14ac:dyDescent="0.25">
      <c r="A231" s="192">
        <v>322130</v>
      </c>
      <c r="B231" s="192" t="s">
        <v>528</v>
      </c>
    </row>
    <row r="232" spans="1:2" x14ac:dyDescent="0.25">
      <c r="A232" s="192">
        <v>322211</v>
      </c>
      <c r="B232" s="192" t="s">
        <v>529</v>
      </c>
    </row>
    <row r="233" spans="1:2" x14ac:dyDescent="0.25">
      <c r="A233" s="192">
        <v>322212</v>
      </c>
      <c r="B233" s="192" t="s">
        <v>530</v>
      </c>
    </row>
    <row r="234" spans="1:2" x14ac:dyDescent="0.25">
      <c r="A234" s="192">
        <v>322219</v>
      </c>
      <c r="B234" s="192" t="s">
        <v>531</v>
      </c>
    </row>
    <row r="235" spans="1:2" x14ac:dyDescent="0.25">
      <c r="A235" s="192">
        <v>322220</v>
      </c>
      <c r="B235" s="192" t="s">
        <v>532</v>
      </c>
    </row>
    <row r="236" spans="1:2" x14ac:dyDescent="0.25">
      <c r="A236" s="192">
        <v>322230</v>
      </c>
      <c r="B236" s="192" t="s">
        <v>533</v>
      </c>
    </row>
    <row r="237" spans="1:2" x14ac:dyDescent="0.25">
      <c r="A237" s="192">
        <v>322291</v>
      </c>
      <c r="B237" s="192" t="s">
        <v>534</v>
      </c>
    </row>
    <row r="238" spans="1:2" x14ac:dyDescent="0.25">
      <c r="A238" s="192">
        <v>322299</v>
      </c>
      <c r="B238" s="192" t="s">
        <v>535</v>
      </c>
    </row>
    <row r="239" spans="1:2" x14ac:dyDescent="0.25">
      <c r="A239" s="192">
        <v>323111</v>
      </c>
      <c r="B239" s="192" t="s">
        <v>536</v>
      </c>
    </row>
    <row r="240" spans="1:2" x14ac:dyDescent="0.25">
      <c r="A240" s="192">
        <v>323113</v>
      </c>
      <c r="B240" s="192" t="s">
        <v>537</v>
      </c>
    </row>
    <row r="241" spans="1:2" x14ac:dyDescent="0.25">
      <c r="A241" s="192">
        <v>323117</v>
      </c>
      <c r="B241" s="192" t="s">
        <v>538</v>
      </c>
    </row>
    <row r="242" spans="1:2" x14ac:dyDescent="0.25">
      <c r="A242" s="192">
        <v>323120</v>
      </c>
      <c r="B242" s="192" t="s">
        <v>539</v>
      </c>
    </row>
    <row r="243" spans="1:2" x14ac:dyDescent="0.25">
      <c r="A243" s="192">
        <v>324110</v>
      </c>
      <c r="B243" s="192" t="s">
        <v>540</v>
      </c>
    </row>
    <row r="244" spans="1:2" x14ac:dyDescent="0.25">
      <c r="A244" s="192">
        <v>324121</v>
      </c>
      <c r="B244" s="192" t="s">
        <v>541</v>
      </c>
    </row>
    <row r="245" spans="1:2" x14ac:dyDescent="0.25">
      <c r="A245" s="192">
        <v>324122</v>
      </c>
      <c r="B245" s="192" t="s">
        <v>542</v>
      </c>
    </row>
    <row r="246" spans="1:2" x14ac:dyDescent="0.25">
      <c r="A246" s="192">
        <v>324191</v>
      </c>
      <c r="B246" s="192" t="s">
        <v>543</v>
      </c>
    </row>
    <row r="247" spans="1:2" x14ac:dyDescent="0.25">
      <c r="A247" s="192">
        <v>324199</v>
      </c>
      <c r="B247" s="192" t="s">
        <v>544</v>
      </c>
    </row>
    <row r="248" spans="1:2" x14ac:dyDescent="0.25">
      <c r="A248" s="192">
        <v>325110</v>
      </c>
      <c r="B248" s="192" t="s">
        <v>545</v>
      </c>
    </row>
    <row r="249" spans="1:2" x14ac:dyDescent="0.25">
      <c r="A249" s="192">
        <v>325120</v>
      </c>
      <c r="B249" s="192" t="s">
        <v>546</v>
      </c>
    </row>
    <row r="250" spans="1:2" x14ac:dyDescent="0.25">
      <c r="A250" s="192">
        <v>325130</v>
      </c>
      <c r="B250" s="192" t="s">
        <v>547</v>
      </c>
    </row>
    <row r="251" spans="1:2" x14ac:dyDescent="0.25">
      <c r="A251" s="192">
        <v>325180</v>
      </c>
      <c r="B251" s="192" t="s">
        <v>548</v>
      </c>
    </row>
    <row r="252" spans="1:2" x14ac:dyDescent="0.25">
      <c r="A252" s="192">
        <v>325193</v>
      </c>
      <c r="B252" s="192" t="s">
        <v>549</v>
      </c>
    </row>
    <row r="253" spans="1:2" x14ac:dyDescent="0.25">
      <c r="A253" s="192">
        <v>325194</v>
      </c>
      <c r="B253" s="192" t="s">
        <v>550</v>
      </c>
    </row>
    <row r="254" spans="1:2" x14ac:dyDescent="0.25">
      <c r="A254" s="192">
        <v>325199</v>
      </c>
      <c r="B254" s="192" t="s">
        <v>551</v>
      </c>
    </row>
    <row r="255" spans="1:2" x14ac:dyDescent="0.25">
      <c r="A255" s="192">
        <v>325211</v>
      </c>
      <c r="B255" s="192" t="s">
        <v>552</v>
      </c>
    </row>
    <row r="256" spans="1:2" x14ac:dyDescent="0.25">
      <c r="A256" s="192">
        <v>325212</v>
      </c>
      <c r="B256" s="192" t="s">
        <v>553</v>
      </c>
    </row>
    <row r="257" spans="1:2" x14ac:dyDescent="0.25">
      <c r="A257" s="192">
        <v>325220</v>
      </c>
      <c r="B257" s="192" t="s">
        <v>554</v>
      </c>
    </row>
    <row r="258" spans="1:2" x14ac:dyDescent="0.25">
      <c r="A258" s="192">
        <v>325311</v>
      </c>
      <c r="B258" s="192" t="s">
        <v>555</v>
      </c>
    </row>
    <row r="259" spans="1:2" x14ac:dyDescent="0.25">
      <c r="A259" s="192">
        <v>325312</v>
      </c>
      <c r="B259" s="192" t="s">
        <v>556</v>
      </c>
    </row>
    <row r="260" spans="1:2" x14ac:dyDescent="0.25">
      <c r="A260" s="192">
        <v>325314</v>
      </c>
      <c r="B260" s="192" t="s">
        <v>557</v>
      </c>
    </row>
    <row r="261" spans="1:2" x14ac:dyDescent="0.25">
      <c r="A261" s="192">
        <v>325320</v>
      </c>
      <c r="B261" s="192" t="s">
        <v>558</v>
      </c>
    </row>
    <row r="262" spans="1:2" x14ac:dyDescent="0.25">
      <c r="A262" s="192">
        <v>325411</v>
      </c>
      <c r="B262" s="192" t="s">
        <v>559</v>
      </c>
    </row>
    <row r="263" spans="1:2" x14ac:dyDescent="0.25">
      <c r="A263" s="192">
        <v>325412</v>
      </c>
      <c r="B263" s="192" t="s">
        <v>560</v>
      </c>
    </row>
    <row r="264" spans="1:2" x14ac:dyDescent="0.25">
      <c r="A264" s="192">
        <v>325413</v>
      </c>
      <c r="B264" s="192" t="s">
        <v>561</v>
      </c>
    </row>
    <row r="265" spans="1:2" x14ac:dyDescent="0.25">
      <c r="A265" s="192">
        <v>325414</v>
      </c>
      <c r="B265" s="192" t="s">
        <v>562</v>
      </c>
    </row>
    <row r="266" spans="1:2" x14ac:dyDescent="0.25">
      <c r="A266" s="192">
        <v>325510</v>
      </c>
      <c r="B266" s="192" t="s">
        <v>563</v>
      </c>
    </row>
    <row r="267" spans="1:2" x14ac:dyDescent="0.25">
      <c r="A267" s="192">
        <v>325520</v>
      </c>
      <c r="B267" s="192" t="s">
        <v>564</v>
      </c>
    </row>
    <row r="268" spans="1:2" x14ac:dyDescent="0.25">
      <c r="A268" s="192">
        <v>325611</v>
      </c>
      <c r="B268" s="192" t="s">
        <v>565</v>
      </c>
    </row>
    <row r="269" spans="1:2" x14ac:dyDescent="0.25">
      <c r="A269" s="192">
        <v>325612</v>
      </c>
      <c r="B269" s="192" t="s">
        <v>566</v>
      </c>
    </row>
    <row r="270" spans="1:2" x14ac:dyDescent="0.25">
      <c r="A270" s="192">
        <v>325613</v>
      </c>
      <c r="B270" s="192" t="s">
        <v>567</v>
      </c>
    </row>
    <row r="271" spans="1:2" x14ac:dyDescent="0.25">
      <c r="A271" s="192">
        <v>325620</v>
      </c>
      <c r="B271" s="192" t="s">
        <v>568</v>
      </c>
    </row>
    <row r="272" spans="1:2" x14ac:dyDescent="0.25">
      <c r="A272" s="192">
        <v>325910</v>
      </c>
      <c r="B272" s="192" t="s">
        <v>569</v>
      </c>
    </row>
    <row r="273" spans="1:2" x14ac:dyDescent="0.25">
      <c r="A273" s="192">
        <v>325920</v>
      </c>
      <c r="B273" s="192" t="s">
        <v>570</v>
      </c>
    </row>
    <row r="274" spans="1:2" x14ac:dyDescent="0.25">
      <c r="A274" s="192">
        <v>325991</v>
      </c>
      <c r="B274" s="192" t="s">
        <v>571</v>
      </c>
    </row>
    <row r="275" spans="1:2" x14ac:dyDescent="0.25">
      <c r="A275" s="192">
        <v>325992</v>
      </c>
      <c r="B275" s="192" t="s">
        <v>572</v>
      </c>
    </row>
    <row r="276" spans="1:2" x14ac:dyDescent="0.25">
      <c r="A276" s="192">
        <v>325998</v>
      </c>
      <c r="B276" s="192" t="s">
        <v>573</v>
      </c>
    </row>
    <row r="277" spans="1:2" x14ac:dyDescent="0.25">
      <c r="A277" s="192">
        <v>326111</v>
      </c>
      <c r="B277" s="192" t="s">
        <v>574</v>
      </c>
    </row>
    <row r="278" spans="1:2" x14ac:dyDescent="0.25">
      <c r="A278" s="192">
        <v>326112</v>
      </c>
      <c r="B278" s="192" t="s">
        <v>575</v>
      </c>
    </row>
    <row r="279" spans="1:2" x14ac:dyDescent="0.25">
      <c r="A279" s="192">
        <v>326113</v>
      </c>
      <c r="B279" s="192" t="s">
        <v>576</v>
      </c>
    </row>
    <row r="280" spans="1:2" x14ac:dyDescent="0.25">
      <c r="A280" s="192">
        <v>326121</v>
      </c>
      <c r="B280" s="192" t="s">
        <v>577</v>
      </c>
    </row>
    <row r="281" spans="1:2" x14ac:dyDescent="0.25">
      <c r="A281" s="192">
        <v>326122</v>
      </c>
      <c r="B281" s="192" t="s">
        <v>578</v>
      </c>
    </row>
    <row r="282" spans="1:2" x14ac:dyDescent="0.25">
      <c r="A282" s="192">
        <v>326130</v>
      </c>
      <c r="B282" s="192" t="s">
        <v>579</v>
      </c>
    </row>
    <row r="283" spans="1:2" x14ac:dyDescent="0.25">
      <c r="A283" s="192">
        <v>326140</v>
      </c>
      <c r="B283" s="192" t="s">
        <v>580</v>
      </c>
    </row>
    <row r="284" spans="1:2" x14ac:dyDescent="0.25">
      <c r="A284" s="192">
        <v>326150</v>
      </c>
      <c r="B284" s="192" t="s">
        <v>581</v>
      </c>
    </row>
    <row r="285" spans="1:2" x14ac:dyDescent="0.25">
      <c r="A285" s="192">
        <v>326160</v>
      </c>
      <c r="B285" s="192" t="s">
        <v>582</v>
      </c>
    </row>
    <row r="286" spans="1:2" x14ac:dyDescent="0.25">
      <c r="A286" s="192">
        <v>326191</v>
      </c>
      <c r="B286" s="192" t="s">
        <v>583</v>
      </c>
    </row>
    <row r="287" spans="1:2" x14ac:dyDescent="0.25">
      <c r="A287" s="192">
        <v>326199</v>
      </c>
      <c r="B287" s="192" t="s">
        <v>584</v>
      </c>
    </row>
    <row r="288" spans="1:2" x14ac:dyDescent="0.25">
      <c r="A288" s="192">
        <v>326211</v>
      </c>
      <c r="B288" s="192" t="s">
        <v>585</v>
      </c>
    </row>
    <row r="289" spans="1:2" x14ac:dyDescent="0.25">
      <c r="A289" s="192">
        <v>326212</v>
      </c>
      <c r="B289" s="192" t="s">
        <v>586</v>
      </c>
    </row>
    <row r="290" spans="1:2" x14ac:dyDescent="0.25">
      <c r="A290" s="192">
        <v>326220</v>
      </c>
      <c r="B290" s="192" t="s">
        <v>587</v>
      </c>
    </row>
    <row r="291" spans="1:2" x14ac:dyDescent="0.25">
      <c r="A291" s="192">
        <v>326291</v>
      </c>
      <c r="B291" s="192" t="s">
        <v>588</v>
      </c>
    </row>
    <row r="292" spans="1:2" x14ac:dyDescent="0.25">
      <c r="A292" s="192">
        <v>326299</v>
      </c>
      <c r="B292" s="192" t="s">
        <v>589</v>
      </c>
    </row>
    <row r="293" spans="1:2" x14ac:dyDescent="0.25">
      <c r="A293" s="192">
        <v>327110</v>
      </c>
      <c r="B293" s="192" t="s">
        <v>590</v>
      </c>
    </row>
    <row r="294" spans="1:2" x14ac:dyDescent="0.25">
      <c r="A294" s="192">
        <v>327120</v>
      </c>
      <c r="B294" s="192" t="s">
        <v>591</v>
      </c>
    </row>
    <row r="295" spans="1:2" x14ac:dyDescent="0.25">
      <c r="A295" s="192">
        <v>327211</v>
      </c>
      <c r="B295" s="192" t="s">
        <v>592</v>
      </c>
    </row>
    <row r="296" spans="1:2" x14ac:dyDescent="0.25">
      <c r="A296" s="192">
        <v>327212</v>
      </c>
      <c r="B296" s="192" t="s">
        <v>593</v>
      </c>
    </row>
    <row r="297" spans="1:2" x14ac:dyDescent="0.25">
      <c r="A297" s="192">
        <v>327213</v>
      </c>
      <c r="B297" s="192" t="s">
        <v>594</v>
      </c>
    </row>
    <row r="298" spans="1:2" x14ac:dyDescent="0.25">
      <c r="A298" s="192">
        <v>327215</v>
      </c>
      <c r="B298" s="192" t="s">
        <v>595</v>
      </c>
    </row>
    <row r="299" spans="1:2" x14ac:dyDescent="0.25">
      <c r="A299" s="192">
        <v>327310</v>
      </c>
      <c r="B299" s="192" t="s">
        <v>596</v>
      </c>
    </row>
    <row r="300" spans="1:2" x14ac:dyDescent="0.25">
      <c r="A300" s="192">
        <v>327320</v>
      </c>
      <c r="B300" s="192" t="s">
        <v>597</v>
      </c>
    </row>
    <row r="301" spans="1:2" x14ac:dyDescent="0.25">
      <c r="A301" s="192">
        <v>327331</v>
      </c>
      <c r="B301" s="192" t="s">
        <v>598</v>
      </c>
    </row>
    <row r="302" spans="1:2" x14ac:dyDescent="0.25">
      <c r="A302" s="192">
        <v>327332</v>
      </c>
      <c r="B302" s="192" t="s">
        <v>599</v>
      </c>
    </row>
    <row r="303" spans="1:2" x14ac:dyDescent="0.25">
      <c r="A303" s="192">
        <v>327390</v>
      </c>
      <c r="B303" s="192" t="s">
        <v>600</v>
      </c>
    </row>
    <row r="304" spans="1:2" x14ac:dyDescent="0.25">
      <c r="A304" s="192">
        <v>327410</v>
      </c>
      <c r="B304" s="192" t="s">
        <v>601</v>
      </c>
    </row>
    <row r="305" spans="1:2" x14ac:dyDescent="0.25">
      <c r="A305" s="192">
        <v>327420</v>
      </c>
      <c r="B305" s="192" t="s">
        <v>602</v>
      </c>
    </row>
    <row r="306" spans="1:2" x14ac:dyDescent="0.25">
      <c r="A306" s="192">
        <v>327910</v>
      </c>
      <c r="B306" s="192" t="s">
        <v>603</v>
      </c>
    </row>
    <row r="307" spans="1:2" x14ac:dyDescent="0.25">
      <c r="A307" s="192">
        <v>327991</v>
      </c>
      <c r="B307" s="192" t="s">
        <v>604</v>
      </c>
    </row>
    <row r="308" spans="1:2" x14ac:dyDescent="0.25">
      <c r="A308" s="192">
        <v>327992</v>
      </c>
      <c r="B308" s="192" t="s">
        <v>605</v>
      </c>
    </row>
    <row r="309" spans="1:2" x14ac:dyDescent="0.25">
      <c r="A309" s="192">
        <v>327993</v>
      </c>
      <c r="B309" s="192" t="s">
        <v>606</v>
      </c>
    </row>
    <row r="310" spans="1:2" x14ac:dyDescent="0.25">
      <c r="A310" s="192">
        <v>327999</v>
      </c>
      <c r="B310" s="192" t="s">
        <v>607</v>
      </c>
    </row>
    <row r="311" spans="1:2" x14ac:dyDescent="0.25">
      <c r="A311" s="192">
        <v>331110</v>
      </c>
      <c r="B311" s="192" t="s">
        <v>608</v>
      </c>
    </row>
    <row r="312" spans="1:2" x14ac:dyDescent="0.25">
      <c r="A312" s="192">
        <v>331210</v>
      </c>
      <c r="B312" s="192" t="s">
        <v>609</v>
      </c>
    </row>
    <row r="313" spans="1:2" x14ac:dyDescent="0.25">
      <c r="A313" s="192">
        <v>331221</v>
      </c>
      <c r="B313" s="192" t="s">
        <v>610</v>
      </c>
    </row>
    <row r="314" spans="1:2" x14ac:dyDescent="0.25">
      <c r="A314" s="192">
        <v>331222</v>
      </c>
      <c r="B314" s="192" t="s">
        <v>611</v>
      </c>
    </row>
    <row r="315" spans="1:2" x14ac:dyDescent="0.25">
      <c r="A315" s="192">
        <v>331313</v>
      </c>
      <c r="B315" s="192" t="s">
        <v>612</v>
      </c>
    </row>
    <row r="316" spans="1:2" x14ac:dyDescent="0.25">
      <c r="A316" s="192">
        <v>331314</v>
      </c>
      <c r="B316" s="192" t="s">
        <v>613</v>
      </c>
    </row>
    <row r="317" spans="1:2" x14ac:dyDescent="0.25">
      <c r="A317" s="192">
        <v>331315</v>
      </c>
      <c r="B317" s="192" t="s">
        <v>614</v>
      </c>
    </row>
    <row r="318" spans="1:2" x14ac:dyDescent="0.25">
      <c r="A318" s="192">
        <v>331318</v>
      </c>
      <c r="B318" s="192" t="s">
        <v>615</v>
      </c>
    </row>
    <row r="319" spans="1:2" x14ac:dyDescent="0.25">
      <c r="A319" s="192">
        <v>331410</v>
      </c>
      <c r="B319" s="192" t="s">
        <v>616</v>
      </c>
    </row>
    <row r="320" spans="1:2" x14ac:dyDescent="0.25">
      <c r="A320" s="192">
        <v>331420</v>
      </c>
      <c r="B320" s="192" t="s">
        <v>617</v>
      </c>
    </row>
    <row r="321" spans="1:2" x14ac:dyDescent="0.25">
      <c r="A321" s="192">
        <v>331491</v>
      </c>
      <c r="B321" s="192" t="s">
        <v>618</v>
      </c>
    </row>
    <row r="322" spans="1:2" x14ac:dyDescent="0.25">
      <c r="A322" s="192">
        <v>331492</v>
      </c>
      <c r="B322" s="192" t="s">
        <v>619</v>
      </c>
    </row>
    <row r="323" spans="1:2" x14ac:dyDescent="0.25">
      <c r="A323" s="192">
        <v>331511</v>
      </c>
      <c r="B323" s="192" t="s">
        <v>620</v>
      </c>
    </row>
    <row r="324" spans="1:2" x14ac:dyDescent="0.25">
      <c r="A324" s="192">
        <v>331512</v>
      </c>
      <c r="B324" s="192" t="s">
        <v>621</v>
      </c>
    </row>
    <row r="325" spans="1:2" x14ac:dyDescent="0.25">
      <c r="A325" s="192">
        <v>331513</v>
      </c>
      <c r="B325" s="192" t="s">
        <v>622</v>
      </c>
    </row>
    <row r="326" spans="1:2" x14ac:dyDescent="0.25">
      <c r="A326" s="192">
        <v>331523</v>
      </c>
      <c r="B326" s="192" t="s">
        <v>623</v>
      </c>
    </row>
    <row r="327" spans="1:2" x14ac:dyDescent="0.25">
      <c r="A327" s="192">
        <v>331524</v>
      </c>
      <c r="B327" s="192" t="s">
        <v>624</v>
      </c>
    </row>
    <row r="328" spans="1:2" x14ac:dyDescent="0.25">
      <c r="A328" s="192">
        <v>331529</v>
      </c>
      <c r="B328" s="192" t="s">
        <v>625</v>
      </c>
    </row>
    <row r="329" spans="1:2" x14ac:dyDescent="0.25">
      <c r="A329" s="192">
        <v>332111</v>
      </c>
      <c r="B329" s="192" t="s">
        <v>626</v>
      </c>
    </row>
    <row r="330" spans="1:2" x14ac:dyDescent="0.25">
      <c r="A330" s="192">
        <v>332112</v>
      </c>
      <c r="B330" s="192" t="s">
        <v>627</v>
      </c>
    </row>
    <row r="331" spans="1:2" x14ac:dyDescent="0.25">
      <c r="A331" s="192">
        <v>332114</v>
      </c>
      <c r="B331" s="192" t="s">
        <v>628</v>
      </c>
    </row>
    <row r="332" spans="1:2" x14ac:dyDescent="0.25">
      <c r="A332" s="192">
        <v>332117</v>
      </c>
      <c r="B332" s="192" t="s">
        <v>629</v>
      </c>
    </row>
    <row r="333" spans="1:2" x14ac:dyDescent="0.25">
      <c r="A333" s="192">
        <v>332119</v>
      </c>
      <c r="B333" s="192" t="s">
        <v>630</v>
      </c>
    </row>
    <row r="334" spans="1:2" x14ac:dyDescent="0.25">
      <c r="A334" s="192">
        <v>332215</v>
      </c>
      <c r="B334" s="192" t="s">
        <v>631</v>
      </c>
    </row>
    <row r="335" spans="1:2" x14ac:dyDescent="0.25">
      <c r="A335" s="192">
        <v>332216</v>
      </c>
      <c r="B335" s="192" t="s">
        <v>632</v>
      </c>
    </row>
    <row r="336" spans="1:2" x14ac:dyDescent="0.25">
      <c r="A336" s="192">
        <v>332311</v>
      </c>
      <c r="B336" s="192" t="s">
        <v>633</v>
      </c>
    </row>
    <row r="337" spans="1:2" x14ac:dyDescent="0.25">
      <c r="A337" s="192">
        <v>332312</v>
      </c>
      <c r="B337" s="192" t="s">
        <v>634</v>
      </c>
    </row>
    <row r="338" spans="1:2" x14ac:dyDescent="0.25">
      <c r="A338" s="192">
        <v>332313</v>
      </c>
      <c r="B338" s="192" t="s">
        <v>635</v>
      </c>
    </row>
    <row r="339" spans="1:2" x14ac:dyDescent="0.25">
      <c r="A339" s="192">
        <v>332321</v>
      </c>
      <c r="B339" s="192" t="s">
        <v>636</v>
      </c>
    </row>
    <row r="340" spans="1:2" x14ac:dyDescent="0.25">
      <c r="A340" s="192">
        <v>332322</v>
      </c>
      <c r="B340" s="192" t="s">
        <v>637</v>
      </c>
    </row>
    <row r="341" spans="1:2" x14ac:dyDescent="0.25">
      <c r="A341" s="192">
        <v>332323</v>
      </c>
      <c r="B341" s="192" t="s">
        <v>638</v>
      </c>
    </row>
    <row r="342" spans="1:2" x14ac:dyDescent="0.25">
      <c r="A342" s="192">
        <v>332410</v>
      </c>
      <c r="B342" s="192" t="s">
        <v>639</v>
      </c>
    </row>
    <row r="343" spans="1:2" x14ac:dyDescent="0.25">
      <c r="A343" s="192">
        <v>332420</v>
      </c>
      <c r="B343" s="192" t="s">
        <v>640</v>
      </c>
    </row>
    <row r="344" spans="1:2" x14ac:dyDescent="0.25">
      <c r="A344" s="192">
        <v>332431</v>
      </c>
      <c r="B344" s="192" t="s">
        <v>641</v>
      </c>
    </row>
    <row r="345" spans="1:2" x14ac:dyDescent="0.25">
      <c r="A345" s="192">
        <v>332439</v>
      </c>
      <c r="B345" s="192" t="s">
        <v>642</v>
      </c>
    </row>
    <row r="346" spans="1:2" x14ac:dyDescent="0.25">
      <c r="A346" s="192">
        <v>332510</v>
      </c>
      <c r="B346" s="192" t="s">
        <v>643</v>
      </c>
    </row>
    <row r="347" spans="1:2" x14ac:dyDescent="0.25">
      <c r="A347" s="192">
        <v>332613</v>
      </c>
      <c r="B347" s="192" t="s">
        <v>644</v>
      </c>
    </row>
    <row r="348" spans="1:2" x14ac:dyDescent="0.25">
      <c r="A348" s="192">
        <v>332618</v>
      </c>
      <c r="B348" s="192" t="s">
        <v>645</v>
      </c>
    </row>
    <row r="349" spans="1:2" x14ac:dyDescent="0.25">
      <c r="A349" s="192">
        <v>332710</v>
      </c>
      <c r="B349" s="192" t="s">
        <v>646</v>
      </c>
    </row>
    <row r="350" spans="1:2" x14ac:dyDescent="0.25">
      <c r="A350" s="192">
        <v>332721</v>
      </c>
      <c r="B350" s="192" t="s">
        <v>647</v>
      </c>
    </row>
    <row r="351" spans="1:2" x14ac:dyDescent="0.25">
      <c r="A351" s="192">
        <v>332722</v>
      </c>
      <c r="B351" s="192" t="s">
        <v>648</v>
      </c>
    </row>
    <row r="352" spans="1:2" x14ac:dyDescent="0.25">
      <c r="A352" s="192">
        <v>332811</v>
      </c>
      <c r="B352" s="192" t="s">
        <v>649</v>
      </c>
    </row>
    <row r="353" spans="1:2" x14ac:dyDescent="0.25">
      <c r="A353" s="192">
        <v>332812</v>
      </c>
      <c r="B353" s="192" t="s">
        <v>650</v>
      </c>
    </row>
    <row r="354" spans="1:2" x14ac:dyDescent="0.25">
      <c r="A354" s="192">
        <v>332813</v>
      </c>
      <c r="B354" s="192" t="s">
        <v>651</v>
      </c>
    </row>
    <row r="355" spans="1:2" x14ac:dyDescent="0.25">
      <c r="A355" s="192">
        <v>332911</v>
      </c>
      <c r="B355" s="192" t="s">
        <v>652</v>
      </c>
    </row>
    <row r="356" spans="1:2" x14ac:dyDescent="0.25">
      <c r="A356" s="192">
        <v>332912</v>
      </c>
      <c r="B356" s="192" t="s">
        <v>653</v>
      </c>
    </row>
    <row r="357" spans="1:2" x14ac:dyDescent="0.25">
      <c r="A357" s="192">
        <v>332913</v>
      </c>
      <c r="B357" s="192" t="s">
        <v>654</v>
      </c>
    </row>
    <row r="358" spans="1:2" x14ac:dyDescent="0.25">
      <c r="A358" s="192">
        <v>332919</v>
      </c>
      <c r="B358" s="192" t="s">
        <v>655</v>
      </c>
    </row>
    <row r="359" spans="1:2" x14ac:dyDescent="0.25">
      <c r="A359" s="192">
        <v>332991</v>
      </c>
      <c r="B359" s="192" t="s">
        <v>656</v>
      </c>
    </row>
    <row r="360" spans="1:2" x14ac:dyDescent="0.25">
      <c r="A360" s="192">
        <v>332992</v>
      </c>
      <c r="B360" s="192" t="s">
        <v>657</v>
      </c>
    </row>
    <row r="361" spans="1:2" x14ac:dyDescent="0.25">
      <c r="A361" s="192">
        <v>332993</v>
      </c>
      <c r="B361" s="192" t="s">
        <v>658</v>
      </c>
    </row>
    <row r="362" spans="1:2" x14ac:dyDescent="0.25">
      <c r="A362" s="192">
        <v>332994</v>
      </c>
      <c r="B362" s="192" t="s">
        <v>659</v>
      </c>
    </row>
    <row r="363" spans="1:2" x14ac:dyDescent="0.25">
      <c r="A363" s="192">
        <v>332996</v>
      </c>
      <c r="B363" s="192" t="s">
        <v>660</v>
      </c>
    </row>
    <row r="364" spans="1:2" x14ac:dyDescent="0.25">
      <c r="A364" s="192">
        <v>332999</v>
      </c>
      <c r="B364" s="192" t="s">
        <v>661</v>
      </c>
    </row>
    <row r="365" spans="1:2" x14ac:dyDescent="0.25">
      <c r="A365" s="192">
        <v>333111</v>
      </c>
      <c r="B365" s="192" t="s">
        <v>662</v>
      </c>
    </row>
    <row r="366" spans="1:2" x14ac:dyDescent="0.25">
      <c r="A366" s="192">
        <v>333112</v>
      </c>
      <c r="B366" s="192" t="s">
        <v>663</v>
      </c>
    </row>
    <row r="367" spans="1:2" x14ac:dyDescent="0.25">
      <c r="A367" s="192">
        <v>333120</v>
      </c>
      <c r="B367" s="192" t="s">
        <v>664</v>
      </c>
    </row>
    <row r="368" spans="1:2" x14ac:dyDescent="0.25">
      <c r="A368" s="192">
        <v>333131</v>
      </c>
      <c r="B368" s="192" t="s">
        <v>665</v>
      </c>
    </row>
    <row r="369" spans="1:2" x14ac:dyDescent="0.25">
      <c r="A369" s="192">
        <v>333132</v>
      </c>
      <c r="B369" s="192" t="s">
        <v>666</v>
      </c>
    </row>
    <row r="370" spans="1:2" x14ac:dyDescent="0.25">
      <c r="A370" s="192">
        <v>333241</v>
      </c>
      <c r="B370" s="192" t="s">
        <v>667</v>
      </c>
    </row>
    <row r="371" spans="1:2" x14ac:dyDescent="0.25">
      <c r="A371" s="192">
        <v>333242</v>
      </c>
      <c r="B371" s="192" t="s">
        <v>668</v>
      </c>
    </row>
    <row r="372" spans="1:2" x14ac:dyDescent="0.25">
      <c r="A372" s="192">
        <v>333243</v>
      </c>
      <c r="B372" s="192" t="s">
        <v>669</v>
      </c>
    </row>
    <row r="373" spans="1:2" x14ac:dyDescent="0.25">
      <c r="A373" s="192">
        <v>333244</v>
      </c>
      <c r="B373" s="192" t="s">
        <v>670</v>
      </c>
    </row>
    <row r="374" spans="1:2" x14ac:dyDescent="0.25">
      <c r="A374" s="192">
        <v>333249</v>
      </c>
      <c r="B374" s="192" t="s">
        <v>671</v>
      </c>
    </row>
    <row r="375" spans="1:2" x14ac:dyDescent="0.25">
      <c r="A375" s="192">
        <v>333314</v>
      </c>
      <c r="B375" s="192" t="s">
        <v>672</v>
      </c>
    </row>
    <row r="376" spans="1:2" x14ac:dyDescent="0.25">
      <c r="A376" s="192">
        <v>333316</v>
      </c>
      <c r="B376" s="192" t="s">
        <v>673</v>
      </c>
    </row>
    <row r="377" spans="1:2" x14ac:dyDescent="0.25">
      <c r="A377" s="192">
        <v>333318</v>
      </c>
      <c r="B377" s="192" t="s">
        <v>674</v>
      </c>
    </row>
    <row r="378" spans="1:2" x14ac:dyDescent="0.25">
      <c r="A378" s="192">
        <v>333413</v>
      </c>
      <c r="B378" s="192" t="s">
        <v>675</v>
      </c>
    </row>
    <row r="379" spans="1:2" x14ac:dyDescent="0.25">
      <c r="A379" s="192">
        <v>333414</v>
      </c>
      <c r="B379" s="192" t="s">
        <v>676</v>
      </c>
    </row>
    <row r="380" spans="1:2" x14ac:dyDescent="0.25">
      <c r="A380" s="192">
        <v>333415</v>
      </c>
      <c r="B380" s="192" t="s">
        <v>677</v>
      </c>
    </row>
    <row r="381" spans="1:2" x14ac:dyDescent="0.25">
      <c r="A381" s="192">
        <v>333511</v>
      </c>
      <c r="B381" s="192" t="s">
        <v>678</v>
      </c>
    </row>
    <row r="382" spans="1:2" x14ac:dyDescent="0.25">
      <c r="A382" s="192">
        <v>333514</v>
      </c>
      <c r="B382" s="192" t="s">
        <v>679</v>
      </c>
    </row>
    <row r="383" spans="1:2" x14ac:dyDescent="0.25">
      <c r="A383" s="192">
        <v>333515</v>
      </c>
      <c r="B383" s="192" t="s">
        <v>680</v>
      </c>
    </row>
    <row r="384" spans="1:2" x14ac:dyDescent="0.25">
      <c r="A384" s="192">
        <v>333517</v>
      </c>
      <c r="B384" s="192" t="s">
        <v>681</v>
      </c>
    </row>
    <row r="385" spans="1:2" x14ac:dyDescent="0.25">
      <c r="A385" s="192">
        <v>333519</v>
      </c>
      <c r="B385" s="192" t="s">
        <v>682</v>
      </c>
    </row>
    <row r="386" spans="1:2" x14ac:dyDescent="0.25">
      <c r="A386" s="192">
        <v>333611</v>
      </c>
      <c r="B386" s="192" t="s">
        <v>683</v>
      </c>
    </row>
    <row r="387" spans="1:2" x14ac:dyDescent="0.25">
      <c r="A387" s="192">
        <v>333612</v>
      </c>
      <c r="B387" s="192" t="s">
        <v>684</v>
      </c>
    </row>
    <row r="388" spans="1:2" x14ac:dyDescent="0.25">
      <c r="A388" s="192">
        <v>333613</v>
      </c>
      <c r="B388" s="192" t="s">
        <v>685</v>
      </c>
    </row>
    <row r="389" spans="1:2" x14ac:dyDescent="0.25">
      <c r="A389" s="192">
        <v>333618</v>
      </c>
      <c r="B389" s="192" t="s">
        <v>686</v>
      </c>
    </row>
    <row r="390" spans="1:2" x14ac:dyDescent="0.25">
      <c r="A390" s="192">
        <v>333911</v>
      </c>
      <c r="B390" s="192" t="s">
        <v>687</v>
      </c>
    </row>
    <row r="391" spans="1:2" x14ac:dyDescent="0.25">
      <c r="A391" s="192">
        <v>333912</v>
      </c>
      <c r="B391" s="192" t="s">
        <v>688</v>
      </c>
    </row>
    <row r="392" spans="1:2" x14ac:dyDescent="0.25">
      <c r="A392" s="192">
        <v>333913</v>
      </c>
      <c r="B392" s="192" t="s">
        <v>689</v>
      </c>
    </row>
    <row r="393" spans="1:2" x14ac:dyDescent="0.25">
      <c r="A393" s="192">
        <v>333921</v>
      </c>
      <c r="B393" s="192" t="s">
        <v>690</v>
      </c>
    </row>
    <row r="394" spans="1:2" x14ac:dyDescent="0.25">
      <c r="A394" s="192">
        <v>333922</v>
      </c>
      <c r="B394" s="192" t="s">
        <v>691</v>
      </c>
    </row>
    <row r="395" spans="1:2" x14ac:dyDescent="0.25">
      <c r="A395" s="192">
        <v>333923</v>
      </c>
      <c r="B395" s="192" t="s">
        <v>692</v>
      </c>
    </row>
    <row r="396" spans="1:2" x14ac:dyDescent="0.25">
      <c r="A396" s="192">
        <v>333924</v>
      </c>
      <c r="B396" s="192" t="s">
        <v>693</v>
      </c>
    </row>
    <row r="397" spans="1:2" x14ac:dyDescent="0.25">
      <c r="A397" s="192">
        <v>333991</v>
      </c>
      <c r="B397" s="192" t="s">
        <v>694</v>
      </c>
    </row>
    <row r="398" spans="1:2" x14ac:dyDescent="0.25">
      <c r="A398" s="192">
        <v>333992</v>
      </c>
      <c r="B398" s="192" t="s">
        <v>695</v>
      </c>
    </row>
    <row r="399" spans="1:2" x14ac:dyDescent="0.25">
      <c r="A399" s="192">
        <v>333993</v>
      </c>
      <c r="B399" s="192" t="s">
        <v>696</v>
      </c>
    </row>
    <row r="400" spans="1:2" x14ac:dyDescent="0.25">
      <c r="A400" s="192">
        <v>333994</v>
      </c>
      <c r="B400" s="192" t="s">
        <v>697</v>
      </c>
    </row>
    <row r="401" spans="1:2" x14ac:dyDescent="0.25">
      <c r="A401" s="192">
        <v>333995</v>
      </c>
      <c r="B401" s="192" t="s">
        <v>698</v>
      </c>
    </row>
    <row r="402" spans="1:2" x14ac:dyDescent="0.25">
      <c r="A402" s="192">
        <v>333996</v>
      </c>
      <c r="B402" s="192" t="s">
        <v>699</v>
      </c>
    </row>
    <row r="403" spans="1:2" x14ac:dyDescent="0.25">
      <c r="A403" s="192">
        <v>333997</v>
      </c>
      <c r="B403" s="192" t="s">
        <v>700</v>
      </c>
    </row>
    <row r="404" spans="1:2" x14ac:dyDescent="0.25">
      <c r="A404" s="192">
        <v>333999</v>
      </c>
      <c r="B404" s="192" t="s">
        <v>701</v>
      </c>
    </row>
    <row r="405" spans="1:2" x14ac:dyDescent="0.25">
      <c r="A405" s="192">
        <v>334111</v>
      </c>
      <c r="B405" s="192" t="s">
        <v>702</v>
      </c>
    </row>
    <row r="406" spans="1:2" x14ac:dyDescent="0.25">
      <c r="A406" s="192">
        <v>334112</v>
      </c>
      <c r="B406" s="192" t="s">
        <v>703</v>
      </c>
    </row>
    <row r="407" spans="1:2" x14ac:dyDescent="0.25">
      <c r="A407" s="192">
        <v>334118</v>
      </c>
      <c r="B407" s="192" t="s">
        <v>704</v>
      </c>
    </row>
    <row r="408" spans="1:2" x14ac:dyDescent="0.25">
      <c r="A408" s="192">
        <v>334210</v>
      </c>
      <c r="B408" s="192" t="s">
        <v>705</v>
      </c>
    </row>
    <row r="409" spans="1:2" x14ac:dyDescent="0.25">
      <c r="A409" s="192">
        <v>334220</v>
      </c>
      <c r="B409" s="192" t="s">
        <v>706</v>
      </c>
    </row>
    <row r="410" spans="1:2" x14ac:dyDescent="0.25">
      <c r="A410" s="192">
        <v>334290</v>
      </c>
      <c r="B410" s="192" t="s">
        <v>707</v>
      </c>
    </row>
    <row r="411" spans="1:2" x14ac:dyDescent="0.25">
      <c r="A411" s="192">
        <v>334310</v>
      </c>
      <c r="B411" s="192" t="s">
        <v>708</v>
      </c>
    </row>
    <row r="412" spans="1:2" x14ac:dyDescent="0.25">
      <c r="A412" s="192">
        <v>334412</v>
      </c>
      <c r="B412" s="192" t="s">
        <v>709</v>
      </c>
    </row>
    <row r="413" spans="1:2" x14ac:dyDescent="0.25">
      <c r="A413" s="192">
        <v>334413</v>
      </c>
      <c r="B413" s="192" t="s">
        <v>710</v>
      </c>
    </row>
    <row r="414" spans="1:2" x14ac:dyDescent="0.25">
      <c r="A414" s="192">
        <v>334416</v>
      </c>
      <c r="B414" s="192" t="s">
        <v>711</v>
      </c>
    </row>
    <row r="415" spans="1:2" x14ac:dyDescent="0.25">
      <c r="A415" s="192">
        <v>334417</v>
      </c>
      <c r="B415" s="192" t="s">
        <v>712</v>
      </c>
    </row>
    <row r="416" spans="1:2" x14ac:dyDescent="0.25">
      <c r="A416" s="192">
        <v>334418</v>
      </c>
      <c r="B416" s="192" t="s">
        <v>713</v>
      </c>
    </row>
    <row r="417" spans="1:2" x14ac:dyDescent="0.25">
      <c r="A417" s="192">
        <v>334419</v>
      </c>
      <c r="B417" s="192" t="s">
        <v>714</v>
      </c>
    </row>
    <row r="418" spans="1:2" x14ac:dyDescent="0.25">
      <c r="A418" s="192">
        <v>334510</v>
      </c>
      <c r="B418" s="192" t="s">
        <v>715</v>
      </c>
    </row>
    <row r="419" spans="1:2" x14ac:dyDescent="0.25">
      <c r="A419" s="192">
        <v>334511</v>
      </c>
      <c r="B419" s="192" t="s">
        <v>716</v>
      </c>
    </row>
    <row r="420" spans="1:2" x14ac:dyDescent="0.25">
      <c r="A420" s="192">
        <v>334512</v>
      </c>
      <c r="B420" s="192" t="s">
        <v>717</v>
      </c>
    </row>
    <row r="421" spans="1:2" x14ac:dyDescent="0.25">
      <c r="A421" s="192">
        <v>334513</v>
      </c>
      <c r="B421" s="192" t="s">
        <v>718</v>
      </c>
    </row>
    <row r="422" spans="1:2" x14ac:dyDescent="0.25">
      <c r="A422" s="192">
        <v>334514</v>
      </c>
      <c r="B422" s="192" t="s">
        <v>719</v>
      </c>
    </row>
    <row r="423" spans="1:2" x14ac:dyDescent="0.25">
      <c r="A423" s="192">
        <v>334515</v>
      </c>
      <c r="B423" s="192" t="s">
        <v>720</v>
      </c>
    </row>
    <row r="424" spans="1:2" x14ac:dyDescent="0.25">
      <c r="A424" s="192">
        <v>334516</v>
      </c>
      <c r="B424" s="192" t="s">
        <v>721</v>
      </c>
    </row>
    <row r="425" spans="1:2" x14ac:dyDescent="0.25">
      <c r="A425" s="192">
        <v>334517</v>
      </c>
      <c r="B425" s="192" t="s">
        <v>722</v>
      </c>
    </row>
    <row r="426" spans="1:2" x14ac:dyDescent="0.25">
      <c r="A426" s="192">
        <v>334519</v>
      </c>
      <c r="B426" s="192" t="s">
        <v>723</v>
      </c>
    </row>
    <row r="427" spans="1:2" x14ac:dyDescent="0.25">
      <c r="A427" s="192">
        <v>334613</v>
      </c>
      <c r="B427" s="192" t="s">
        <v>724</v>
      </c>
    </row>
    <row r="428" spans="1:2" x14ac:dyDescent="0.25">
      <c r="A428" s="192">
        <v>334614</v>
      </c>
      <c r="B428" s="192" t="s">
        <v>725</v>
      </c>
    </row>
    <row r="429" spans="1:2" x14ac:dyDescent="0.25">
      <c r="A429" s="192">
        <v>335110</v>
      </c>
      <c r="B429" s="192" t="s">
        <v>726</v>
      </c>
    </row>
    <row r="430" spans="1:2" x14ac:dyDescent="0.25">
      <c r="A430" s="192">
        <v>335121</v>
      </c>
      <c r="B430" s="192" t="s">
        <v>727</v>
      </c>
    </row>
    <row r="431" spans="1:2" x14ac:dyDescent="0.25">
      <c r="A431" s="192">
        <v>335122</v>
      </c>
      <c r="B431" s="192" t="s">
        <v>728</v>
      </c>
    </row>
    <row r="432" spans="1:2" x14ac:dyDescent="0.25">
      <c r="A432" s="192">
        <v>335129</v>
      </c>
      <c r="B432" s="192" t="s">
        <v>729</v>
      </c>
    </row>
    <row r="433" spans="1:2" x14ac:dyDescent="0.25">
      <c r="A433" s="192">
        <v>335210</v>
      </c>
      <c r="B433" s="192" t="s">
        <v>730</v>
      </c>
    </row>
    <row r="434" spans="1:2" x14ac:dyDescent="0.25">
      <c r="A434" s="192">
        <v>335221</v>
      </c>
      <c r="B434" s="192" t="s">
        <v>731</v>
      </c>
    </row>
    <row r="435" spans="1:2" x14ac:dyDescent="0.25">
      <c r="A435" s="192">
        <v>335222</v>
      </c>
      <c r="B435" s="192" t="s">
        <v>732</v>
      </c>
    </row>
    <row r="436" spans="1:2" x14ac:dyDescent="0.25">
      <c r="A436" s="192">
        <v>335224</v>
      </c>
      <c r="B436" s="192" t="s">
        <v>733</v>
      </c>
    </row>
    <row r="437" spans="1:2" x14ac:dyDescent="0.25">
      <c r="A437" s="192">
        <v>335228</v>
      </c>
      <c r="B437" s="192" t="s">
        <v>734</v>
      </c>
    </row>
    <row r="438" spans="1:2" x14ac:dyDescent="0.25">
      <c r="A438" s="192">
        <v>335311</v>
      </c>
      <c r="B438" s="192" t="s">
        <v>735</v>
      </c>
    </row>
    <row r="439" spans="1:2" x14ac:dyDescent="0.25">
      <c r="A439" s="192">
        <v>335312</v>
      </c>
      <c r="B439" s="192" t="s">
        <v>736</v>
      </c>
    </row>
    <row r="440" spans="1:2" x14ac:dyDescent="0.25">
      <c r="A440" s="192">
        <v>335313</v>
      </c>
      <c r="B440" s="192" t="s">
        <v>737</v>
      </c>
    </row>
    <row r="441" spans="1:2" x14ac:dyDescent="0.25">
      <c r="A441" s="192">
        <v>335314</v>
      </c>
      <c r="B441" s="192" t="s">
        <v>738</v>
      </c>
    </row>
    <row r="442" spans="1:2" x14ac:dyDescent="0.25">
      <c r="A442" s="192">
        <v>335911</v>
      </c>
      <c r="B442" s="192" t="s">
        <v>739</v>
      </c>
    </row>
    <row r="443" spans="1:2" x14ac:dyDescent="0.25">
      <c r="A443" s="192">
        <v>335912</v>
      </c>
      <c r="B443" s="192" t="s">
        <v>740</v>
      </c>
    </row>
    <row r="444" spans="1:2" x14ac:dyDescent="0.25">
      <c r="A444" s="192">
        <v>335921</v>
      </c>
      <c r="B444" s="192" t="s">
        <v>741</v>
      </c>
    </row>
    <row r="445" spans="1:2" x14ac:dyDescent="0.25">
      <c r="A445" s="192">
        <v>335929</v>
      </c>
      <c r="B445" s="192" t="s">
        <v>742</v>
      </c>
    </row>
    <row r="446" spans="1:2" x14ac:dyDescent="0.25">
      <c r="A446" s="192">
        <v>335931</v>
      </c>
      <c r="B446" s="192" t="s">
        <v>743</v>
      </c>
    </row>
    <row r="447" spans="1:2" x14ac:dyDescent="0.25">
      <c r="A447" s="192">
        <v>335932</v>
      </c>
      <c r="B447" s="192" t="s">
        <v>744</v>
      </c>
    </row>
    <row r="448" spans="1:2" x14ac:dyDescent="0.25">
      <c r="A448" s="192">
        <v>335991</v>
      </c>
      <c r="B448" s="192" t="s">
        <v>745</v>
      </c>
    </row>
    <row r="449" spans="1:2" x14ac:dyDescent="0.25">
      <c r="A449" s="192">
        <v>335999</v>
      </c>
      <c r="B449" s="192" t="s">
        <v>746</v>
      </c>
    </row>
    <row r="450" spans="1:2" x14ac:dyDescent="0.25">
      <c r="A450" s="192">
        <v>336111</v>
      </c>
      <c r="B450" s="192" t="s">
        <v>747</v>
      </c>
    </row>
    <row r="451" spans="1:2" x14ac:dyDescent="0.25">
      <c r="A451" s="192">
        <v>336112</v>
      </c>
      <c r="B451" s="192" t="s">
        <v>748</v>
      </c>
    </row>
    <row r="452" spans="1:2" x14ac:dyDescent="0.25">
      <c r="A452" s="192">
        <v>336120</v>
      </c>
      <c r="B452" s="192" t="s">
        <v>749</v>
      </c>
    </row>
    <row r="453" spans="1:2" x14ac:dyDescent="0.25">
      <c r="A453" s="192">
        <v>336211</v>
      </c>
      <c r="B453" s="192" t="s">
        <v>750</v>
      </c>
    </row>
    <row r="454" spans="1:2" x14ac:dyDescent="0.25">
      <c r="A454" s="192">
        <v>336212</v>
      </c>
      <c r="B454" s="192" t="s">
        <v>751</v>
      </c>
    </row>
    <row r="455" spans="1:2" x14ac:dyDescent="0.25">
      <c r="A455" s="192">
        <v>336213</v>
      </c>
      <c r="B455" s="192" t="s">
        <v>752</v>
      </c>
    </row>
    <row r="456" spans="1:2" x14ac:dyDescent="0.25">
      <c r="A456" s="192">
        <v>336214</v>
      </c>
      <c r="B456" s="192" t="s">
        <v>753</v>
      </c>
    </row>
    <row r="457" spans="1:2" x14ac:dyDescent="0.25">
      <c r="A457" s="192">
        <v>336310</v>
      </c>
      <c r="B457" s="192" t="s">
        <v>754</v>
      </c>
    </row>
    <row r="458" spans="1:2" x14ac:dyDescent="0.25">
      <c r="A458" s="192">
        <v>336320</v>
      </c>
      <c r="B458" s="192" t="s">
        <v>755</v>
      </c>
    </row>
    <row r="459" spans="1:2" x14ac:dyDescent="0.25">
      <c r="A459" s="192">
        <v>336330</v>
      </c>
      <c r="B459" s="192" t="s">
        <v>756</v>
      </c>
    </row>
    <row r="460" spans="1:2" x14ac:dyDescent="0.25">
      <c r="A460" s="192">
        <v>336340</v>
      </c>
      <c r="B460" s="192" t="s">
        <v>757</v>
      </c>
    </row>
    <row r="461" spans="1:2" x14ac:dyDescent="0.25">
      <c r="A461" s="192">
        <v>336350</v>
      </c>
      <c r="B461" s="192" t="s">
        <v>758</v>
      </c>
    </row>
    <row r="462" spans="1:2" x14ac:dyDescent="0.25">
      <c r="A462" s="192">
        <v>336360</v>
      </c>
      <c r="B462" s="192" t="s">
        <v>759</v>
      </c>
    </row>
    <row r="463" spans="1:2" x14ac:dyDescent="0.25">
      <c r="A463" s="192">
        <v>336370</v>
      </c>
      <c r="B463" s="192" t="s">
        <v>760</v>
      </c>
    </row>
    <row r="464" spans="1:2" x14ac:dyDescent="0.25">
      <c r="A464" s="192">
        <v>336390</v>
      </c>
      <c r="B464" s="192" t="s">
        <v>761</v>
      </c>
    </row>
    <row r="465" spans="1:2" x14ac:dyDescent="0.25">
      <c r="A465" s="192">
        <v>336411</v>
      </c>
      <c r="B465" s="192" t="s">
        <v>762</v>
      </c>
    </row>
    <row r="466" spans="1:2" x14ac:dyDescent="0.25">
      <c r="A466" s="192">
        <v>336412</v>
      </c>
      <c r="B466" s="192" t="s">
        <v>763</v>
      </c>
    </row>
    <row r="467" spans="1:2" x14ac:dyDescent="0.25">
      <c r="A467" s="192">
        <v>336413</v>
      </c>
      <c r="B467" s="192" t="s">
        <v>764</v>
      </c>
    </row>
    <row r="468" spans="1:2" x14ac:dyDescent="0.25">
      <c r="A468" s="192">
        <v>336414</v>
      </c>
      <c r="B468" s="192" t="s">
        <v>765</v>
      </c>
    </row>
    <row r="469" spans="1:2" x14ac:dyDescent="0.25">
      <c r="A469" s="192">
        <v>336415</v>
      </c>
      <c r="B469" s="192" t="s">
        <v>766</v>
      </c>
    </row>
    <row r="470" spans="1:2" x14ac:dyDescent="0.25">
      <c r="A470" s="192">
        <v>336419</v>
      </c>
      <c r="B470" s="192" t="s">
        <v>767</v>
      </c>
    </row>
    <row r="471" spans="1:2" x14ac:dyDescent="0.25">
      <c r="A471" s="192">
        <v>336510</v>
      </c>
      <c r="B471" s="192" t="s">
        <v>768</v>
      </c>
    </row>
    <row r="472" spans="1:2" x14ac:dyDescent="0.25">
      <c r="A472" s="192">
        <v>336611</v>
      </c>
      <c r="B472" s="192" t="s">
        <v>769</v>
      </c>
    </row>
    <row r="473" spans="1:2" x14ac:dyDescent="0.25">
      <c r="A473" s="192">
        <v>336612</v>
      </c>
      <c r="B473" s="192" t="s">
        <v>770</v>
      </c>
    </row>
    <row r="474" spans="1:2" x14ac:dyDescent="0.25">
      <c r="A474" s="192">
        <v>336991</v>
      </c>
      <c r="B474" s="192" t="s">
        <v>771</v>
      </c>
    </row>
    <row r="475" spans="1:2" x14ac:dyDescent="0.25">
      <c r="A475" s="192">
        <v>336992</v>
      </c>
      <c r="B475" s="192" t="s">
        <v>772</v>
      </c>
    </row>
    <row r="476" spans="1:2" x14ac:dyDescent="0.25">
      <c r="A476" s="192">
        <v>336999</v>
      </c>
      <c r="B476" s="192" t="s">
        <v>773</v>
      </c>
    </row>
    <row r="477" spans="1:2" x14ac:dyDescent="0.25">
      <c r="A477" s="192">
        <v>337110</v>
      </c>
      <c r="B477" s="192" t="s">
        <v>774</v>
      </c>
    </row>
    <row r="478" spans="1:2" x14ac:dyDescent="0.25">
      <c r="A478" s="192">
        <v>337121</v>
      </c>
      <c r="B478" s="192" t="s">
        <v>775</v>
      </c>
    </row>
    <row r="479" spans="1:2" x14ac:dyDescent="0.25">
      <c r="A479" s="192">
        <v>337122</v>
      </c>
      <c r="B479" s="192" t="s">
        <v>776</v>
      </c>
    </row>
    <row r="480" spans="1:2" x14ac:dyDescent="0.25">
      <c r="A480" s="192">
        <v>337124</v>
      </c>
      <c r="B480" s="192" t="s">
        <v>777</v>
      </c>
    </row>
    <row r="481" spans="1:2" x14ac:dyDescent="0.25">
      <c r="A481" s="192">
        <v>337125</v>
      </c>
      <c r="B481" s="192" t="s">
        <v>778</v>
      </c>
    </row>
    <row r="482" spans="1:2" x14ac:dyDescent="0.25">
      <c r="A482" s="192">
        <v>337127</v>
      </c>
      <c r="B482" s="192" t="s">
        <v>779</v>
      </c>
    </row>
    <row r="483" spans="1:2" x14ac:dyDescent="0.25">
      <c r="A483" s="192">
        <v>337211</v>
      </c>
      <c r="B483" s="192" t="s">
        <v>780</v>
      </c>
    </row>
    <row r="484" spans="1:2" x14ac:dyDescent="0.25">
      <c r="A484" s="192">
        <v>337212</v>
      </c>
      <c r="B484" s="192" t="s">
        <v>781</v>
      </c>
    </row>
    <row r="485" spans="1:2" x14ac:dyDescent="0.25">
      <c r="A485" s="192">
        <v>337214</v>
      </c>
      <c r="B485" s="192" t="s">
        <v>782</v>
      </c>
    </row>
    <row r="486" spans="1:2" x14ac:dyDescent="0.25">
      <c r="A486" s="192">
        <v>337215</v>
      </c>
      <c r="B486" s="192" t="s">
        <v>783</v>
      </c>
    </row>
    <row r="487" spans="1:2" x14ac:dyDescent="0.25">
      <c r="A487" s="192">
        <v>337910</v>
      </c>
      <c r="B487" s="192" t="s">
        <v>784</v>
      </c>
    </row>
    <row r="488" spans="1:2" x14ac:dyDescent="0.25">
      <c r="A488" s="192">
        <v>337920</v>
      </c>
      <c r="B488" s="192" t="s">
        <v>785</v>
      </c>
    </row>
    <row r="489" spans="1:2" x14ac:dyDescent="0.25">
      <c r="A489" s="192">
        <v>339112</v>
      </c>
      <c r="B489" s="192" t="s">
        <v>786</v>
      </c>
    </row>
    <row r="490" spans="1:2" x14ac:dyDescent="0.25">
      <c r="A490" s="192">
        <v>339113</v>
      </c>
      <c r="B490" s="192" t="s">
        <v>787</v>
      </c>
    </row>
    <row r="491" spans="1:2" x14ac:dyDescent="0.25">
      <c r="A491" s="192">
        <v>339114</v>
      </c>
      <c r="B491" s="192" t="s">
        <v>788</v>
      </c>
    </row>
    <row r="492" spans="1:2" x14ac:dyDescent="0.25">
      <c r="A492" s="192">
        <v>339115</v>
      </c>
      <c r="B492" s="192" t="s">
        <v>789</v>
      </c>
    </row>
    <row r="493" spans="1:2" x14ac:dyDescent="0.25">
      <c r="A493" s="192">
        <v>339116</v>
      </c>
      <c r="B493" s="192" t="s">
        <v>790</v>
      </c>
    </row>
    <row r="494" spans="1:2" x14ac:dyDescent="0.25">
      <c r="A494" s="192">
        <v>339910</v>
      </c>
      <c r="B494" s="192" t="s">
        <v>791</v>
      </c>
    </row>
    <row r="495" spans="1:2" x14ac:dyDescent="0.25">
      <c r="A495" s="192">
        <v>339920</v>
      </c>
      <c r="B495" s="192" t="s">
        <v>792</v>
      </c>
    </row>
    <row r="496" spans="1:2" x14ac:dyDescent="0.25">
      <c r="A496" s="192">
        <v>339930</v>
      </c>
      <c r="B496" s="192" t="s">
        <v>793</v>
      </c>
    </row>
    <row r="497" spans="1:2" x14ac:dyDescent="0.25">
      <c r="A497" s="192">
        <v>339940</v>
      </c>
      <c r="B497" s="192" t="s">
        <v>794</v>
      </c>
    </row>
    <row r="498" spans="1:2" x14ac:dyDescent="0.25">
      <c r="A498" s="192">
        <v>339950</v>
      </c>
      <c r="B498" s="192" t="s">
        <v>795</v>
      </c>
    </row>
    <row r="499" spans="1:2" x14ac:dyDescent="0.25">
      <c r="A499" s="192">
        <v>339991</v>
      </c>
      <c r="B499" s="192" t="s">
        <v>796</v>
      </c>
    </row>
    <row r="500" spans="1:2" x14ac:dyDescent="0.25">
      <c r="A500" s="192">
        <v>339992</v>
      </c>
      <c r="B500" s="192" t="s">
        <v>797</v>
      </c>
    </row>
    <row r="501" spans="1:2" x14ac:dyDescent="0.25">
      <c r="A501" s="192">
        <v>339993</v>
      </c>
      <c r="B501" s="192" t="s">
        <v>798</v>
      </c>
    </row>
    <row r="502" spans="1:2" x14ac:dyDescent="0.25">
      <c r="A502" s="192">
        <v>339994</v>
      </c>
      <c r="B502" s="192" t="s">
        <v>799</v>
      </c>
    </row>
    <row r="503" spans="1:2" x14ac:dyDescent="0.25">
      <c r="A503" s="192">
        <v>339995</v>
      </c>
      <c r="B503" s="192" t="s">
        <v>800</v>
      </c>
    </row>
    <row r="504" spans="1:2" x14ac:dyDescent="0.25">
      <c r="A504" s="192">
        <v>339999</v>
      </c>
      <c r="B504" s="192" t="s">
        <v>801</v>
      </c>
    </row>
    <row r="505" spans="1:2" x14ac:dyDescent="0.25">
      <c r="A505" s="192">
        <v>423110</v>
      </c>
      <c r="B505" s="192" t="s">
        <v>802</v>
      </c>
    </row>
    <row r="506" spans="1:2" x14ac:dyDescent="0.25">
      <c r="A506" s="192">
        <v>423120</v>
      </c>
      <c r="B506" s="192" t="s">
        <v>803</v>
      </c>
    </row>
    <row r="507" spans="1:2" x14ac:dyDescent="0.25">
      <c r="A507" s="192">
        <v>423130</v>
      </c>
      <c r="B507" s="192" t="s">
        <v>804</v>
      </c>
    </row>
    <row r="508" spans="1:2" x14ac:dyDescent="0.25">
      <c r="A508" s="192">
        <v>423140</v>
      </c>
      <c r="B508" s="192" t="s">
        <v>805</v>
      </c>
    </row>
    <row r="509" spans="1:2" x14ac:dyDescent="0.25">
      <c r="A509" s="192">
        <v>423210</v>
      </c>
      <c r="B509" s="192" t="s">
        <v>806</v>
      </c>
    </row>
    <row r="510" spans="1:2" x14ac:dyDescent="0.25">
      <c r="A510" s="192">
        <v>423220</v>
      </c>
      <c r="B510" s="192" t="s">
        <v>807</v>
      </c>
    </row>
    <row r="511" spans="1:2" x14ac:dyDescent="0.25">
      <c r="A511" s="192">
        <v>423310</v>
      </c>
      <c r="B511" s="192" t="s">
        <v>808</v>
      </c>
    </row>
    <row r="512" spans="1:2" x14ac:dyDescent="0.25">
      <c r="A512" s="192">
        <v>423320</v>
      </c>
      <c r="B512" s="192" t="s">
        <v>809</v>
      </c>
    </row>
    <row r="513" spans="1:2" x14ac:dyDescent="0.25">
      <c r="A513" s="192">
        <v>423330</v>
      </c>
      <c r="B513" s="192" t="s">
        <v>810</v>
      </c>
    </row>
    <row r="514" spans="1:2" x14ac:dyDescent="0.25">
      <c r="A514" s="192">
        <v>423390</v>
      </c>
      <c r="B514" s="192" t="s">
        <v>811</v>
      </c>
    </row>
    <row r="515" spans="1:2" x14ac:dyDescent="0.25">
      <c r="A515" s="192">
        <v>423410</v>
      </c>
      <c r="B515" s="192" t="s">
        <v>812</v>
      </c>
    </row>
    <row r="516" spans="1:2" x14ac:dyDescent="0.25">
      <c r="A516" s="192">
        <v>423420</v>
      </c>
      <c r="B516" s="192" t="s">
        <v>813</v>
      </c>
    </row>
    <row r="517" spans="1:2" x14ac:dyDescent="0.25">
      <c r="A517" s="192">
        <v>423430</v>
      </c>
      <c r="B517" s="192" t="s">
        <v>814</v>
      </c>
    </row>
    <row r="518" spans="1:2" x14ac:dyDescent="0.25">
      <c r="A518" s="192">
        <v>423440</v>
      </c>
      <c r="B518" s="192" t="s">
        <v>815</v>
      </c>
    </row>
    <row r="519" spans="1:2" x14ac:dyDescent="0.25">
      <c r="A519" s="192">
        <v>423450</v>
      </c>
      <c r="B519" s="192" t="s">
        <v>816</v>
      </c>
    </row>
    <row r="520" spans="1:2" x14ac:dyDescent="0.25">
      <c r="A520" s="192">
        <v>423460</v>
      </c>
      <c r="B520" s="192" t="s">
        <v>817</v>
      </c>
    </row>
    <row r="521" spans="1:2" x14ac:dyDescent="0.25">
      <c r="A521" s="192">
        <v>423490</v>
      </c>
      <c r="B521" s="192" t="s">
        <v>818</v>
      </c>
    </row>
    <row r="522" spans="1:2" x14ac:dyDescent="0.25">
      <c r="A522" s="192">
        <v>423510</v>
      </c>
      <c r="B522" s="192" t="s">
        <v>819</v>
      </c>
    </row>
    <row r="523" spans="1:2" x14ac:dyDescent="0.25">
      <c r="A523" s="192">
        <v>423520</v>
      </c>
      <c r="B523" s="192" t="s">
        <v>820</v>
      </c>
    </row>
    <row r="524" spans="1:2" x14ac:dyDescent="0.25">
      <c r="A524" s="192">
        <v>423610</v>
      </c>
      <c r="B524" s="192" t="s">
        <v>821</v>
      </c>
    </row>
    <row r="525" spans="1:2" x14ac:dyDescent="0.25">
      <c r="A525" s="192">
        <v>423620</v>
      </c>
      <c r="B525" s="192" t="s">
        <v>822</v>
      </c>
    </row>
    <row r="526" spans="1:2" x14ac:dyDescent="0.25">
      <c r="A526" s="192">
        <v>423690</v>
      </c>
      <c r="B526" s="192" t="s">
        <v>823</v>
      </c>
    </row>
    <row r="527" spans="1:2" x14ac:dyDescent="0.25">
      <c r="A527" s="192">
        <v>423710</v>
      </c>
      <c r="B527" s="192" t="s">
        <v>824</v>
      </c>
    </row>
    <row r="528" spans="1:2" x14ac:dyDescent="0.25">
      <c r="A528" s="192">
        <v>423720</v>
      </c>
      <c r="B528" s="192" t="s">
        <v>825</v>
      </c>
    </row>
    <row r="529" spans="1:2" x14ac:dyDescent="0.25">
      <c r="A529" s="192">
        <v>423730</v>
      </c>
      <c r="B529" s="192" t="s">
        <v>826</v>
      </c>
    </row>
    <row r="530" spans="1:2" x14ac:dyDescent="0.25">
      <c r="A530" s="192">
        <v>423740</v>
      </c>
      <c r="B530" s="192" t="s">
        <v>827</v>
      </c>
    </row>
    <row r="531" spans="1:2" x14ac:dyDescent="0.25">
      <c r="A531" s="192">
        <v>423810</v>
      </c>
      <c r="B531" s="192" t="s">
        <v>828</v>
      </c>
    </row>
    <row r="532" spans="1:2" x14ac:dyDescent="0.25">
      <c r="A532" s="192">
        <v>423820</v>
      </c>
      <c r="B532" s="192" t="s">
        <v>829</v>
      </c>
    </row>
    <row r="533" spans="1:2" x14ac:dyDescent="0.25">
      <c r="A533" s="192">
        <v>423830</v>
      </c>
      <c r="B533" s="192" t="s">
        <v>830</v>
      </c>
    </row>
    <row r="534" spans="1:2" x14ac:dyDescent="0.25">
      <c r="A534" s="192">
        <v>423840</v>
      </c>
      <c r="B534" s="192" t="s">
        <v>831</v>
      </c>
    </row>
    <row r="535" spans="1:2" x14ac:dyDescent="0.25">
      <c r="A535" s="192">
        <v>423850</v>
      </c>
      <c r="B535" s="192" t="s">
        <v>832</v>
      </c>
    </row>
    <row r="536" spans="1:2" x14ac:dyDescent="0.25">
      <c r="A536" s="192">
        <v>423860</v>
      </c>
      <c r="B536" s="192" t="s">
        <v>833</v>
      </c>
    </row>
    <row r="537" spans="1:2" x14ac:dyDescent="0.25">
      <c r="A537" s="192">
        <v>423910</v>
      </c>
      <c r="B537" s="192" t="s">
        <v>834</v>
      </c>
    </row>
    <row r="538" spans="1:2" x14ac:dyDescent="0.25">
      <c r="A538" s="192">
        <v>423920</v>
      </c>
      <c r="B538" s="192" t="s">
        <v>835</v>
      </c>
    </row>
    <row r="539" spans="1:2" x14ac:dyDescent="0.25">
      <c r="A539" s="192">
        <v>423930</v>
      </c>
      <c r="B539" s="192" t="s">
        <v>836</v>
      </c>
    </row>
    <row r="540" spans="1:2" x14ac:dyDescent="0.25">
      <c r="A540" s="192">
        <v>423940</v>
      </c>
      <c r="B540" s="192" t="s">
        <v>837</v>
      </c>
    </row>
    <row r="541" spans="1:2" x14ac:dyDescent="0.25">
      <c r="A541" s="192">
        <v>423990</v>
      </c>
      <c r="B541" s="192" t="s">
        <v>838</v>
      </c>
    </row>
    <row r="542" spans="1:2" x14ac:dyDescent="0.25">
      <c r="A542" s="192">
        <v>424110</v>
      </c>
      <c r="B542" s="192" t="s">
        <v>839</v>
      </c>
    </row>
    <row r="543" spans="1:2" x14ac:dyDescent="0.25">
      <c r="A543" s="192">
        <v>424120</v>
      </c>
      <c r="B543" s="192" t="s">
        <v>840</v>
      </c>
    </row>
    <row r="544" spans="1:2" x14ac:dyDescent="0.25">
      <c r="A544" s="192">
        <v>424130</v>
      </c>
      <c r="B544" s="192" t="s">
        <v>841</v>
      </c>
    </row>
    <row r="545" spans="1:2" x14ac:dyDescent="0.25">
      <c r="A545" s="192">
        <v>424210</v>
      </c>
      <c r="B545" s="192" t="s">
        <v>842</v>
      </c>
    </row>
    <row r="546" spans="1:2" x14ac:dyDescent="0.25">
      <c r="A546" s="192">
        <v>424310</v>
      </c>
      <c r="B546" s="192" t="s">
        <v>843</v>
      </c>
    </row>
    <row r="547" spans="1:2" x14ac:dyDescent="0.25">
      <c r="A547" s="192">
        <v>424320</v>
      </c>
      <c r="B547" s="192" t="s">
        <v>844</v>
      </c>
    </row>
    <row r="548" spans="1:2" x14ac:dyDescent="0.25">
      <c r="A548" s="192">
        <v>424330</v>
      </c>
      <c r="B548" s="192" t="s">
        <v>845</v>
      </c>
    </row>
    <row r="549" spans="1:2" x14ac:dyDescent="0.25">
      <c r="A549" s="192">
        <v>424340</v>
      </c>
      <c r="B549" s="192" t="s">
        <v>846</v>
      </c>
    </row>
    <row r="550" spans="1:2" x14ac:dyDescent="0.25">
      <c r="A550" s="192">
        <v>424410</v>
      </c>
      <c r="B550" s="192" t="s">
        <v>847</v>
      </c>
    </row>
    <row r="551" spans="1:2" x14ac:dyDescent="0.25">
      <c r="A551" s="192">
        <v>424420</v>
      </c>
      <c r="B551" s="192" t="s">
        <v>848</v>
      </c>
    </row>
    <row r="552" spans="1:2" x14ac:dyDescent="0.25">
      <c r="A552" s="192">
        <v>424430</v>
      </c>
      <c r="B552" s="192" t="s">
        <v>849</v>
      </c>
    </row>
    <row r="553" spans="1:2" x14ac:dyDescent="0.25">
      <c r="A553" s="192">
        <v>424440</v>
      </c>
      <c r="B553" s="192" t="s">
        <v>850</v>
      </c>
    </row>
    <row r="554" spans="1:2" x14ac:dyDescent="0.25">
      <c r="A554" s="192">
        <v>424450</v>
      </c>
      <c r="B554" s="192" t="s">
        <v>851</v>
      </c>
    </row>
    <row r="555" spans="1:2" x14ac:dyDescent="0.25">
      <c r="A555" s="192">
        <v>424460</v>
      </c>
      <c r="B555" s="192" t="s">
        <v>852</v>
      </c>
    </row>
    <row r="556" spans="1:2" x14ac:dyDescent="0.25">
      <c r="A556" s="192">
        <v>424470</v>
      </c>
      <c r="B556" s="192" t="s">
        <v>853</v>
      </c>
    </row>
    <row r="557" spans="1:2" x14ac:dyDescent="0.25">
      <c r="A557" s="192">
        <v>424480</v>
      </c>
      <c r="B557" s="192" t="s">
        <v>854</v>
      </c>
    </row>
    <row r="558" spans="1:2" x14ac:dyDescent="0.25">
      <c r="A558" s="192">
        <v>424490</v>
      </c>
      <c r="B558" s="192" t="s">
        <v>855</v>
      </c>
    </row>
    <row r="559" spans="1:2" x14ac:dyDescent="0.25">
      <c r="A559" s="192">
        <v>424510</v>
      </c>
      <c r="B559" s="192" t="s">
        <v>856</v>
      </c>
    </row>
    <row r="560" spans="1:2" x14ac:dyDescent="0.25">
      <c r="A560" s="192">
        <v>424520</v>
      </c>
      <c r="B560" s="192" t="s">
        <v>857</v>
      </c>
    </row>
    <row r="561" spans="1:2" x14ac:dyDescent="0.25">
      <c r="A561" s="192">
        <v>424590</v>
      </c>
      <c r="B561" s="192" t="s">
        <v>858</v>
      </c>
    </row>
    <row r="562" spans="1:2" x14ac:dyDescent="0.25">
      <c r="A562" s="192">
        <v>424610</v>
      </c>
      <c r="B562" s="192" t="s">
        <v>859</v>
      </c>
    </row>
    <row r="563" spans="1:2" x14ac:dyDescent="0.25">
      <c r="A563" s="192">
        <v>424690</v>
      </c>
      <c r="B563" s="192" t="s">
        <v>860</v>
      </c>
    </row>
    <row r="564" spans="1:2" x14ac:dyDescent="0.25">
      <c r="A564" s="192">
        <v>424710</v>
      </c>
      <c r="B564" s="192" t="s">
        <v>861</v>
      </c>
    </row>
    <row r="565" spans="1:2" x14ac:dyDescent="0.25">
      <c r="A565" s="192">
        <v>424720</v>
      </c>
      <c r="B565" s="192" t="s">
        <v>862</v>
      </c>
    </row>
    <row r="566" spans="1:2" x14ac:dyDescent="0.25">
      <c r="A566" s="192">
        <v>424810</v>
      </c>
      <c r="B566" s="192" t="s">
        <v>863</v>
      </c>
    </row>
    <row r="567" spans="1:2" x14ac:dyDescent="0.25">
      <c r="A567" s="192">
        <v>424820</v>
      </c>
      <c r="B567" s="192" t="s">
        <v>864</v>
      </c>
    </row>
    <row r="568" spans="1:2" x14ac:dyDescent="0.25">
      <c r="A568" s="192">
        <v>424910</v>
      </c>
      <c r="B568" s="192" t="s">
        <v>865</v>
      </c>
    </row>
    <row r="569" spans="1:2" x14ac:dyDescent="0.25">
      <c r="A569" s="192">
        <v>424920</v>
      </c>
      <c r="B569" s="192" t="s">
        <v>866</v>
      </c>
    </row>
    <row r="570" spans="1:2" x14ac:dyDescent="0.25">
      <c r="A570" s="192">
        <v>424930</v>
      </c>
      <c r="B570" s="192" t="s">
        <v>867</v>
      </c>
    </row>
    <row r="571" spans="1:2" x14ac:dyDescent="0.25">
      <c r="A571" s="192">
        <v>424940</v>
      </c>
      <c r="B571" s="192" t="s">
        <v>868</v>
      </c>
    </row>
    <row r="572" spans="1:2" x14ac:dyDescent="0.25">
      <c r="A572" s="192">
        <v>424950</v>
      </c>
      <c r="B572" s="192" t="s">
        <v>869</v>
      </c>
    </row>
    <row r="573" spans="1:2" x14ac:dyDescent="0.25">
      <c r="A573" s="192">
        <v>424990</v>
      </c>
      <c r="B573" s="192" t="s">
        <v>870</v>
      </c>
    </row>
    <row r="574" spans="1:2" x14ac:dyDescent="0.25">
      <c r="A574" s="192">
        <v>425110</v>
      </c>
      <c r="B574" s="192" t="s">
        <v>871</v>
      </c>
    </row>
    <row r="575" spans="1:2" x14ac:dyDescent="0.25">
      <c r="A575" s="192">
        <v>425120</v>
      </c>
      <c r="B575" s="192" t="s">
        <v>872</v>
      </c>
    </row>
    <row r="576" spans="1:2" x14ac:dyDescent="0.25">
      <c r="A576" s="192">
        <v>441110</v>
      </c>
      <c r="B576" s="192" t="s">
        <v>873</v>
      </c>
    </row>
    <row r="577" spans="1:2" x14ac:dyDescent="0.25">
      <c r="A577" s="192">
        <v>441120</v>
      </c>
      <c r="B577" s="192" t="s">
        <v>874</v>
      </c>
    </row>
    <row r="578" spans="1:2" x14ac:dyDescent="0.25">
      <c r="A578" s="192">
        <v>441210</v>
      </c>
      <c r="B578" s="192" t="s">
        <v>875</v>
      </c>
    </row>
    <row r="579" spans="1:2" x14ac:dyDescent="0.25">
      <c r="A579" s="192">
        <v>441222</v>
      </c>
      <c r="B579" s="192" t="s">
        <v>876</v>
      </c>
    </row>
    <row r="580" spans="1:2" x14ac:dyDescent="0.25">
      <c r="A580" s="192">
        <v>441228</v>
      </c>
      <c r="B580" s="192" t="s">
        <v>877</v>
      </c>
    </row>
    <row r="581" spans="1:2" x14ac:dyDescent="0.25">
      <c r="A581" s="192">
        <v>441310</v>
      </c>
      <c r="B581" s="192" t="s">
        <v>878</v>
      </c>
    </row>
    <row r="582" spans="1:2" x14ac:dyDescent="0.25">
      <c r="A582" s="192">
        <v>441320</v>
      </c>
      <c r="B582" s="192" t="s">
        <v>879</v>
      </c>
    </row>
    <row r="583" spans="1:2" x14ac:dyDescent="0.25">
      <c r="A583" s="192">
        <v>442110</v>
      </c>
      <c r="B583" s="192" t="s">
        <v>880</v>
      </c>
    </row>
    <row r="584" spans="1:2" x14ac:dyDescent="0.25">
      <c r="A584" s="192">
        <v>442210</v>
      </c>
      <c r="B584" s="192" t="s">
        <v>881</v>
      </c>
    </row>
    <row r="585" spans="1:2" x14ac:dyDescent="0.25">
      <c r="A585" s="192">
        <v>442291</v>
      </c>
      <c r="B585" s="192" t="s">
        <v>882</v>
      </c>
    </row>
    <row r="586" spans="1:2" x14ac:dyDescent="0.25">
      <c r="A586" s="192">
        <v>442299</v>
      </c>
      <c r="B586" s="192" t="s">
        <v>883</v>
      </c>
    </row>
    <row r="587" spans="1:2" x14ac:dyDescent="0.25">
      <c r="A587" s="192">
        <v>443141</v>
      </c>
      <c r="B587" s="192" t="s">
        <v>884</v>
      </c>
    </row>
    <row r="588" spans="1:2" x14ac:dyDescent="0.25">
      <c r="A588" s="192">
        <v>443142</v>
      </c>
      <c r="B588" s="192" t="s">
        <v>885</v>
      </c>
    </row>
    <row r="589" spans="1:2" x14ac:dyDescent="0.25">
      <c r="A589" s="192">
        <v>444110</v>
      </c>
      <c r="B589" s="192" t="s">
        <v>886</v>
      </c>
    </row>
    <row r="590" spans="1:2" x14ac:dyDescent="0.25">
      <c r="A590" s="192">
        <v>444120</v>
      </c>
      <c r="B590" s="192" t="s">
        <v>887</v>
      </c>
    </row>
    <row r="591" spans="1:2" x14ac:dyDescent="0.25">
      <c r="A591" s="192">
        <v>444130</v>
      </c>
      <c r="B591" s="192" t="s">
        <v>888</v>
      </c>
    </row>
    <row r="592" spans="1:2" x14ac:dyDescent="0.25">
      <c r="A592" s="192">
        <v>444190</v>
      </c>
      <c r="B592" s="192" t="s">
        <v>889</v>
      </c>
    </row>
    <row r="593" spans="1:2" x14ac:dyDescent="0.25">
      <c r="A593" s="192">
        <v>444210</v>
      </c>
      <c r="B593" s="192" t="s">
        <v>890</v>
      </c>
    </row>
    <row r="594" spans="1:2" x14ac:dyDescent="0.25">
      <c r="A594" s="192">
        <v>444220</v>
      </c>
      <c r="B594" s="192" t="s">
        <v>891</v>
      </c>
    </row>
    <row r="595" spans="1:2" x14ac:dyDescent="0.25">
      <c r="A595" s="192">
        <v>445110</v>
      </c>
      <c r="B595" s="192" t="s">
        <v>892</v>
      </c>
    </row>
    <row r="596" spans="1:2" x14ac:dyDescent="0.25">
      <c r="A596" s="192">
        <v>445120</v>
      </c>
      <c r="B596" s="192" t="s">
        <v>893</v>
      </c>
    </row>
    <row r="597" spans="1:2" x14ac:dyDescent="0.25">
      <c r="A597" s="192">
        <v>445210</v>
      </c>
      <c r="B597" s="192" t="s">
        <v>894</v>
      </c>
    </row>
    <row r="598" spans="1:2" x14ac:dyDescent="0.25">
      <c r="A598" s="192">
        <v>445220</v>
      </c>
      <c r="B598" s="192" t="s">
        <v>895</v>
      </c>
    </row>
    <row r="599" spans="1:2" x14ac:dyDescent="0.25">
      <c r="A599" s="192">
        <v>445230</v>
      </c>
      <c r="B599" s="192" t="s">
        <v>896</v>
      </c>
    </row>
    <row r="600" spans="1:2" x14ac:dyDescent="0.25">
      <c r="A600" s="192">
        <v>445291</v>
      </c>
      <c r="B600" s="192" t="s">
        <v>897</v>
      </c>
    </row>
    <row r="601" spans="1:2" x14ac:dyDescent="0.25">
      <c r="A601" s="192">
        <v>445292</v>
      </c>
      <c r="B601" s="192" t="s">
        <v>898</v>
      </c>
    </row>
    <row r="602" spans="1:2" x14ac:dyDescent="0.25">
      <c r="A602" s="192">
        <v>445299</v>
      </c>
      <c r="B602" s="192" t="s">
        <v>899</v>
      </c>
    </row>
    <row r="603" spans="1:2" x14ac:dyDescent="0.25">
      <c r="A603" s="192">
        <v>445310</v>
      </c>
      <c r="B603" s="192" t="s">
        <v>900</v>
      </c>
    </row>
    <row r="604" spans="1:2" x14ac:dyDescent="0.25">
      <c r="A604" s="192">
        <v>446110</v>
      </c>
      <c r="B604" s="192" t="s">
        <v>901</v>
      </c>
    </row>
    <row r="605" spans="1:2" x14ac:dyDescent="0.25">
      <c r="A605" s="192">
        <v>446120</v>
      </c>
      <c r="B605" s="192" t="s">
        <v>902</v>
      </c>
    </row>
    <row r="606" spans="1:2" x14ac:dyDescent="0.25">
      <c r="A606" s="192">
        <v>446130</v>
      </c>
      <c r="B606" s="192" t="s">
        <v>903</v>
      </c>
    </row>
    <row r="607" spans="1:2" x14ac:dyDescent="0.25">
      <c r="A607" s="192">
        <v>446191</v>
      </c>
      <c r="B607" s="192" t="s">
        <v>904</v>
      </c>
    </row>
    <row r="608" spans="1:2" x14ac:dyDescent="0.25">
      <c r="A608" s="192">
        <v>446199</v>
      </c>
      <c r="B608" s="192" t="s">
        <v>905</v>
      </c>
    </row>
    <row r="609" spans="1:2" x14ac:dyDescent="0.25">
      <c r="A609" s="192">
        <v>447110</v>
      </c>
      <c r="B609" s="192" t="s">
        <v>906</v>
      </c>
    </row>
    <row r="610" spans="1:2" x14ac:dyDescent="0.25">
      <c r="A610" s="192">
        <v>447190</v>
      </c>
      <c r="B610" s="192" t="s">
        <v>907</v>
      </c>
    </row>
    <row r="611" spans="1:2" x14ac:dyDescent="0.25">
      <c r="A611" s="192">
        <v>448110</v>
      </c>
      <c r="B611" s="192" t="s">
        <v>908</v>
      </c>
    </row>
    <row r="612" spans="1:2" x14ac:dyDescent="0.25">
      <c r="A612" s="192">
        <v>448120</v>
      </c>
      <c r="B612" s="192" t="s">
        <v>909</v>
      </c>
    </row>
    <row r="613" spans="1:2" x14ac:dyDescent="0.25">
      <c r="A613" s="192">
        <v>448130</v>
      </c>
      <c r="B613" s="192" t="s">
        <v>910</v>
      </c>
    </row>
    <row r="614" spans="1:2" x14ac:dyDescent="0.25">
      <c r="A614" s="192">
        <v>448140</v>
      </c>
      <c r="B614" s="192" t="s">
        <v>911</v>
      </c>
    </row>
    <row r="615" spans="1:2" x14ac:dyDescent="0.25">
      <c r="A615" s="192">
        <v>448150</v>
      </c>
      <c r="B615" s="192" t="s">
        <v>912</v>
      </c>
    </row>
    <row r="616" spans="1:2" x14ac:dyDescent="0.25">
      <c r="A616" s="192">
        <v>448190</v>
      </c>
      <c r="B616" s="192" t="s">
        <v>913</v>
      </c>
    </row>
    <row r="617" spans="1:2" x14ac:dyDescent="0.25">
      <c r="A617" s="192">
        <v>448210</v>
      </c>
      <c r="B617" s="192" t="s">
        <v>914</v>
      </c>
    </row>
    <row r="618" spans="1:2" x14ac:dyDescent="0.25">
      <c r="A618" s="192">
        <v>448310</v>
      </c>
      <c r="B618" s="192" t="s">
        <v>915</v>
      </c>
    </row>
    <row r="619" spans="1:2" x14ac:dyDescent="0.25">
      <c r="A619" s="192">
        <v>448320</v>
      </c>
      <c r="B619" s="192" t="s">
        <v>916</v>
      </c>
    </row>
    <row r="620" spans="1:2" x14ac:dyDescent="0.25">
      <c r="A620" s="192">
        <v>451110</v>
      </c>
      <c r="B620" s="192" t="s">
        <v>917</v>
      </c>
    </row>
    <row r="621" spans="1:2" x14ac:dyDescent="0.25">
      <c r="A621" s="192">
        <v>451120</v>
      </c>
      <c r="B621" s="192" t="s">
        <v>918</v>
      </c>
    </row>
    <row r="622" spans="1:2" x14ac:dyDescent="0.25">
      <c r="A622" s="192">
        <v>451130</v>
      </c>
      <c r="B622" s="192" t="s">
        <v>919</v>
      </c>
    </row>
    <row r="623" spans="1:2" x14ac:dyDescent="0.25">
      <c r="A623" s="192">
        <v>451140</v>
      </c>
      <c r="B623" s="192" t="s">
        <v>920</v>
      </c>
    </row>
    <row r="624" spans="1:2" x14ac:dyDescent="0.25">
      <c r="A624" s="192">
        <v>451211</v>
      </c>
      <c r="B624" s="192" t="s">
        <v>921</v>
      </c>
    </row>
    <row r="625" spans="1:2" x14ac:dyDescent="0.25">
      <c r="A625" s="192">
        <v>451212</v>
      </c>
      <c r="B625" s="192" t="s">
        <v>922</v>
      </c>
    </row>
    <row r="626" spans="1:2" x14ac:dyDescent="0.25">
      <c r="A626" s="192">
        <v>452111</v>
      </c>
      <c r="B626" s="192" t="s">
        <v>923</v>
      </c>
    </row>
    <row r="627" spans="1:2" x14ac:dyDescent="0.25">
      <c r="A627" s="192">
        <v>452112</v>
      </c>
      <c r="B627" s="192" t="s">
        <v>924</v>
      </c>
    </row>
    <row r="628" spans="1:2" x14ac:dyDescent="0.25">
      <c r="A628" s="192">
        <v>452910</v>
      </c>
      <c r="B628" s="192" t="s">
        <v>925</v>
      </c>
    </row>
    <row r="629" spans="1:2" x14ac:dyDescent="0.25">
      <c r="A629" s="192">
        <v>452990</v>
      </c>
      <c r="B629" s="192" t="s">
        <v>926</v>
      </c>
    </row>
    <row r="630" spans="1:2" x14ac:dyDescent="0.25">
      <c r="A630" s="192">
        <v>453110</v>
      </c>
      <c r="B630" s="192" t="s">
        <v>927</v>
      </c>
    </row>
    <row r="631" spans="1:2" x14ac:dyDescent="0.25">
      <c r="A631" s="192">
        <v>453210</v>
      </c>
      <c r="B631" s="192" t="s">
        <v>928</v>
      </c>
    </row>
    <row r="632" spans="1:2" x14ac:dyDescent="0.25">
      <c r="A632" s="192">
        <v>453220</v>
      </c>
      <c r="B632" s="192" t="s">
        <v>929</v>
      </c>
    </row>
    <row r="633" spans="1:2" x14ac:dyDescent="0.25">
      <c r="A633" s="192">
        <v>453310</v>
      </c>
      <c r="B633" s="192" t="s">
        <v>930</v>
      </c>
    </row>
    <row r="634" spans="1:2" x14ac:dyDescent="0.25">
      <c r="A634" s="192">
        <v>453910</v>
      </c>
      <c r="B634" s="192" t="s">
        <v>931</v>
      </c>
    </row>
    <row r="635" spans="1:2" x14ac:dyDescent="0.25">
      <c r="A635" s="192">
        <v>453920</v>
      </c>
      <c r="B635" s="192" t="s">
        <v>932</v>
      </c>
    </row>
    <row r="636" spans="1:2" x14ac:dyDescent="0.25">
      <c r="A636" s="192">
        <v>453930</v>
      </c>
      <c r="B636" s="192" t="s">
        <v>933</v>
      </c>
    </row>
    <row r="637" spans="1:2" x14ac:dyDescent="0.25">
      <c r="A637" s="192">
        <v>453991</v>
      </c>
      <c r="B637" s="192" t="s">
        <v>934</v>
      </c>
    </row>
    <row r="638" spans="1:2" x14ac:dyDescent="0.25">
      <c r="A638" s="192">
        <v>453998</v>
      </c>
      <c r="B638" s="192" t="s">
        <v>935</v>
      </c>
    </row>
    <row r="639" spans="1:2" x14ac:dyDescent="0.25">
      <c r="A639" s="192">
        <v>454111</v>
      </c>
      <c r="B639" s="192" t="s">
        <v>936</v>
      </c>
    </row>
    <row r="640" spans="1:2" x14ac:dyDescent="0.25">
      <c r="A640" s="192">
        <v>454112</v>
      </c>
      <c r="B640" s="192" t="s">
        <v>937</v>
      </c>
    </row>
    <row r="641" spans="1:2" x14ac:dyDescent="0.25">
      <c r="A641" s="192">
        <v>454113</v>
      </c>
      <c r="B641" s="192" t="s">
        <v>938</v>
      </c>
    </row>
    <row r="642" spans="1:2" x14ac:dyDescent="0.25">
      <c r="A642" s="192">
        <v>454210</v>
      </c>
      <c r="B642" s="192" t="s">
        <v>939</v>
      </c>
    </row>
    <row r="643" spans="1:2" x14ac:dyDescent="0.25">
      <c r="A643" s="192">
        <v>454310</v>
      </c>
      <c r="B643" s="192" t="s">
        <v>940</v>
      </c>
    </row>
    <row r="644" spans="1:2" x14ac:dyDescent="0.25">
      <c r="A644" s="192">
        <v>454390</v>
      </c>
      <c r="B644" s="192" t="s">
        <v>941</v>
      </c>
    </row>
    <row r="645" spans="1:2" x14ac:dyDescent="0.25">
      <c r="A645" s="192">
        <v>481111</v>
      </c>
      <c r="B645" s="192" t="s">
        <v>942</v>
      </c>
    </row>
    <row r="646" spans="1:2" x14ac:dyDescent="0.25">
      <c r="A646" s="192">
        <v>481112</v>
      </c>
      <c r="B646" s="192" t="s">
        <v>943</v>
      </c>
    </row>
    <row r="647" spans="1:2" x14ac:dyDescent="0.25">
      <c r="A647" s="192">
        <v>481211</v>
      </c>
      <c r="B647" s="192" t="s">
        <v>944</v>
      </c>
    </row>
    <row r="648" spans="1:2" x14ac:dyDescent="0.25">
      <c r="A648" s="192">
        <v>481212</v>
      </c>
      <c r="B648" s="192" t="s">
        <v>945</v>
      </c>
    </row>
    <row r="649" spans="1:2" x14ac:dyDescent="0.25">
      <c r="A649" s="192">
        <v>481219</v>
      </c>
      <c r="B649" s="192" t="s">
        <v>946</v>
      </c>
    </row>
    <row r="650" spans="1:2" x14ac:dyDescent="0.25">
      <c r="A650" s="192">
        <v>482111</v>
      </c>
      <c r="B650" s="192" t="s">
        <v>947</v>
      </c>
    </row>
    <row r="651" spans="1:2" x14ac:dyDescent="0.25">
      <c r="A651" s="192">
        <v>482112</v>
      </c>
      <c r="B651" s="192" t="s">
        <v>948</v>
      </c>
    </row>
    <row r="652" spans="1:2" x14ac:dyDescent="0.25">
      <c r="A652" s="192">
        <v>483111</v>
      </c>
      <c r="B652" s="192" t="s">
        <v>949</v>
      </c>
    </row>
    <row r="653" spans="1:2" x14ac:dyDescent="0.25">
      <c r="A653" s="192">
        <v>483112</v>
      </c>
      <c r="B653" s="192" t="s">
        <v>950</v>
      </c>
    </row>
    <row r="654" spans="1:2" x14ac:dyDescent="0.25">
      <c r="A654" s="192">
        <v>483113</v>
      </c>
      <c r="B654" s="192" t="s">
        <v>951</v>
      </c>
    </row>
    <row r="655" spans="1:2" x14ac:dyDescent="0.25">
      <c r="A655" s="192">
        <v>483114</v>
      </c>
      <c r="B655" s="192" t="s">
        <v>952</v>
      </c>
    </row>
    <row r="656" spans="1:2" x14ac:dyDescent="0.25">
      <c r="A656" s="192">
        <v>483211</v>
      </c>
      <c r="B656" s="192" t="s">
        <v>953</v>
      </c>
    </row>
    <row r="657" spans="1:2" x14ac:dyDescent="0.25">
      <c r="A657" s="192">
        <v>483212</v>
      </c>
      <c r="B657" s="192" t="s">
        <v>954</v>
      </c>
    </row>
    <row r="658" spans="1:2" x14ac:dyDescent="0.25">
      <c r="A658" s="192">
        <v>484110</v>
      </c>
      <c r="B658" s="192" t="s">
        <v>955</v>
      </c>
    </row>
    <row r="659" spans="1:2" x14ac:dyDescent="0.25">
      <c r="A659" s="192">
        <v>484121</v>
      </c>
      <c r="B659" s="192" t="s">
        <v>956</v>
      </c>
    </row>
    <row r="660" spans="1:2" x14ac:dyDescent="0.25">
      <c r="A660" s="192">
        <v>484122</v>
      </c>
      <c r="B660" s="192" t="s">
        <v>957</v>
      </c>
    </row>
    <row r="661" spans="1:2" x14ac:dyDescent="0.25">
      <c r="A661" s="192">
        <v>484210</v>
      </c>
      <c r="B661" s="192" t="s">
        <v>958</v>
      </c>
    </row>
    <row r="662" spans="1:2" x14ac:dyDescent="0.25">
      <c r="A662" s="192">
        <v>484220</v>
      </c>
      <c r="B662" s="192" t="s">
        <v>959</v>
      </c>
    </row>
    <row r="663" spans="1:2" x14ac:dyDescent="0.25">
      <c r="A663" s="192">
        <v>484230</v>
      </c>
      <c r="B663" s="192" t="s">
        <v>960</v>
      </c>
    </row>
    <row r="664" spans="1:2" x14ac:dyDescent="0.25">
      <c r="A664" s="192">
        <v>485111</v>
      </c>
      <c r="B664" s="192" t="s">
        <v>961</v>
      </c>
    </row>
    <row r="665" spans="1:2" x14ac:dyDescent="0.25">
      <c r="A665" s="192">
        <v>485112</v>
      </c>
      <c r="B665" s="192" t="s">
        <v>962</v>
      </c>
    </row>
    <row r="666" spans="1:2" x14ac:dyDescent="0.25">
      <c r="A666" s="192">
        <v>485113</v>
      </c>
      <c r="B666" s="192" t="s">
        <v>963</v>
      </c>
    </row>
    <row r="667" spans="1:2" x14ac:dyDescent="0.25">
      <c r="A667" s="192">
        <v>485119</v>
      </c>
      <c r="B667" s="192" t="s">
        <v>964</v>
      </c>
    </row>
    <row r="668" spans="1:2" x14ac:dyDescent="0.25">
      <c r="A668" s="192">
        <v>485210</v>
      </c>
      <c r="B668" s="192" t="s">
        <v>965</v>
      </c>
    </row>
    <row r="669" spans="1:2" x14ac:dyDescent="0.25">
      <c r="A669" s="192">
        <v>485310</v>
      </c>
      <c r="B669" s="192" t="s">
        <v>966</v>
      </c>
    </row>
    <row r="670" spans="1:2" x14ac:dyDescent="0.25">
      <c r="A670" s="192">
        <v>485320</v>
      </c>
      <c r="B670" s="192" t="s">
        <v>967</v>
      </c>
    </row>
    <row r="671" spans="1:2" x14ac:dyDescent="0.25">
      <c r="A671" s="192">
        <v>485410</v>
      </c>
      <c r="B671" s="192" t="s">
        <v>968</v>
      </c>
    </row>
    <row r="672" spans="1:2" x14ac:dyDescent="0.25">
      <c r="A672" s="192">
        <v>485510</v>
      </c>
      <c r="B672" s="192" t="s">
        <v>969</v>
      </c>
    </row>
    <row r="673" spans="1:2" x14ac:dyDescent="0.25">
      <c r="A673" s="192">
        <v>485991</v>
      </c>
      <c r="B673" s="192" t="s">
        <v>970</v>
      </c>
    </row>
    <row r="674" spans="1:2" x14ac:dyDescent="0.25">
      <c r="A674" s="192">
        <v>485999</v>
      </c>
      <c r="B674" s="192" t="s">
        <v>971</v>
      </c>
    </row>
    <row r="675" spans="1:2" x14ac:dyDescent="0.25">
      <c r="A675" s="192">
        <v>486110</v>
      </c>
      <c r="B675" s="192" t="s">
        <v>972</v>
      </c>
    </row>
    <row r="676" spans="1:2" x14ac:dyDescent="0.25">
      <c r="A676" s="192">
        <v>486210</v>
      </c>
      <c r="B676" s="192" t="s">
        <v>973</v>
      </c>
    </row>
    <row r="677" spans="1:2" x14ac:dyDescent="0.25">
      <c r="A677" s="192">
        <v>486910</v>
      </c>
      <c r="B677" s="192" t="s">
        <v>974</v>
      </c>
    </row>
    <row r="678" spans="1:2" x14ac:dyDescent="0.25">
      <c r="A678" s="192">
        <v>486990</v>
      </c>
      <c r="B678" s="192" t="s">
        <v>975</v>
      </c>
    </row>
    <row r="679" spans="1:2" x14ac:dyDescent="0.25">
      <c r="A679" s="192">
        <v>487110</v>
      </c>
      <c r="B679" s="192" t="s">
        <v>976</v>
      </c>
    </row>
    <row r="680" spans="1:2" x14ac:dyDescent="0.25">
      <c r="A680" s="192">
        <v>487210</v>
      </c>
      <c r="B680" s="192" t="s">
        <v>977</v>
      </c>
    </row>
    <row r="681" spans="1:2" x14ac:dyDescent="0.25">
      <c r="A681" s="192">
        <v>487990</v>
      </c>
      <c r="B681" s="192" t="s">
        <v>978</v>
      </c>
    </row>
    <row r="682" spans="1:2" x14ac:dyDescent="0.25">
      <c r="A682" s="192">
        <v>488111</v>
      </c>
      <c r="B682" s="192" t="s">
        <v>979</v>
      </c>
    </row>
    <row r="683" spans="1:2" x14ac:dyDescent="0.25">
      <c r="A683" s="192">
        <v>488119</v>
      </c>
      <c r="B683" s="192" t="s">
        <v>980</v>
      </c>
    </row>
    <row r="684" spans="1:2" x14ac:dyDescent="0.25">
      <c r="A684" s="192">
        <v>488190</v>
      </c>
      <c r="B684" s="192" t="s">
        <v>981</v>
      </c>
    </row>
    <row r="685" spans="1:2" x14ac:dyDescent="0.25">
      <c r="A685" s="192">
        <v>488210</v>
      </c>
      <c r="B685" s="192" t="s">
        <v>982</v>
      </c>
    </row>
    <row r="686" spans="1:2" x14ac:dyDescent="0.25">
      <c r="A686" s="192">
        <v>488310</v>
      </c>
      <c r="B686" s="192" t="s">
        <v>983</v>
      </c>
    </row>
    <row r="687" spans="1:2" x14ac:dyDescent="0.25">
      <c r="A687" s="192">
        <v>488320</v>
      </c>
      <c r="B687" s="192" t="s">
        <v>984</v>
      </c>
    </row>
    <row r="688" spans="1:2" x14ac:dyDescent="0.25">
      <c r="A688" s="192">
        <v>488330</v>
      </c>
      <c r="B688" s="192" t="s">
        <v>985</v>
      </c>
    </row>
    <row r="689" spans="1:2" x14ac:dyDescent="0.25">
      <c r="A689" s="192">
        <v>488390</v>
      </c>
      <c r="B689" s="192" t="s">
        <v>986</v>
      </c>
    </row>
    <row r="690" spans="1:2" x14ac:dyDescent="0.25">
      <c r="A690" s="192">
        <v>488410</v>
      </c>
      <c r="B690" s="192" t="s">
        <v>987</v>
      </c>
    </row>
    <row r="691" spans="1:2" x14ac:dyDescent="0.25">
      <c r="A691" s="192">
        <v>488490</v>
      </c>
      <c r="B691" s="192" t="s">
        <v>988</v>
      </c>
    </row>
    <row r="692" spans="1:2" x14ac:dyDescent="0.25">
      <c r="A692" s="192">
        <v>488510</v>
      </c>
      <c r="B692" s="192" t="s">
        <v>989</v>
      </c>
    </row>
    <row r="693" spans="1:2" x14ac:dyDescent="0.25">
      <c r="A693" s="192">
        <v>488991</v>
      </c>
      <c r="B693" s="192" t="s">
        <v>990</v>
      </c>
    </row>
    <row r="694" spans="1:2" x14ac:dyDescent="0.25">
      <c r="A694" s="192">
        <v>488999</v>
      </c>
      <c r="B694" s="192" t="s">
        <v>991</v>
      </c>
    </row>
    <row r="695" spans="1:2" x14ac:dyDescent="0.25">
      <c r="A695" s="192">
        <v>491110</v>
      </c>
      <c r="B695" s="192" t="s">
        <v>992</v>
      </c>
    </row>
    <row r="696" spans="1:2" x14ac:dyDescent="0.25">
      <c r="A696" s="192">
        <v>492110</v>
      </c>
      <c r="B696" s="192" t="s">
        <v>993</v>
      </c>
    </row>
    <row r="697" spans="1:2" x14ac:dyDescent="0.25">
      <c r="A697" s="192">
        <v>492210</v>
      </c>
      <c r="B697" s="192" t="s">
        <v>994</v>
      </c>
    </row>
    <row r="698" spans="1:2" x14ac:dyDescent="0.25">
      <c r="A698" s="192">
        <v>493110</v>
      </c>
      <c r="B698" s="192" t="s">
        <v>995</v>
      </c>
    </row>
    <row r="699" spans="1:2" x14ac:dyDescent="0.25">
      <c r="A699" s="192">
        <v>493120</v>
      </c>
      <c r="B699" s="192" t="s">
        <v>996</v>
      </c>
    </row>
    <row r="700" spans="1:2" x14ac:dyDescent="0.25">
      <c r="A700" s="192">
        <v>493130</v>
      </c>
      <c r="B700" s="192" t="s">
        <v>997</v>
      </c>
    </row>
    <row r="701" spans="1:2" x14ac:dyDescent="0.25">
      <c r="A701" s="192">
        <v>493190</v>
      </c>
      <c r="B701" s="192" t="s">
        <v>998</v>
      </c>
    </row>
    <row r="702" spans="1:2" x14ac:dyDescent="0.25">
      <c r="A702" s="192">
        <v>511110</v>
      </c>
      <c r="B702" s="192" t="s">
        <v>999</v>
      </c>
    </row>
    <row r="703" spans="1:2" x14ac:dyDescent="0.25">
      <c r="A703" s="192">
        <v>511120</v>
      </c>
      <c r="B703" s="192" t="s">
        <v>1000</v>
      </c>
    </row>
    <row r="704" spans="1:2" x14ac:dyDescent="0.25">
      <c r="A704" s="192">
        <v>511130</v>
      </c>
      <c r="B704" s="192" t="s">
        <v>1001</v>
      </c>
    </row>
    <row r="705" spans="1:2" x14ac:dyDescent="0.25">
      <c r="A705" s="192">
        <v>511140</v>
      </c>
      <c r="B705" s="192" t="s">
        <v>1002</v>
      </c>
    </row>
    <row r="706" spans="1:2" x14ac:dyDescent="0.25">
      <c r="A706" s="192">
        <v>511191</v>
      </c>
      <c r="B706" s="192" t="s">
        <v>1003</v>
      </c>
    </row>
    <row r="707" spans="1:2" x14ac:dyDescent="0.25">
      <c r="A707" s="192">
        <v>511199</v>
      </c>
      <c r="B707" s="192" t="s">
        <v>1004</v>
      </c>
    </row>
    <row r="708" spans="1:2" x14ac:dyDescent="0.25">
      <c r="A708" s="192">
        <v>511210</v>
      </c>
      <c r="B708" s="192" t="s">
        <v>1005</v>
      </c>
    </row>
    <row r="709" spans="1:2" x14ac:dyDescent="0.25">
      <c r="A709" s="192">
        <v>512110</v>
      </c>
      <c r="B709" s="192" t="s">
        <v>1006</v>
      </c>
    </row>
    <row r="710" spans="1:2" x14ac:dyDescent="0.25">
      <c r="A710" s="192">
        <v>512120</v>
      </c>
      <c r="B710" s="192" t="s">
        <v>1007</v>
      </c>
    </row>
    <row r="711" spans="1:2" x14ac:dyDescent="0.25">
      <c r="A711" s="192">
        <v>512131</v>
      </c>
      <c r="B711" s="192" t="s">
        <v>1008</v>
      </c>
    </row>
    <row r="712" spans="1:2" x14ac:dyDescent="0.25">
      <c r="A712" s="192">
        <v>512132</v>
      </c>
      <c r="B712" s="192" t="s">
        <v>1009</v>
      </c>
    </row>
    <row r="713" spans="1:2" x14ac:dyDescent="0.25">
      <c r="A713" s="192">
        <v>512191</v>
      </c>
      <c r="B713" s="192" t="s">
        <v>1010</v>
      </c>
    </row>
    <row r="714" spans="1:2" x14ac:dyDescent="0.25">
      <c r="A714" s="192">
        <v>512199</v>
      </c>
      <c r="B714" s="192" t="s">
        <v>1011</v>
      </c>
    </row>
    <row r="715" spans="1:2" x14ac:dyDescent="0.25">
      <c r="A715" s="192">
        <v>512210</v>
      </c>
      <c r="B715" s="192" t="s">
        <v>1012</v>
      </c>
    </row>
    <row r="716" spans="1:2" x14ac:dyDescent="0.25">
      <c r="A716" s="192">
        <v>512220</v>
      </c>
      <c r="B716" s="192" t="s">
        <v>1013</v>
      </c>
    </row>
    <row r="717" spans="1:2" x14ac:dyDescent="0.25">
      <c r="A717" s="192">
        <v>512230</v>
      </c>
      <c r="B717" s="192" t="s">
        <v>1014</v>
      </c>
    </row>
    <row r="718" spans="1:2" x14ac:dyDescent="0.25">
      <c r="A718" s="192">
        <v>512240</v>
      </c>
      <c r="B718" s="192" t="s">
        <v>1015</v>
      </c>
    </row>
    <row r="719" spans="1:2" x14ac:dyDescent="0.25">
      <c r="A719" s="192">
        <v>512290</v>
      </c>
      <c r="B719" s="192" t="s">
        <v>1016</v>
      </c>
    </row>
    <row r="720" spans="1:2" x14ac:dyDescent="0.25">
      <c r="A720" s="192">
        <v>515111</v>
      </c>
      <c r="B720" s="192" t="s">
        <v>1017</v>
      </c>
    </row>
    <row r="721" spans="1:2" x14ac:dyDescent="0.25">
      <c r="A721" s="192">
        <v>515112</v>
      </c>
      <c r="B721" s="192" t="s">
        <v>1018</v>
      </c>
    </row>
    <row r="722" spans="1:2" x14ac:dyDescent="0.25">
      <c r="A722" s="192">
        <v>515120</v>
      </c>
      <c r="B722" s="192" t="s">
        <v>1019</v>
      </c>
    </row>
    <row r="723" spans="1:2" x14ac:dyDescent="0.25">
      <c r="A723" s="192">
        <v>515210</v>
      </c>
      <c r="B723" s="192" t="s">
        <v>1020</v>
      </c>
    </row>
    <row r="724" spans="1:2" x14ac:dyDescent="0.25">
      <c r="A724" s="192">
        <v>517110</v>
      </c>
      <c r="B724" s="192" t="s">
        <v>1021</v>
      </c>
    </row>
    <row r="725" spans="1:2" x14ac:dyDescent="0.25">
      <c r="A725" s="192">
        <v>517210</v>
      </c>
      <c r="B725" s="192" t="s">
        <v>1022</v>
      </c>
    </row>
    <row r="726" spans="1:2" x14ac:dyDescent="0.25">
      <c r="A726" s="192">
        <v>517410</v>
      </c>
      <c r="B726" s="192" t="s">
        <v>1023</v>
      </c>
    </row>
    <row r="727" spans="1:2" x14ac:dyDescent="0.25">
      <c r="A727" s="192">
        <v>517911</v>
      </c>
      <c r="B727" s="192" t="s">
        <v>1024</v>
      </c>
    </row>
    <row r="728" spans="1:2" x14ac:dyDescent="0.25">
      <c r="A728" s="192">
        <v>517919</v>
      </c>
      <c r="B728" s="192" t="s">
        <v>1025</v>
      </c>
    </row>
    <row r="729" spans="1:2" x14ac:dyDescent="0.25">
      <c r="A729" s="192">
        <v>518210</v>
      </c>
      <c r="B729" s="192" t="s">
        <v>1026</v>
      </c>
    </row>
    <row r="730" spans="1:2" x14ac:dyDescent="0.25">
      <c r="A730" s="192">
        <v>519110</v>
      </c>
      <c r="B730" s="192" t="s">
        <v>1027</v>
      </c>
    </row>
    <row r="731" spans="1:2" x14ac:dyDescent="0.25">
      <c r="A731" s="192">
        <v>519120</v>
      </c>
      <c r="B731" s="192" t="s">
        <v>1028</v>
      </c>
    </row>
    <row r="732" spans="1:2" x14ac:dyDescent="0.25">
      <c r="A732" s="192">
        <v>519130</v>
      </c>
      <c r="B732" s="192" t="s">
        <v>1029</v>
      </c>
    </row>
    <row r="733" spans="1:2" x14ac:dyDescent="0.25">
      <c r="A733" s="192">
        <v>519190</v>
      </c>
      <c r="B733" s="192" t="s">
        <v>1030</v>
      </c>
    </row>
    <row r="734" spans="1:2" x14ac:dyDescent="0.25">
      <c r="A734" s="192">
        <v>521110</v>
      </c>
      <c r="B734" s="192" t="s">
        <v>1031</v>
      </c>
    </row>
    <row r="735" spans="1:2" x14ac:dyDescent="0.25">
      <c r="A735" s="192">
        <v>522110</v>
      </c>
      <c r="B735" s="192" t="s">
        <v>1032</v>
      </c>
    </row>
    <row r="736" spans="1:2" x14ac:dyDescent="0.25">
      <c r="A736" s="192">
        <v>522120</v>
      </c>
      <c r="B736" s="192" t="s">
        <v>1033</v>
      </c>
    </row>
    <row r="737" spans="1:2" x14ac:dyDescent="0.25">
      <c r="A737" s="192">
        <v>522130</v>
      </c>
      <c r="B737" s="192" t="s">
        <v>1034</v>
      </c>
    </row>
    <row r="738" spans="1:2" x14ac:dyDescent="0.25">
      <c r="A738" s="192">
        <v>522190</v>
      </c>
      <c r="B738" s="192" t="s">
        <v>1035</v>
      </c>
    </row>
    <row r="739" spans="1:2" x14ac:dyDescent="0.25">
      <c r="A739" s="192">
        <v>522210</v>
      </c>
      <c r="B739" s="192" t="s">
        <v>1036</v>
      </c>
    </row>
    <row r="740" spans="1:2" x14ac:dyDescent="0.25">
      <c r="A740" s="192">
        <v>522220</v>
      </c>
      <c r="B740" s="192" t="s">
        <v>1037</v>
      </c>
    </row>
    <row r="741" spans="1:2" x14ac:dyDescent="0.25">
      <c r="A741" s="192">
        <v>522291</v>
      </c>
      <c r="B741" s="192" t="s">
        <v>1038</v>
      </c>
    </row>
    <row r="742" spans="1:2" x14ac:dyDescent="0.25">
      <c r="A742" s="192">
        <v>522292</v>
      </c>
      <c r="B742" s="192" t="s">
        <v>1039</v>
      </c>
    </row>
    <row r="743" spans="1:2" x14ac:dyDescent="0.25">
      <c r="A743" s="192">
        <v>522293</v>
      </c>
      <c r="B743" s="192" t="s">
        <v>1040</v>
      </c>
    </row>
    <row r="744" spans="1:2" x14ac:dyDescent="0.25">
      <c r="A744" s="192">
        <v>522294</v>
      </c>
      <c r="B744" s="192" t="s">
        <v>1041</v>
      </c>
    </row>
    <row r="745" spans="1:2" x14ac:dyDescent="0.25">
      <c r="A745" s="192">
        <v>522298</v>
      </c>
      <c r="B745" s="192" t="s">
        <v>1042</v>
      </c>
    </row>
    <row r="746" spans="1:2" x14ac:dyDescent="0.25">
      <c r="A746" s="192">
        <v>522310</v>
      </c>
      <c r="B746" s="192" t="s">
        <v>1043</v>
      </c>
    </row>
    <row r="747" spans="1:2" x14ac:dyDescent="0.25">
      <c r="A747" s="192">
        <v>522320</v>
      </c>
      <c r="B747" s="192" t="s">
        <v>1044</v>
      </c>
    </row>
    <row r="748" spans="1:2" x14ac:dyDescent="0.25">
      <c r="A748" s="192">
        <v>522390</v>
      </c>
      <c r="B748" s="192" t="s">
        <v>1045</v>
      </c>
    </row>
    <row r="749" spans="1:2" x14ac:dyDescent="0.25">
      <c r="A749" s="192">
        <v>523110</v>
      </c>
      <c r="B749" s="192" t="s">
        <v>1046</v>
      </c>
    </row>
    <row r="750" spans="1:2" x14ac:dyDescent="0.25">
      <c r="A750" s="192">
        <v>523120</v>
      </c>
      <c r="B750" s="192" t="s">
        <v>1047</v>
      </c>
    </row>
    <row r="751" spans="1:2" x14ac:dyDescent="0.25">
      <c r="A751" s="192">
        <v>523130</v>
      </c>
      <c r="B751" s="192" t="s">
        <v>1048</v>
      </c>
    </row>
    <row r="752" spans="1:2" x14ac:dyDescent="0.25">
      <c r="A752" s="192">
        <v>523140</v>
      </c>
      <c r="B752" s="192" t="s">
        <v>1049</v>
      </c>
    </row>
    <row r="753" spans="1:2" x14ac:dyDescent="0.25">
      <c r="A753" s="192">
        <v>523210</v>
      </c>
      <c r="B753" s="192" t="s">
        <v>1050</v>
      </c>
    </row>
    <row r="754" spans="1:2" x14ac:dyDescent="0.25">
      <c r="A754" s="192">
        <v>523910</v>
      </c>
      <c r="B754" s="192" t="s">
        <v>1051</v>
      </c>
    </row>
    <row r="755" spans="1:2" x14ac:dyDescent="0.25">
      <c r="A755" s="192">
        <v>523920</v>
      </c>
      <c r="B755" s="192" t="s">
        <v>1052</v>
      </c>
    </row>
    <row r="756" spans="1:2" x14ac:dyDescent="0.25">
      <c r="A756" s="192">
        <v>523930</v>
      </c>
      <c r="B756" s="192" t="s">
        <v>1053</v>
      </c>
    </row>
    <row r="757" spans="1:2" x14ac:dyDescent="0.25">
      <c r="A757" s="192">
        <v>523991</v>
      </c>
      <c r="B757" s="192" t="s">
        <v>1054</v>
      </c>
    </row>
    <row r="758" spans="1:2" x14ac:dyDescent="0.25">
      <c r="A758" s="192">
        <v>523999</v>
      </c>
      <c r="B758" s="192" t="s">
        <v>1055</v>
      </c>
    </row>
    <row r="759" spans="1:2" x14ac:dyDescent="0.25">
      <c r="A759" s="192">
        <v>524113</v>
      </c>
      <c r="B759" s="192" t="s">
        <v>1056</v>
      </c>
    </row>
    <row r="760" spans="1:2" x14ac:dyDescent="0.25">
      <c r="A760" s="192">
        <v>524114</v>
      </c>
      <c r="B760" s="192" t="s">
        <v>1057</v>
      </c>
    </row>
    <row r="761" spans="1:2" x14ac:dyDescent="0.25">
      <c r="A761" s="192">
        <v>524126</v>
      </c>
      <c r="B761" s="192" t="s">
        <v>1058</v>
      </c>
    </row>
    <row r="762" spans="1:2" x14ac:dyDescent="0.25">
      <c r="A762" s="192">
        <v>524127</v>
      </c>
      <c r="B762" s="192" t="s">
        <v>1059</v>
      </c>
    </row>
    <row r="763" spans="1:2" x14ac:dyDescent="0.25">
      <c r="A763" s="192">
        <v>524128</v>
      </c>
      <c r="B763" s="192" t="s">
        <v>1060</v>
      </c>
    </row>
    <row r="764" spans="1:2" x14ac:dyDescent="0.25">
      <c r="A764" s="192">
        <v>524130</v>
      </c>
      <c r="B764" s="192" t="s">
        <v>1061</v>
      </c>
    </row>
    <row r="765" spans="1:2" x14ac:dyDescent="0.25">
      <c r="A765" s="192">
        <v>524210</v>
      </c>
      <c r="B765" s="192" t="s">
        <v>1062</v>
      </c>
    </row>
    <row r="766" spans="1:2" x14ac:dyDescent="0.25">
      <c r="A766" s="192">
        <v>524291</v>
      </c>
      <c r="B766" s="192" t="s">
        <v>1063</v>
      </c>
    </row>
    <row r="767" spans="1:2" x14ac:dyDescent="0.25">
      <c r="A767" s="192">
        <v>524292</v>
      </c>
      <c r="B767" s="192" t="s">
        <v>1064</v>
      </c>
    </row>
    <row r="768" spans="1:2" x14ac:dyDescent="0.25">
      <c r="A768" s="192">
        <v>524298</v>
      </c>
      <c r="B768" s="192" t="s">
        <v>1065</v>
      </c>
    </row>
    <row r="769" spans="1:2" x14ac:dyDescent="0.25">
      <c r="A769" s="192">
        <v>525110</v>
      </c>
      <c r="B769" s="192" t="s">
        <v>1066</v>
      </c>
    </row>
    <row r="770" spans="1:2" x14ac:dyDescent="0.25">
      <c r="A770" s="192">
        <v>525120</v>
      </c>
      <c r="B770" s="192" t="s">
        <v>1067</v>
      </c>
    </row>
    <row r="771" spans="1:2" x14ac:dyDescent="0.25">
      <c r="A771" s="192">
        <v>525190</v>
      </c>
      <c r="B771" s="192" t="s">
        <v>1068</v>
      </c>
    </row>
    <row r="772" spans="1:2" x14ac:dyDescent="0.25">
      <c r="A772" s="192">
        <v>525910</v>
      </c>
      <c r="B772" s="192" t="s">
        <v>1069</v>
      </c>
    </row>
    <row r="773" spans="1:2" x14ac:dyDescent="0.25">
      <c r="A773" s="192">
        <v>525920</v>
      </c>
      <c r="B773" s="192" t="s">
        <v>1070</v>
      </c>
    </row>
    <row r="774" spans="1:2" x14ac:dyDescent="0.25">
      <c r="A774" s="192">
        <v>525990</v>
      </c>
      <c r="B774" s="192" t="s">
        <v>1071</v>
      </c>
    </row>
    <row r="775" spans="1:2" x14ac:dyDescent="0.25">
      <c r="A775" s="192">
        <v>531110</v>
      </c>
      <c r="B775" s="192" t="s">
        <v>1072</v>
      </c>
    </row>
    <row r="776" spans="1:2" x14ac:dyDescent="0.25">
      <c r="A776" s="192">
        <v>531120</v>
      </c>
      <c r="B776" s="192" t="s">
        <v>1073</v>
      </c>
    </row>
    <row r="777" spans="1:2" x14ac:dyDescent="0.25">
      <c r="A777" s="192">
        <v>531130</v>
      </c>
      <c r="B777" s="192" t="s">
        <v>1074</v>
      </c>
    </row>
    <row r="778" spans="1:2" x14ac:dyDescent="0.25">
      <c r="A778" s="192">
        <v>531190</v>
      </c>
      <c r="B778" s="192" t="s">
        <v>1075</v>
      </c>
    </row>
    <row r="779" spans="1:2" x14ac:dyDescent="0.25">
      <c r="A779" s="192">
        <v>531210</v>
      </c>
      <c r="B779" s="192" t="s">
        <v>1076</v>
      </c>
    </row>
    <row r="780" spans="1:2" x14ac:dyDescent="0.25">
      <c r="A780" s="192">
        <v>531311</v>
      </c>
      <c r="B780" s="192" t="s">
        <v>1077</v>
      </c>
    </row>
    <row r="781" spans="1:2" x14ac:dyDescent="0.25">
      <c r="A781" s="192">
        <v>531312</v>
      </c>
      <c r="B781" s="192" t="s">
        <v>1078</v>
      </c>
    </row>
    <row r="782" spans="1:2" x14ac:dyDescent="0.25">
      <c r="A782" s="192">
        <v>531320</v>
      </c>
      <c r="B782" s="192" t="s">
        <v>1079</v>
      </c>
    </row>
    <row r="783" spans="1:2" x14ac:dyDescent="0.25">
      <c r="A783" s="192">
        <v>531390</v>
      </c>
      <c r="B783" s="192" t="s">
        <v>1080</v>
      </c>
    </row>
    <row r="784" spans="1:2" x14ac:dyDescent="0.25">
      <c r="A784" s="192">
        <v>532111</v>
      </c>
      <c r="B784" s="192" t="s">
        <v>1081</v>
      </c>
    </row>
    <row r="785" spans="1:2" x14ac:dyDescent="0.25">
      <c r="A785" s="192">
        <v>532112</v>
      </c>
      <c r="B785" s="192" t="s">
        <v>1082</v>
      </c>
    </row>
    <row r="786" spans="1:2" x14ac:dyDescent="0.25">
      <c r="A786" s="192">
        <v>532120</v>
      </c>
      <c r="B786" s="192" t="s">
        <v>1083</v>
      </c>
    </row>
    <row r="787" spans="1:2" x14ac:dyDescent="0.25">
      <c r="A787" s="192">
        <v>532210</v>
      </c>
      <c r="B787" s="192" t="s">
        <v>1084</v>
      </c>
    </row>
    <row r="788" spans="1:2" x14ac:dyDescent="0.25">
      <c r="A788" s="192">
        <v>532220</v>
      </c>
      <c r="B788" s="192" t="s">
        <v>1085</v>
      </c>
    </row>
    <row r="789" spans="1:2" x14ac:dyDescent="0.25">
      <c r="A789" s="192">
        <v>532230</v>
      </c>
      <c r="B789" s="192" t="s">
        <v>1086</v>
      </c>
    </row>
    <row r="790" spans="1:2" x14ac:dyDescent="0.25">
      <c r="A790" s="192">
        <v>532291</v>
      </c>
      <c r="B790" s="192" t="s">
        <v>1087</v>
      </c>
    </row>
    <row r="791" spans="1:2" x14ac:dyDescent="0.25">
      <c r="A791" s="192">
        <v>532292</v>
      </c>
      <c r="B791" s="192" t="s">
        <v>1088</v>
      </c>
    </row>
    <row r="792" spans="1:2" x14ac:dyDescent="0.25">
      <c r="A792" s="192">
        <v>532299</v>
      </c>
      <c r="B792" s="192" t="s">
        <v>1089</v>
      </c>
    </row>
    <row r="793" spans="1:2" x14ac:dyDescent="0.25">
      <c r="A793" s="192">
        <v>532310</v>
      </c>
      <c r="B793" s="192" t="s">
        <v>1090</v>
      </c>
    </row>
    <row r="794" spans="1:2" x14ac:dyDescent="0.25">
      <c r="A794" s="192">
        <v>532411</v>
      </c>
      <c r="B794" s="192" t="s">
        <v>1091</v>
      </c>
    </row>
    <row r="795" spans="1:2" x14ac:dyDescent="0.25">
      <c r="A795" s="192">
        <v>532412</v>
      </c>
      <c r="B795" s="192" t="s">
        <v>1092</v>
      </c>
    </row>
    <row r="796" spans="1:2" x14ac:dyDescent="0.25">
      <c r="A796" s="192">
        <v>532420</v>
      </c>
      <c r="B796" s="192" t="s">
        <v>1093</v>
      </c>
    </row>
    <row r="797" spans="1:2" x14ac:dyDescent="0.25">
      <c r="A797" s="192">
        <v>532490</v>
      </c>
      <c r="B797" s="192" t="s">
        <v>1094</v>
      </c>
    </row>
    <row r="798" spans="1:2" x14ac:dyDescent="0.25">
      <c r="A798" s="192">
        <v>533110</v>
      </c>
      <c r="B798" s="192" t="s">
        <v>1095</v>
      </c>
    </row>
    <row r="799" spans="1:2" x14ac:dyDescent="0.25">
      <c r="A799" s="192">
        <v>541110</v>
      </c>
      <c r="B799" s="192" t="s">
        <v>1096</v>
      </c>
    </row>
    <row r="800" spans="1:2" x14ac:dyDescent="0.25">
      <c r="A800" s="192">
        <v>541120</v>
      </c>
      <c r="B800" s="192" t="s">
        <v>1097</v>
      </c>
    </row>
    <row r="801" spans="1:2" x14ac:dyDescent="0.25">
      <c r="A801" s="192">
        <v>541191</v>
      </c>
      <c r="B801" s="192" t="s">
        <v>1098</v>
      </c>
    </row>
    <row r="802" spans="1:2" x14ac:dyDescent="0.25">
      <c r="A802" s="192">
        <v>541199</v>
      </c>
      <c r="B802" s="192" t="s">
        <v>1099</v>
      </c>
    </row>
    <row r="803" spans="1:2" x14ac:dyDescent="0.25">
      <c r="A803" s="192">
        <v>541211</v>
      </c>
      <c r="B803" s="192" t="s">
        <v>1100</v>
      </c>
    </row>
    <row r="804" spans="1:2" x14ac:dyDescent="0.25">
      <c r="A804" s="192">
        <v>541213</v>
      </c>
      <c r="B804" s="192" t="s">
        <v>1101</v>
      </c>
    </row>
    <row r="805" spans="1:2" x14ac:dyDescent="0.25">
      <c r="A805" s="192">
        <v>541214</v>
      </c>
      <c r="B805" s="192" t="s">
        <v>1102</v>
      </c>
    </row>
    <row r="806" spans="1:2" x14ac:dyDescent="0.25">
      <c r="A806" s="192">
        <v>541219</v>
      </c>
      <c r="B806" s="192" t="s">
        <v>1103</v>
      </c>
    </row>
    <row r="807" spans="1:2" x14ac:dyDescent="0.25">
      <c r="A807" s="192">
        <v>541310</v>
      </c>
      <c r="B807" s="192" t="s">
        <v>1104</v>
      </c>
    </row>
    <row r="808" spans="1:2" x14ac:dyDescent="0.25">
      <c r="A808" s="192">
        <v>541320</v>
      </c>
      <c r="B808" s="192" t="s">
        <v>1105</v>
      </c>
    </row>
    <row r="809" spans="1:2" x14ac:dyDescent="0.25">
      <c r="A809" s="192">
        <v>541330</v>
      </c>
      <c r="B809" s="192" t="s">
        <v>1106</v>
      </c>
    </row>
    <row r="810" spans="1:2" x14ac:dyDescent="0.25">
      <c r="A810" s="192">
        <v>541340</v>
      </c>
      <c r="B810" s="192" t="s">
        <v>1107</v>
      </c>
    </row>
    <row r="811" spans="1:2" x14ac:dyDescent="0.25">
      <c r="A811" s="192">
        <v>541350</v>
      </c>
      <c r="B811" s="192" t="s">
        <v>1108</v>
      </c>
    </row>
    <row r="812" spans="1:2" x14ac:dyDescent="0.25">
      <c r="A812" s="192">
        <v>541360</v>
      </c>
      <c r="B812" s="192" t="s">
        <v>1109</v>
      </c>
    </row>
    <row r="813" spans="1:2" x14ac:dyDescent="0.25">
      <c r="A813" s="192">
        <v>541370</v>
      </c>
      <c r="B813" s="192" t="s">
        <v>1110</v>
      </c>
    </row>
    <row r="814" spans="1:2" x14ac:dyDescent="0.25">
      <c r="A814" s="192">
        <v>541380</v>
      </c>
      <c r="B814" s="192" t="s">
        <v>1111</v>
      </c>
    </row>
    <row r="815" spans="1:2" x14ac:dyDescent="0.25">
      <c r="A815" s="192">
        <v>541410</v>
      </c>
      <c r="B815" s="192" t="s">
        <v>1112</v>
      </c>
    </row>
    <row r="816" spans="1:2" x14ac:dyDescent="0.25">
      <c r="A816" s="192">
        <v>541420</v>
      </c>
      <c r="B816" s="192" t="s">
        <v>1113</v>
      </c>
    </row>
    <row r="817" spans="1:2" x14ac:dyDescent="0.25">
      <c r="A817" s="192">
        <v>541430</v>
      </c>
      <c r="B817" s="192" t="s">
        <v>1114</v>
      </c>
    </row>
    <row r="818" spans="1:2" x14ac:dyDescent="0.25">
      <c r="A818" s="192">
        <v>541490</v>
      </c>
      <c r="B818" s="192" t="s">
        <v>1115</v>
      </c>
    </row>
    <row r="819" spans="1:2" x14ac:dyDescent="0.25">
      <c r="A819" s="192">
        <v>541511</v>
      </c>
      <c r="B819" s="192" t="s">
        <v>1116</v>
      </c>
    </row>
    <row r="820" spans="1:2" x14ac:dyDescent="0.25">
      <c r="A820" s="192">
        <v>541512</v>
      </c>
      <c r="B820" s="192" t="s">
        <v>1117</v>
      </c>
    </row>
    <row r="821" spans="1:2" x14ac:dyDescent="0.25">
      <c r="A821" s="192">
        <v>541513</v>
      </c>
      <c r="B821" s="192" t="s">
        <v>1118</v>
      </c>
    </row>
    <row r="822" spans="1:2" x14ac:dyDescent="0.25">
      <c r="A822" s="192">
        <v>541519</v>
      </c>
      <c r="B822" s="192" t="s">
        <v>1119</v>
      </c>
    </row>
    <row r="823" spans="1:2" x14ac:dyDescent="0.25">
      <c r="A823" s="192">
        <v>541611</v>
      </c>
      <c r="B823" s="192" t="s">
        <v>1120</v>
      </c>
    </row>
    <row r="824" spans="1:2" x14ac:dyDescent="0.25">
      <c r="A824" s="192">
        <v>541612</v>
      </c>
      <c r="B824" s="192" t="s">
        <v>1121</v>
      </c>
    </row>
    <row r="825" spans="1:2" x14ac:dyDescent="0.25">
      <c r="A825" s="192">
        <v>541613</v>
      </c>
      <c r="B825" s="192" t="s">
        <v>1122</v>
      </c>
    </row>
    <row r="826" spans="1:2" x14ac:dyDescent="0.25">
      <c r="A826" s="192">
        <v>541614</v>
      </c>
      <c r="B826" s="192" t="s">
        <v>1123</v>
      </c>
    </row>
    <row r="827" spans="1:2" x14ac:dyDescent="0.25">
      <c r="A827" s="192">
        <v>541618</v>
      </c>
      <c r="B827" s="192" t="s">
        <v>1124</v>
      </c>
    </row>
    <row r="828" spans="1:2" x14ac:dyDescent="0.25">
      <c r="A828" s="192">
        <v>541620</v>
      </c>
      <c r="B828" s="192" t="s">
        <v>1125</v>
      </c>
    </row>
    <row r="829" spans="1:2" x14ac:dyDescent="0.25">
      <c r="A829" s="192">
        <v>541690</v>
      </c>
      <c r="B829" s="192" t="s">
        <v>1126</v>
      </c>
    </row>
    <row r="830" spans="1:2" x14ac:dyDescent="0.25">
      <c r="A830" s="192">
        <v>541711</v>
      </c>
      <c r="B830" s="192" t="s">
        <v>1127</v>
      </c>
    </row>
    <row r="831" spans="1:2" x14ac:dyDescent="0.25">
      <c r="A831" s="192">
        <v>541712</v>
      </c>
      <c r="B831" s="192" t="s">
        <v>1128</v>
      </c>
    </row>
    <row r="832" spans="1:2" x14ac:dyDescent="0.25">
      <c r="A832" s="192">
        <v>541720</v>
      </c>
      <c r="B832" s="192" t="s">
        <v>1129</v>
      </c>
    </row>
    <row r="833" spans="1:2" x14ac:dyDescent="0.25">
      <c r="A833" s="192">
        <v>541810</v>
      </c>
      <c r="B833" s="192" t="s">
        <v>1130</v>
      </c>
    </row>
    <row r="834" spans="1:2" x14ac:dyDescent="0.25">
      <c r="A834" s="192">
        <v>541820</v>
      </c>
      <c r="B834" s="192" t="s">
        <v>1131</v>
      </c>
    </row>
    <row r="835" spans="1:2" x14ac:dyDescent="0.25">
      <c r="A835" s="192">
        <v>541830</v>
      </c>
      <c r="B835" s="192" t="s">
        <v>1132</v>
      </c>
    </row>
    <row r="836" spans="1:2" x14ac:dyDescent="0.25">
      <c r="A836" s="192">
        <v>541840</v>
      </c>
      <c r="B836" s="192" t="s">
        <v>1133</v>
      </c>
    </row>
    <row r="837" spans="1:2" x14ac:dyDescent="0.25">
      <c r="A837" s="192">
        <v>541850</v>
      </c>
      <c r="B837" s="192" t="s">
        <v>1134</v>
      </c>
    </row>
    <row r="838" spans="1:2" x14ac:dyDescent="0.25">
      <c r="A838" s="192">
        <v>541860</v>
      </c>
      <c r="B838" s="192" t="s">
        <v>1135</v>
      </c>
    </row>
    <row r="839" spans="1:2" x14ac:dyDescent="0.25">
      <c r="A839" s="192">
        <v>541870</v>
      </c>
      <c r="B839" s="192" t="s">
        <v>1136</v>
      </c>
    </row>
    <row r="840" spans="1:2" x14ac:dyDescent="0.25">
      <c r="A840" s="192">
        <v>541890</v>
      </c>
      <c r="B840" s="192" t="s">
        <v>1137</v>
      </c>
    </row>
    <row r="841" spans="1:2" x14ac:dyDescent="0.25">
      <c r="A841" s="192">
        <v>541910</v>
      </c>
      <c r="B841" s="192" t="s">
        <v>1138</v>
      </c>
    </row>
    <row r="842" spans="1:2" x14ac:dyDescent="0.25">
      <c r="A842" s="192">
        <v>541921</v>
      </c>
      <c r="B842" s="192" t="s">
        <v>1139</v>
      </c>
    </row>
    <row r="843" spans="1:2" x14ac:dyDescent="0.25">
      <c r="A843" s="192">
        <v>541922</v>
      </c>
      <c r="B843" s="192" t="s">
        <v>1140</v>
      </c>
    </row>
    <row r="844" spans="1:2" x14ac:dyDescent="0.25">
      <c r="A844" s="192">
        <v>541930</v>
      </c>
      <c r="B844" s="192" t="s">
        <v>1141</v>
      </c>
    </row>
    <row r="845" spans="1:2" x14ac:dyDescent="0.25">
      <c r="A845" s="192">
        <v>541940</v>
      </c>
      <c r="B845" s="192" t="s">
        <v>1142</v>
      </c>
    </row>
    <row r="846" spans="1:2" x14ac:dyDescent="0.25">
      <c r="A846" s="192">
        <v>541990</v>
      </c>
      <c r="B846" s="192" t="s">
        <v>1143</v>
      </c>
    </row>
    <row r="847" spans="1:2" x14ac:dyDescent="0.25">
      <c r="A847" s="192">
        <v>551111</v>
      </c>
      <c r="B847" s="192" t="s">
        <v>1144</v>
      </c>
    </row>
    <row r="848" spans="1:2" x14ac:dyDescent="0.25">
      <c r="A848" s="192">
        <v>551112</v>
      </c>
      <c r="B848" s="192" t="s">
        <v>1145</v>
      </c>
    </row>
    <row r="849" spans="1:2" x14ac:dyDescent="0.25">
      <c r="A849" s="192">
        <v>551114</v>
      </c>
      <c r="B849" s="192" t="s">
        <v>1146</v>
      </c>
    </row>
    <row r="850" spans="1:2" x14ac:dyDescent="0.25">
      <c r="A850" s="192">
        <v>561110</v>
      </c>
      <c r="B850" s="192" t="s">
        <v>1147</v>
      </c>
    </row>
    <row r="851" spans="1:2" x14ac:dyDescent="0.25">
      <c r="A851" s="192">
        <v>561210</v>
      </c>
      <c r="B851" s="192" t="s">
        <v>1148</v>
      </c>
    </row>
    <row r="852" spans="1:2" x14ac:dyDescent="0.25">
      <c r="A852" s="192">
        <v>561311</v>
      </c>
      <c r="B852" s="192" t="s">
        <v>1149</v>
      </c>
    </row>
    <row r="853" spans="1:2" x14ac:dyDescent="0.25">
      <c r="A853" s="192">
        <v>561312</v>
      </c>
      <c r="B853" s="192" t="s">
        <v>1150</v>
      </c>
    </row>
    <row r="854" spans="1:2" x14ac:dyDescent="0.25">
      <c r="A854" s="192">
        <v>561320</v>
      </c>
      <c r="B854" s="192" t="s">
        <v>1151</v>
      </c>
    </row>
    <row r="855" spans="1:2" x14ac:dyDescent="0.25">
      <c r="A855" s="192">
        <v>561330</v>
      </c>
      <c r="B855" s="192" t="s">
        <v>1152</v>
      </c>
    </row>
    <row r="856" spans="1:2" x14ac:dyDescent="0.25">
      <c r="A856" s="192">
        <v>561410</v>
      </c>
      <c r="B856" s="192" t="s">
        <v>1153</v>
      </c>
    </row>
    <row r="857" spans="1:2" x14ac:dyDescent="0.25">
      <c r="A857" s="192">
        <v>561421</v>
      </c>
      <c r="B857" s="192" t="s">
        <v>1154</v>
      </c>
    </row>
    <row r="858" spans="1:2" x14ac:dyDescent="0.25">
      <c r="A858" s="192">
        <v>561422</v>
      </c>
      <c r="B858" s="192" t="s">
        <v>1155</v>
      </c>
    </row>
    <row r="859" spans="1:2" x14ac:dyDescent="0.25">
      <c r="A859" s="192">
        <v>561431</v>
      </c>
      <c r="B859" s="192" t="s">
        <v>1156</v>
      </c>
    </row>
    <row r="860" spans="1:2" x14ac:dyDescent="0.25">
      <c r="A860" s="192">
        <v>561439</v>
      </c>
      <c r="B860" s="192" t="s">
        <v>1157</v>
      </c>
    </row>
    <row r="861" spans="1:2" x14ac:dyDescent="0.25">
      <c r="A861" s="192">
        <v>561440</v>
      </c>
      <c r="B861" s="192" t="s">
        <v>1158</v>
      </c>
    </row>
    <row r="862" spans="1:2" x14ac:dyDescent="0.25">
      <c r="A862" s="192">
        <v>561450</v>
      </c>
      <c r="B862" s="192" t="s">
        <v>1159</v>
      </c>
    </row>
    <row r="863" spans="1:2" x14ac:dyDescent="0.25">
      <c r="A863" s="192">
        <v>561491</v>
      </c>
      <c r="B863" s="192" t="s">
        <v>1160</v>
      </c>
    </row>
    <row r="864" spans="1:2" x14ac:dyDescent="0.25">
      <c r="A864" s="192">
        <v>561492</v>
      </c>
      <c r="B864" s="192" t="s">
        <v>1161</v>
      </c>
    </row>
    <row r="865" spans="1:2" x14ac:dyDescent="0.25">
      <c r="A865" s="192">
        <v>561499</v>
      </c>
      <c r="B865" s="192" t="s">
        <v>1162</v>
      </c>
    </row>
    <row r="866" spans="1:2" x14ac:dyDescent="0.25">
      <c r="A866" s="192">
        <v>561510</v>
      </c>
      <c r="B866" s="192" t="s">
        <v>1163</v>
      </c>
    </row>
    <row r="867" spans="1:2" x14ac:dyDescent="0.25">
      <c r="A867" s="192">
        <v>561520</v>
      </c>
      <c r="B867" s="192" t="s">
        <v>1164</v>
      </c>
    </row>
    <row r="868" spans="1:2" x14ac:dyDescent="0.25">
      <c r="A868" s="192">
        <v>561591</v>
      </c>
      <c r="B868" s="192" t="s">
        <v>1165</v>
      </c>
    </row>
    <row r="869" spans="1:2" x14ac:dyDescent="0.25">
      <c r="A869" s="192">
        <v>561599</v>
      </c>
      <c r="B869" s="192" t="s">
        <v>1166</v>
      </c>
    </row>
    <row r="870" spans="1:2" x14ac:dyDescent="0.25">
      <c r="A870" s="192">
        <v>561611</v>
      </c>
      <c r="B870" s="192" t="s">
        <v>1167</v>
      </c>
    </row>
    <row r="871" spans="1:2" x14ac:dyDescent="0.25">
      <c r="A871" s="192">
        <v>561612</v>
      </c>
      <c r="B871" s="192" t="s">
        <v>1168</v>
      </c>
    </row>
    <row r="872" spans="1:2" x14ac:dyDescent="0.25">
      <c r="A872" s="192">
        <v>561613</v>
      </c>
      <c r="B872" s="192" t="s">
        <v>1169</v>
      </c>
    </row>
    <row r="873" spans="1:2" x14ac:dyDescent="0.25">
      <c r="A873" s="192">
        <v>561621</v>
      </c>
      <c r="B873" s="192" t="s">
        <v>1170</v>
      </c>
    </row>
    <row r="874" spans="1:2" x14ac:dyDescent="0.25">
      <c r="A874" s="192">
        <v>561622</v>
      </c>
      <c r="B874" s="192" t="s">
        <v>1171</v>
      </c>
    </row>
    <row r="875" spans="1:2" x14ac:dyDescent="0.25">
      <c r="A875" s="192">
        <v>561710</v>
      </c>
      <c r="B875" s="192" t="s">
        <v>1172</v>
      </c>
    </row>
    <row r="876" spans="1:2" x14ac:dyDescent="0.25">
      <c r="A876" s="192">
        <v>561720</v>
      </c>
      <c r="B876" s="192" t="s">
        <v>1173</v>
      </c>
    </row>
    <row r="877" spans="1:2" x14ac:dyDescent="0.25">
      <c r="A877" s="192">
        <v>561730</v>
      </c>
      <c r="B877" s="192" t="s">
        <v>1174</v>
      </c>
    </row>
    <row r="878" spans="1:2" x14ac:dyDescent="0.25">
      <c r="A878" s="192">
        <v>561740</v>
      </c>
      <c r="B878" s="192" t="s">
        <v>1175</v>
      </c>
    </row>
    <row r="879" spans="1:2" x14ac:dyDescent="0.25">
      <c r="A879" s="192">
        <v>561790</v>
      </c>
      <c r="B879" s="192" t="s">
        <v>1176</v>
      </c>
    </row>
    <row r="880" spans="1:2" x14ac:dyDescent="0.25">
      <c r="A880" s="192">
        <v>561910</v>
      </c>
      <c r="B880" s="192" t="s">
        <v>1177</v>
      </c>
    </row>
    <row r="881" spans="1:2" x14ac:dyDescent="0.25">
      <c r="A881" s="192">
        <v>561920</v>
      </c>
      <c r="B881" s="192" t="s">
        <v>1178</v>
      </c>
    </row>
    <row r="882" spans="1:2" x14ac:dyDescent="0.25">
      <c r="A882" s="192">
        <v>561990</v>
      </c>
      <c r="B882" s="192" t="s">
        <v>1179</v>
      </c>
    </row>
    <row r="883" spans="1:2" x14ac:dyDescent="0.25">
      <c r="A883" s="192">
        <v>562111</v>
      </c>
      <c r="B883" s="192" t="s">
        <v>1180</v>
      </c>
    </row>
    <row r="884" spans="1:2" x14ac:dyDescent="0.25">
      <c r="A884" s="192">
        <v>562112</v>
      </c>
      <c r="B884" s="192" t="s">
        <v>1181</v>
      </c>
    </row>
    <row r="885" spans="1:2" x14ac:dyDescent="0.25">
      <c r="A885" s="192">
        <v>562119</v>
      </c>
      <c r="B885" s="192" t="s">
        <v>1182</v>
      </c>
    </row>
    <row r="886" spans="1:2" x14ac:dyDescent="0.25">
      <c r="A886" s="192">
        <v>562211</v>
      </c>
      <c r="B886" s="192" t="s">
        <v>1183</v>
      </c>
    </row>
    <row r="887" spans="1:2" x14ac:dyDescent="0.25">
      <c r="A887" s="192">
        <v>562212</v>
      </c>
      <c r="B887" s="192" t="s">
        <v>1184</v>
      </c>
    </row>
    <row r="888" spans="1:2" x14ac:dyDescent="0.25">
      <c r="A888" s="192">
        <v>562213</v>
      </c>
      <c r="B888" s="192" t="s">
        <v>1185</v>
      </c>
    </row>
    <row r="889" spans="1:2" x14ac:dyDescent="0.25">
      <c r="A889" s="192">
        <v>562219</v>
      </c>
      <c r="B889" s="192" t="s">
        <v>1186</v>
      </c>
    </row>
    <row r="890" spans="1:2" x14ac:dyDescent="0.25">
      <c r="A890" s="192">
        <v>562910</v>
      </c>
      <c r="B890" s="192" t="s">
        <v>1187</v>
      </c>
    </row>
    <row r="891" spans="1:2" x14ac:dyDescent="0.25">
      <c r="A891" s="192">
        <v>562920</v>
      </c>
      <c r="B891" s="192" t="s">
        <v>1188</v>
      </c>
    </row>
    <row r="892" spans="1:2" x14ac:dyDescent="0.25">
      <c r="A892" s="192">
        <v>562991</v>
      </c>
      <c r="B892" s="192" t="s">
        <v>1189</v>
      </c>
    </row>
    <row r="893" spans="1:2" x14ac:dyDescent="0.25">
      <c r="A893" s="192">
        <v>562998</v>
      </c>
      <c r="B893" s="192" t="s">
        <v>1190</v>
      </c>
    </row>
    <row r="894" spans="1:2" x14ac:dyDescent="0.25">
      <c r="A894" s="192">
        <v>611110</v>
      </c>
      <c r="B894" s="192" t="s">
        <v>1191</v>
      </c>
    </row>
    <row r="895" spans="1:2" x14ac:dyDescent="0.25">
      <c r="A895" s="192">
        <v>611210</v>
      </c>
      <c r="B895" s="192" t="s">
        <v>1192</v>
      </c>
    </row>
    <row r="896" spans="1:2" x14ac:dyDescent="0.25">
      <c r="A896" s="192">
        <v>611310</v>
      </c>
      <c r="B896" s="192" t="s">
        <v>1193</v>
      </c>
    </row>
    <row r="897" spans="1:2" x14ac:dyDescent="0.25">
      <c r="A897" s="192">
        <v>611410</v>
      </c>
      <c r="B897" s="192" t="s">
        <v>1194</v>
      </c>
    </row>
    <row r="898" spans="1:2" x14ac:dyDescent="0.25">
      <c r="A898" s="192">
        <v>611420</v>
      </c>
      <c r="B898" s="192" t="s">
        <v>1195</v>
      </c>
    </row>
    <row r="899" spans="1:2" x14ac:dyDescent="0.25">
      <c r="A899" s="192">
        <v>611430</v>
      </c>
      <c r="B899" s="192" t="s">
        <v>1196</v>
      </c>
    </row>
    <row r="900" spans="1:2" x14ac:dyDescent="0.25">
      <c r="A900" s="192">
        <v>611511</v>
      </c>
      <c r="B900" s="192" t="s">
        <v>1197</v>
      </c>
    </row>
    <row r="901" spans="1:2" x14ac:dyDescent="0.25">
      <c r="A901" s="192">
        <v>611512</v>
      </c>
      <c r="B901" s="192" t="s">
        <v>1198</v>
      </c>
    </row>
    <row r="902" spans="1:2" x14ac:dyDescent="0.25">
      <c r="A902" s="192">
        <v>611513</v>
      </c>
      <c r="B902" s="192" t="s">
        <v>1199</v>
      </c>
    </row>
    <row r="903" spans="1:2" x14ac:dyDescent="0.25">
      <c r="A903" s="192">
        <v>611519</v>
      </c>
      <c r="B903" s="192" t="s">
        <v>1200</v>
      </c>
    </row>
    <row r="904" spans="1:2" x14ac:dyDescent="0.25">
      <c r="A904" s="192">
        <v>611610</v>
      </c>
      <c r="B904" s="192" t="s">
        <v>1201</v>
      </c>
    </row>
    <row r="905" spans="1:2" x14ac:dyDescent="0.25">
      <c r="A905" s="192">
        <v>611620</v>
      </c>
      <c r="B905" s="192" t="s">
        <v>1202</v>
      </c>
    </row>
    <row r="906" spans="1:2" x14ac:dyDescent="0.25">
      <c r="A906" s="192">
        <v>611630</v>
      </c>
      <c r="B906" s="192" t="s">
        <v>1203</v>
      </c>
    </row>
    <row r="907" spans="1:2" x14ac:dyDescent="0.25">
      <c r="A907" s="192">
        <v>611691</v>
      </c>
      <c r="B907" s="192" t="s">
        <v>1204</v>
      </c>
    </row>
    <row r="908" spans="1:2" x14ac:dyDescent="0.25">
      <c r="A908" s="192">
        <v>611692</v>
      </c>
      <c r="B908" s="192" t="s">
        <v>1205</v>
      </c>
    </row>
    <row r="909" spans="1:2" x14ac:dyDescent="0.25">
      <c r="A909" s="192">
        <v>611699</v>
      </c>
      <c r="B909" s="192" t="s">
        <v>1206</v>
      </c>
    </row>
    <row r="910" spans="1:2" x14ac:dyDescent="0.25">
      <c r="A910" s="192">
        <v>611710</v>
      </c>
      <c r="B910" s="192" t="s">
        <v>1207</v>
      </c>
    </row>
    <row r="911" spans="1:2" x14ac:dyDescent="0.25">
      <c r="A911" s="192">
        <v>621111</v>
      </c>
      <c r="B911" s="192" t="s">
        <v>1208</v>
      </c>
    </row>
    <row r="912" spans="1:2" x14ac:dyDescent="0.25">
      <c r="A912" s="192">
        <v>621112</v>
      </c>
      <c r="B912" s="192" t="s">
        <v>1209</v>
      </c>
    </row>
    <row r="913" spans="1:2" x14ac:dyDescent="0.25">
      <c r="A913" s="192">
        <v>621210</v>
      </c>
      <c r="B913" s="192" t="s">
        <v>1210</v>
      </c>
    </row>
    <row r="914" spans="1:2" x14ac:dyDescent="0.25">
      <c r="A914" s="192">
        <v>621310</v>
      </c>
      <c r="B914" s="192" t="s">
        <v>1211</v>
      </c>
    </row>
    <row r="915" spans="1:2" x14ac:dyDescent="0.25">
      <c r="A915" s="192">
        <v>621320</v>
      </c>
      <c r="B915" s="192" t="s">
        <v>1212</v>
      </c>
    </row>
    <row r="916" spans="1:2" x14ac:dyDescent="0.25">
      <c r="A916" s="192">
        <v>621330</v>
      </c>
      <c r="B916" s="192" t="s">
        <v>1213</v>
      </c>
    </row>
    <row r="917" spans="1:2" x14ac:dyDescent="0.25">
      <c r="A917" s="192">
        <v>621340</v>
      </c>
      <c r="B917" s="192" t="s">
        <v>1214</v>
      </c>
    </row>
    <row r="918" spans="1:2" x14ac:dyDescent="0.25">
      <c r="A918" s="192">
        <v>621391</v>
      </c>
      <c r="B918" s="192" t="s">
        <v>1215</v>
      </c>
    </row>
    <row r="919" spans="1:2" x14ac:dyDescent="0.25">
      <c r="A919" s="192">
        <v>621399</v>
      </c>
      <c r="B919" s="192" t="s">
        <v>1216</v>
      </c>
    </row>
    <row r="920" spans="1:2" x14ac:dyDescent="0.25">
      <c r="A920" s="192">
        <v>621410</v>
      </c>
      <c r="B920" s="192" t="s">
        <v>1217</v>
      </c>
    </row>
    <row r="921" spans="1:2" x14ac:dyDescent="0.25">
      <c r="A921" s="192">
        <v>621420</v>
      </c>
      <c r="B921" s="192" t="s">
        <v>1218</v>
      </c>
    </row>
    <row r="922" spans="1:2" x14ac:dyDescent="0.25">
      <c r="A922" s="192">
        <v>621491</v>
      </c>
      <c r="B922" s="192" t="s">
        <v>1219</v>
      </c>
    </row>
    <row r="923" spans="1:2" x14ac:dyDescent="0.25">
      <c r="A923" s="192">
        <v>621492</v>
      </c>
      <c r="B923" s="192" t="s">
        <v>1220</v>
      </c>
    </row>
    <row r="924" spans="1:2" x14ac:dyDescent="0.25">
      <c r="A924" s="192">
        <v>621493</v>
      </c>
      <c r="B924" s="192" t="s">
        <v>1221</v>
      </c>
    </row>
    <row r="925" spans="1:2" x14ac:dyDescent="0.25">
      <c r="A925" s="192">
        <v>621498</v>
      </c>
      <c r="B925" s="192" t="s">
        <v>1222</v>
      </c>
    </row>
    <row r="926" spans="1:2" x14ac:dyDescent="0.25">
      <c r="A926" s="192">
        <v>621511</v>
      </c>
      <c r="B926" s="192" t="s">
        <v>1223</v>
      </c>
    </row>
    <row r="927" spans="1:2" x14ac:dyDescent="0.25">
      <c r="A927" s="192">
        <v>621512</v>
      </c>
      <c r="B927" s="192" t="s">
        <v>1224</v>
      </c>
    </row>
    <row r="928" spans="1:2" x14ac:dyDescent="0.25">
      <c r="A928" s="192">
        <v>621610</v>
      </c>
      <c r="B928" s="192" t="s">
        <v>1225</v>
      </c>
    </row>
    <row r="929" spans="1:2" x14ac:dyDescent="0.25">
      <c r="A929" s="192">
        <v>621910</v>
      </c>
      <c r="B929" s="192" t="s">
        <v>1226</v>
      </c>
    </row>
    <row r="930" spans="1:2" x14ac:dyDescent="0.25">
      <c r="A930" s="192">
        <v>621991</v>
      </c>
      <c r="B930" s="192" t="s">
        <v>1227</v>
      </c>
    </row>
    <row r="931" spans="1:2" x14ac:dyDescent="0.25">
      <c r="A931" s="192">
        <v>621999</v>
      </c>
      <c r="B931" s="192" t="s">
        <v>1228</v>
      </c>
    </row>
    <row r="932" spans="1:2" x14ac:dyDescent="0.25">
      <c r="A932" s="192">
        <v>622110</v>
      </c>
      <c r="B932" s="192" t="s">
        <v>1229</v>
      </c>
    </row>
    <row r="933" spans="1:2" x14ac:dyDescent="0.25">
      <c r="A933" s="192">
        <v>622210</v>
      </c>
      <c r="B933" s="192" t="s">
        <v>1230</v>
      </c>
    </row>
    <row r="934" spans="1:2" x14ac:dyDescent="0.25">
      <c r="A934" s="192">
        <v>622310</v>
      </c>
      <c r="B934" s="192" t="s">
        <v>1231</v>
      </c>
    </row>
    <row r="935" spans="1:2" x14ac:dyDescent="0.25">
      <c r="A935" s="192">
        <v>623110</v>
      </c>
      <c r="B935" s="192" t="s">
        <v>1232</v>
      </c>
    </row>
    <row r="936" spans="1:2" x14ac:dyDescent="0.25">
      <c r="A936" s="192">
        <v>623210</v>
      </c>
      <c r="B936" s="192" t="s">
        <v>1233</v>
      </c>
    </row>
    <row r="937" spans="1:2" x14ac:dyDescent="0.25">
      <c r="A937" s="192">
        <v>623220</v>
      </c>
      <c r="B937" s="192" t="s">
        <v>1234</v>
      </c>
    </row>
    <row r="938" spans="1:2" x14ac:dyDescent="0.25">
      <c r="A938" s="192">
        <v>623311</v>
      </c>
      <c r="B938" s="192" t="s">
        <v>1235</v>
      </c>
    </row>
    <row r="939" spans="1:2" x14ac:dyDescent="0.25">
      <c r="A939" s="192">
        <v>623312</v>
      </c>
      <c r="B939" s="192" t="s">
        <v>1236</v>
      </c>
    </row>
    <row r="940" spans="1:2" x14ac:dyDescent="0.25">
      <c r="A940" s="192">
        <v>623990</v>
      </c>
      <c r="B940" s="192" t="s">
        <v>1237</v>
      </c>
    </row>
    <row r="941" spans="1:2" x14ac:dyDescent="0.25">
      <c r="A941" s="192">
        <v>624110</v>
      </c>
      <c r="B941" s="192" t="s">
        <v>1238</v>
      </c>
    </row>
    <row r="942" spans="1:2" x14ac:dyDescent="0.25">
      <c r="A942" s="192">
        <v>624120</v>
      </c>
      <c r="B942" s="192" t="s">
        <v>1239</v>
      </c>
    </row>
    <row r="943" spans="1:2" x14ac:dyDescent="0.25">
      <c r="A943" s="192">
        <v>624190</v>
      </c>
      <c r="B943" s="192" t="s">
        <v>1240</v>
      </c>
    </row>
    <row r="944" spans="1:2" x14ac:dyDescent="0.25">
      <c r="A944" s="192">
        <v>624210</v>
      </c>
      <c r="B944" s="192" t="s">
        <v>1241</v>
      </c>
    </row>
    <row r="945" spans="1:2" x14ac:dyDescent="0.25">
      <c r="A945" s="192">
        <v>624221</v>
      </c>
      <c r="B945" s="192" t="s">
        <v>1242</v>
      </c>
    </row>
    <row r="946" spans="1:2" x14ac:dyDescent="0.25">
      <c r="A946" s="192">
        <v>624229</v>
      </c>
      <c r="B946" s="192" t="s">
        <v>1243</v>
      </c>
    </row>
    <row r="947" spans="1:2" x14ac:dyDescent="0.25">
      <c r="A947" s="192">
        <v>624230</v>
      </c>
      <c r="B947" s="192" t="s">
        <v>1244</v>
      </c>
    </row>
    <row r="948" spans="1:2" x14ac:dyDescent="0.25">
      <c r="A948" s="192">
        <v>624310</v>
      </c>
      <c r="B948" s="192" t="s">
        <v>1245</v>
      </c>
    </row>
    <row r="949" spans="1:2" x14ac:dyDescent="0.25">
      <c r="A949" s="192">
        <v>624410</v>
      </c>
      <c r="B949" s="192" t="s">
        <v>1246</v>
      </c>
    </row>
    <row r="950" spans="1:2" x14ac:dyDescent="0.25">
      <c r="A950" s="192">
        <v>711110</v>
      </c>
      <c r="B950" s="192" t="s">
        <v>1247</v>
      </c>
    </row>
    <row r="951" spans="1:2" x14ac:dyDescent="0.25">
      <c r="A951" s="192">
        <v>711120</v>
      </c>
      <c r="B951" s="192" t="s">
        <v>1248</v>
      </c>
    </row>
    <row r="952" spans="1:2" x14ac:dyDescent="0.25">
      <c r="A952" s="192">
        <v>711130</v>
      </c>
      <c r="B952" s="192" t="s">
        <v>1249</v>
      </c>
    </row>
    <row r="953" spans="1:2" x14ac:dyDescent="0.25">
      <c r="A953" s="192">
        <v>711190</v>
      </c>
      <c r="B953" s="192" t="s">
        <v>1250</v>
      </c>
    </row>
    <row r="954" spans="1:2" x14ac:dyDescent="0.25">
      <c r="A954" s="192">
        <v>711211</v>
      </c>
      <c r="B954" s="192" t="s">
        <v>1251</v>
      </c>
    </row>
    <row r="955" spans="1:2" x14ac:dyDescent="0.25">
      <c r="A955" s="192">
        <v>711212</v>
      </c>
      <c r="B955" s="192" t="s">
        <v>1252</v>
      </c>
    </row>
    <row r="956" spans="1:2" x14ac:dyDescent="0.25">
      <c r="A956" s="192">
        <v>711219</v>
      </c>
      <c r="B956" s="192" t="s">
        <v>1253</v>
      </c>
    </row>
    <row r="957" spans="1:2" x14ac:dyDescent="0.25">
      <c r="A957" s="192">
        <v>711310</v>
      </c>
      <c r="B957" s="192" t="s">
        <v>1254</v>
      </c>
    </row>
    <row r="958" spans="1:2" x14ac:dyDescent="0.25">
      <c r="A958" s="192">
        <v>711320</v>
      </c>
      <c r="B958" s="192" t="s">
        <v>1255</v>
      </c>
    </row>
    <row r="959" spans="1:2" x14ac:dyDescent="0.25">
      <c r="A959" s="192">
        <v>711410</v>
      </c>
      <c r="B959" s="192" t="s">
        <v>1256</v>
      </c>
    </row>
    <row r="960" spans="1:2" x14ac:dyDescent="0.25">
      <c r="A960" s="192">
        <v>711510</v>
      </c>
      <c r="B960" s="192" t="s">
        <v>1257</v>
      </c>
    </row>
    <row r="961" spans="1:2" x14ac:dyDescent="0.25">
      <c r="A961" s="192">
        <v>712110</v>
      </c>
      <c r="B961" s="192" t="s">
        <v>1258</v>
      </c>
    </row>
    <row r="962" spans="1:2" x14ac:dyDescent="0.25">
      <c r="A962" s="192">
        <v>712120</v>
      </c>
      <c r="B962" s="192" t="s">
        <v>1259</v>
      </c>
    </row>
    <row r="963" spans="1:2" x14ac:dyDescent="0.25">
      <c r="A963" s="192">
        <v>712130</v>
      </c>
      <c r="B963" s="192" t="s">
        <v>1260</v>
      </c>
    </row>
    <row r="964" spans="1:2" x14ac:dyDescent="0.25">
      <c r="A964" s="192">
        <v>712190</v>
      </c>
      <c r="B964" s="192" t="s">
        <v>1261</v>
      </c>
    </row>
    <row r="965" spans="1:2" x14ac:dyDescent="0.25">
      <c r="A965" s="192">
        <v>713110</v>
      </c>
      <c r="B965" s="192" t="s">
        <v>1262</v>
      </c>
    </row>
    <row r="966" spans="1:2" x14ac:dyDescent="0.25">
      <c r="A966" s="192">
        <v>713120</v>
      </c>
      <c r="B966" s="192" t="s">
        <v>1263</v>
      </c>
    </row>
    <row r="967" spans="1:2" x14ac:dyDescent="0.25">
      <c r="A967" s="192">
        <v>713210</v>
      </c>
      <c r="B967" s="192" t="s">
        <v>1264</v>
      </c>
    </row>
    <row r="968" spans="1:2" x14ac:dyDescent="0.25">
      <c r="A968" s="192">
        <v>713290</v>
      </c>
      <c r="B968" s="192" t="s">
        <v>1265</v>
      </c>
    </row>
    <row r="969" spans="1:2" x14ac:dyDescent="0.25">
      <c r="A969" s="192">
        <v>713910</v>
      </c>
      <c r="B969" s="192" t="s">
        <v>1266</v>
      </c>
    </row>
    <row r="970" spans="1:2" x14ac:dyDescent="0.25">
      <c r="A970" s="192">
        <v>713920</v>
      </c>
      <c r="B970" s="192" t="s">
        <v>1267</v>
      </c>
    </row>
    <row r="971" spans="1:2" x14ac:dyDescent="0.25">
      <c r="A971" s="192">
        <v>713930</v>
      </c>
      <c r="B971" s="192" t="s">
        <v>290</v>
      </c>
    </row>
    <row r="972" spans="1:2" x14ac:dyDescent="0.25">
      <c r="A972" s="192">
        <v>713940</v>
      </c>
      <c r="B972" s="192" t="s">
        <v>1268</v>
      </c>
    </row>
    <row r="973" spans="1:2" x14ac:dyDescent="0.25">
      <c r="A973" s="192">
        <v>713950</v>
      </c>
      <c r="B973" s="192" t="s">
        <v>1269</v>
      </c>
    </row>
    <row r="974" spans="1:2" x14ac:dyDescent="0.25">
      <c r="A974" s="192">
        <v>713990</v>
      </c>
      <c r="B974" s="192" t="s">
        <v>1270</v>
      </c>
    </row>
    <row r="975" spans="1:2" x14ac:dyDescent="0.25">
      <c r="A975" s="192">
        <v>721110</v>
      </c>
      <c r="B975" s="192" t="s">
        <v>1271</v>
      </c>
    </row>
    <row r="976" spans="1:2" x14ac:dyDescent="0.25">
      <c r="A976" s="192">
        <v>721120</v>
      </c>
      <c r="B976" s="192" t="s">
        <v>1272</v>
      </c>
    </row>
    <row r="977" spans="1:2" x14ac:dyDescent="0.25">
      <c r="A977" s="192">
        <v>721191</v>
      </c>
      <c r="B977" s="192" t="s">
        <v>1273</v>
      </c>
    </row>
    <row r="978" spans="1:2" x14ac:dyDescent="0.25">
      <c r="A978" s="192">
        <v>721199</v>
      </c>
      <c r="B978" s="192" t="s">
        <v>1274</v>
      </c>
    </row>
    <row r="979" spans="1:2" x14ac:dyDescent="0.25">
      <c r="A979" s="192">
        <v>721211</v>
      </c>
      <c r="B979" s="192" t="s">
        <v>1275</v>
      </c>
    </row>
    <row r="980" spans="1:2" x14ac:dyDescent="0.25">
      <c r="A980" s="192">
        <v>721214</v>
      </c>
      <c r="B980" s="192" t="s">
        <v>1276</v>
      </c>
    </row>
    <row r="981" spans="1:2" x14ac:dyDescent="0.25">
      <c r="A981" s="192">
        <v>721310</v>
      </c>
      <c r="B981" s="192" t="s">
        <v>1277</v>
      </c>
    </row>
    <row r="982" spans="1:2" x14ac:dyDescent="0.25">
      <c r="A982" s="192">
        <v>722310</v>
      </c>
      <c r="B982" s="192" t="s">
        <v>1278</v>
      </c>
    </row>
    <row r="983" spans="1:2" x14ac:dyDescent="0.25">
      <c r="A983" s="192">
        <v>722320</v>
      </c>
      <c r="B983" s="192" t="s">
        <v>291</v>
      </c>
    </row>
    <row r="984" spans="1:2" x14ac:dyDescent="0.25">
      <c r="A984" s="192">
        <v>722330</v>
      </c>
      <c r="B984" s="192" t="s">
        <v>1279</v>
      </c>
    </row>
    <row r="985" spans="1:2" x14ac:dyDescent="0.25">
      <c r="A985" s="192">
        <v>722410</v>
      </c>
      <c r="B985" s="192" t="s">
        <v>1280</v>
      </c>
    </row>
    <row r="986" spans="1:2" x14ac:dyDescent="0.25">
      <c r="A986" s="192">
        <v>722511</v>
      </c>
      <c r="B986" s="192" t="s">
        <v>1281</v>
      </c>
    </row>
    <row r="987" spans="1:2" x14ac:dyDescent="0.25">
      <c r="A987" s="192">
        <v>722513</v>
      </c>
      <c r="B987" s="192" t="s">
        <v>1282</v>
      </c>
    </row>
    <row r="988" spans="1:2" x14ac:dyDescent="0.25">
      <c r="A988" s="192">
        <v>722514</v>
      </c>
      <c r="B988" s="192" t="s">
        <v>1283</v>
      </c>
    </row>
    <row r="989" spans="1:2" x14ac:dyDescent="0.25">
      <c r="A989" s="192">
        <v>722515</v>
      </c>
      <c r="B989" s="192" t="s">
        <v>1284</v>
      </c>
    </row>
    <row r="990" spans="1:2" x14ac:dyDescent="0.25">
      <c r="A990" s="192">
        <v>811111</v>
      </c>
      <c r="B990" s="192" t="s">
        <v>1285</v>
      </c>
    </row>
    <row r="991" spans="1:2" x14ac:dyDescent="0.25">
      <c r="A991" s="192">
        <v>811112</v>
      </c>
      <c r="B991" s="192" t="s">
        <v>1286</v>
      </c>
    </row>
    <row r="992" spans="1:2" x14ac:dyDescent="0.25">
      <c r="A992" s="192">
        <v>811113</v>
      </c>
      <c r="B992" s="192" t="s">
        <v>1287</v>
      </c>
    </row>
    <row r="993" spans="1:2" x14ac:dyDescent="0.25">
      <c r="A993" s="192">
        <v>811118</v>
      </c>
      <c r="B993" s="192" t="s">
        <v>1288</v>
      </c>
    </row>
    <row r="994" spans="1:2" x14ac:dyDescent="0.25">
      <c r="A994" s="192">
        <v>811121</v>
      </c>
      <c r="B994" s="192" t="s">
        <v>1289</v>
      </c>
    </row>
    <row r="995" spans="1:2" x14ac:dyDescent="0.25">
      <c r="A995" s="192">
        <v>811122</v>
      </c>
      <c r="B995" s="192" t="s">
        <v>1290</v>
      </c>
    </row>
    <row r="996" spans="1:2" x14ac:dyDescent="0.25">
      <c r="A996" s="192">
        <v>811191</v>
      </c>
      <c r="B996" s="192" t="s">
        <v>1291</v>
      </c>
    </row>
    <row r="997" spans="1:2" x14ac:dyDescent="0.25">
      <c r="A997" s="192">
        <v>811192</v>
      </c>
      <c r="B997" s="192" t="s">
        <v>1292</v>
      </c>
    </row>
    <row r="998" spans="1:2" x14ac:dyDescent="0.25">
      <c r="A998" s="192">
        <v>811198</v>
      </c>
      <c r="B998" s="192" t="s">
        <v>1293</v>
      </c>
    </row>
    <row r="999" spans="1:2" x14ac:dyDescent="0.25">
      <c r="A999" s="192">
        <v>811211</v>
      </c>
      <c r="B999" s="192" t="s">
        <v>1294</v>
      </c>
    </row>
    <row r="1000" spans="1:2" x14ac:dyDescent="0.25">
      <c r="A1000" s="192">
        <v>811212</v>
      </c>
      <c r="B1000" s="192" t="s">
        <v>1295</v>
      </c>
    </row>
    <row r="1001" spans="1:2" x14ac:dyDescent="0.25">
      <c r="A1001" s="192">
        <v>811213</v>
      </c>
      <c r="B1001" s="192" t="s">
        <v>1296</v>
      </c>
    </row>
    <row r="1002" spans="1:2" x14ac:dyDescent="0.25">
      <c r="A1002" s="192">
        <v>811219</v>
      </c>
      <c r="B1002" s="192" t="s">
        <v>1297</v>
      </c>
    </row>
    <row r="1003" spans="1:2" x14ac:dyDescent="0.25">
      <c r="A1003" s="192">
        <v>811310</v>
      </c>
      <c r="B1003" s="192" t="s">
        <v>1298</v>
      </c>
    </row>
    <row r="1004" spans="1:2" x14ac:dyDescent="0.25">
      <c r="A1004" s="192">
        <v>811411</v>
      </c>
      <c r="B1004" s="192" t="s">
        <v>1299</v>
      </c>
    </row>
    <row r="1005" spans="1:2" x14ac:dyDescent="0.25">
      <c r="A1005" s="192">
        <v>811412</v>
      </c>
      <c r="B1005" s="192" t="s">
        <v>1300</v>
      </c>
    </row>
    <row r="1006" spans="1:2" x14ac:dyDescent="0.25">
      <c r="A1006" s="192">
        <v>811420</v>
      </c>
      <c r="B1006" s="192" t="s">
        <v>1301</v>
      </c>
    </row>
    <row r="1007" spans="1:2" x14ac:dyDescent="0.25">
      <c r="A1007" s="192">
        <v>811430</v>
      </c>
      <c r="B1007" s="192" t="s">
        <v>1302</v>
      </c>
    </row>
    <row r="1008" spans="1:2" x14ac:dyDescent="0.25">
      <c r="A1008" s="192">
        <v>811490</v>
      </c>
      <c r="B1008" s="192" t="s">
        <v>1303</v>
      </c>
    </row>
    <row r="1009" spans="1:2" x14ac:dyDescent="0.25">
      <c r="A1009" s="192">
        <v>812111</v>
      </c>
      <c r="B1009" s="192" t="s">
        <v>1304</v>
      </c>
    </row>
    <row r="1010" spans="1:2" x14ac:dyDescent="0.25">
      <c r="A1010" s="192">
        <v>812112</v>
      </c>
      <c r="B1010" s="192" t="s">
        <v>1305</v>
      </c>
    </row>
    <row r="1011" spans="1:2" x14ac:dyDescent="0.25">
      <c r="A1011" s="192">
        <v>812113</v>
      </c>
      <c r="B1011" s="192" t="s">
        <v>1306</v>
      </c>
    </row>
    <row r="1012" spans="1:2" x14ac:dyDescent="0.25">
      <c r="A1012" s="192">
        <v>812191</v>
      </c>
      <c r="B1012" s="192" t="s">
        <v>1307</v>
      </c>
    </row>
    <row r="1013" spans="1:2" x14ac:dyDescent="0.25">
      <c r="A1013" s="192">
        <v>812199</v>
      </c>
      <c r="B1013" s="192" t="s">
        <v>1308</v>
      </c>
    </row>
    <row r="1014" spans="1:2" x14ac:dyDescent="0.25">
      <c r="A1014" s="192">
        <v>812210</v>
      </c>
      <c r="B1014" s="192" t="s">
        <v>1309</v>
      </c>
    </row>
    <row r="1015" spans="1:2" x14ac:dyDescent="0.25">
      <c r="A1015" s="192">
        <v>812220</v>
      </c>
      <c r="B1015" s="192" t="s">
        <v>1310</v>
      </c>
    </row>
    <row r="1016" spans="1:2" x14ac:dyDescent="0.25">
      <c r="A1016" s="192">
        <v>812310</v>
      </c>
      <c r="B1016" s="192" t="s">
        <v>1311</v>
      </c>
    </row>
    <row r="1017" spans="1:2" x14ac:dyDescent="0.25">
      <c r="A1017" s="192">
        <v>812320</v>
      </c>
      <c r="B1017" s="192" t="s">
        <v>1312</v>
      </c>
    </row>
    <row r="1018" spans="1:2" x14ac:dyDescent="0.25">
      <c r="A1018" s="192">
        <v>812331</v>
      </c>
      <c r="B1018" s="192" t="s">
        <v>1313</v>
      </c>
    </row>
    <row r="1019" spans="1:2" x14ac:dyDescent="0.25">
      <c r="A1019" s="192">
        <v>812332</v>
      </c>
      <c r="B1019" s="192" t="s">
        <v>1314</v>
      </c>
    </row>
    <row r="1020" spans="1:2" x14ac:dyDescent="0.25">
      <c r="A1020" s="192">
        <v>812910</v>
      </c>
      <c r="B1020" s="192" t="s">
        <v>1315</v>
      </c>
    </row>
    <row r="1021" spans="1:2" x14ac:dyDescent="0.25">
      <c r="A1021" s="192">
        <v>812921</v>
      </c>
      <c r="B1021" s="192" t="s">
        <v>1316</v>
      </c>
    </row>
    <row r="1022" spans="1:2" x14ac:dyDescent="0.25">
      <c r="A1022" s="192">
        <v>812922</v>
      </c>
      <c r="B1022" s="192" t="s">
        <v>1317</v>
      </c>
    </row>
    <row r="1023" spans="1:2" x14ac:dyDescent="0.25">
      <c r="A1023" s="192">
        <v>812930</v>
      </c>
      <c r="B1023" s="192" t="s">
        <v>1318</v>
      </c>
    </row>
    <row r="1024" spans="1:2" x14ac:dyDescent="0.25">
      <c r="A1024" s="192">
        <v>812990</v>
      </c>
      <c r="B1024" s="192" t="s">
        <v>1319</v>
      </c>
    </row>
    <row r="1025" spans="1:2" x14ac:dyDescent="0.25">
      <c r="A1025" s="192">
        <v>813110</v>
      </c>
      <c r="B1025" s="192" t="s">
        <v>1320</v>
      </c>
    </row>
    <row r="1026" spans="1:2" x14ac:dyDescent="0.25">
      <c r="A1026" s="192">
        <v>813211</v>
      </c>
      <c r="B1026" s="192" t="s">
        <v>1321</v>
      </c>
    </row>
    <row r="1027" spans="1:2" x14ac:dyDescent="0.25">
      <c r="A1027" s="192">
        <v>813212</v>
      </c>
      <c r="B1027" s="192" t="s">
        <v>1322</v>
      </c>
    </row>
    <row r="1028" spans="1:2" x14ac:dyDescent="0.25">
      <c r="A1028" s="192">
        <v>813219</v>
      </c>
      <c r="B1028" s="192" t="s">
        <v>1323</v>
      </c>
    </row>
    <row r="1029" spans="1:2" x14ac:dyDescent="0.25">
      <c r="A1029" s="192">
        <v>813311</v>
      </c>
      <c r="B1029" s="192" t="s">
        <v>1324</v>
      </c>
    </row>
    <row r="1030" spans="1:2" x14ac:dyDescent="0.25">
      <c r="A1030" s="192">
        <v>813312</v>
      </c>
      <c r="B1030" s="192" t="s">
        <v>1325</v>
      </c>
    </row>
    <row r="1031" spans="1:2" x14ac:dyDescent="0.25">
      <c r="A1031" s="192">
        <v>813319</v>
      </c>
      <c r="B1031" s="192" t="s">
        <v>1326</v>
      </c>
    </row>
    <row r="1032" spans="1:2" x14ac:dyDescent="0.25">
      <c r="A1032" s="192">
        <v>813410</v>
      </c>
      <c r="B1032" s="192" t="s">
        <v>1327</v>
      </c>
    </row>
    <row r="1033" spans="1:2" x14ac:dyDescent="0.25">
      <c r="A1033" s="192">
        <v>813910</v>
      </c>
      <c r="B1033" s="192" t="s">
        <v>1328</v>
      </c>
    </row>
    <row r="1034" spans="1:2" x14ac:dyDescent="0.25">
      <c r="A1034" s="192">
        <v>813920</v>
      </c>
      <c r="B1034" s="192" t="s">
        <v>1329</v>
      </c>
    </row>
    <row r="1035" spans="1:2" x14ac:dyDescent="0.25">
      <c r="A1035" s="192">
        <v>813930</v>
      </c>
      <c r="B1035" s="192" t="s">
        <v>1330</v>
      </c>
    </row>
    <row r="1036" spans="1:2" x14ac:dyDescent="0.25">
      <c r="A1036" s="192">
        <v>813940</v>
      </c>
      <c r="B1036" s="192" t="s">
        <v>1331</v>
      </c>
    </row>
    <row r="1037" spans="1:2" x14ac:dyDescent="0.25">
      <c r="A1037" s="192">
        <v>813990</v>
      </c>
      <c r="B1037" s="192" t="s">
        <v>1332</v>
      </c>
    </row>
    <row r="1038" spans="1:2" x14ac:dyDescent="0.25">
      <c r="A1038" s="192">
        <v>814110</v>
      </c>
      <c r="B1038" s="192" t="s">
        <v>1333</v>
      </c>
    </row>
    <row r="1039" spans="1:2" x14ac:dyDescent="0.25">
      <c r="A1039" s="192">
        <v>921110</v>
      </c>
      <c r="B1039" s="192" t="s">
        <v>1334</v>
      </c>
    </row>
    <row r="1040" spans="1:2" x14ac:dyDescent="0.25">
      <c r="A1040" s="192">
        <v>921120</v>
      </c>
      <c r="B1040" s="192" t="s">
        <v>1335</v>
      </c>
    </row>
    <row r="1041" spans="1:2" x14ac:dyDescent="0.25">
      <c r="A1041" s="192">
        <v>921130</v>
      </c>
      <c r="B1041" s="192" t="s">
        <v>1336</v>
      </c>
    </row>
    <row r="1042" spans="1:2" x14ac:dyDescent="0.25">
      <c r="A1042" s="192">
        <v>921140</v>
      </c>
      <c r="B1042" s="192" t="s">
        <v>1337</v>
      </c>
    </row>
    <row r="1043" spans="1:2" x14ac:dyDescent="0.25">
      <c r="A1043" s="192">
        <v>921150</v>
      </c>
      <c r="B1043" s="192" t="s">
        <v>1338</v>
      </c>
    </row>
    <row r="1044" spans="1:2" x14ac:dyDescent="0.25">
      <c r="A1044" s="192">
        <v>921190</v>
      </c>
      <c r="B1044" s="192" t="s">
        <v>1339</v>
      </c>
    </row>
    <row r="1045" spans="1:2" x14ac:dyDescent="0.25">
      <c r="A1045" s="192">
        <v>922110</v>
      </c>
      <c r="B1045" s="192" t="s">
        <v>1340</v>
      </c>
    </row>
    <row r="1046" spans="1:2" x14ac:dyDescent="0.25">
      <c r="A1046" s="192">
        <v>922120</v>
      </c>
      <c r="B1046" s="192" t="s">
        <v>1341</v>
      </c>
    </row>
    <row r="1047" spans="1:2" x14ac:dyDescent="0.25">
      <c r="A1047" s="192">
        <v>922130</v>
      </c>
      <c r="B1047" s="192" t="s">
        <v>1342</v>
      </c>
    </row>
    <row r="1048" spans="1:2" x14ac:dyDescent="0.25">
      <c r="A1048" s="192">
        <v>922140</v>
      </c>
      <c r="B1048" s="192" t="s">
        <v>1343</v>
      </c>
    </row>
    <row r="1049" spans="1:2" x14ac:dyDescent="0.25">
      <c r="A1049" s="192">
        <v>922150</v>
      </c>
      <c r="B1049" s="192" t="s">
        <v>1344</v>
      </c>
    </row>
    <row r="1050" spans="1:2" x14ac:dyDescent="0.25">
      <c r="A1050" s="192">
        <v>922160</v>
      </c>
      <c r="B1050" s="192" t="s">
        <v>1345</v>
      </c>
    </row>
    <row r="1051" spans="1:2" x14ac:dyDescent="0.25">
      <c r="A1051" s="192">
        <v>922190</v>
      </c>
      <c r="B1051" s="192" t="s">
        <v>1346</v>
      </c>
    </row>
    <row r="1052" spans="1:2" x14ac:dyDescent="0.25">
      <c r="A1052" s="192">
        <v>923110</v>
      </c>
      <c r="B1052" s="192" t="s">
        <v>1347</v>
      </c>
    </row>
    <row r="1053" spans="1:2" x14ac:dyDescent="0.25">
      <c r="A1053" s="192">
        <v>923120</v>
      </c>
      <c r="B1053" s="192" t="s">
        <v>1348</v>
      </c>
    </row>
    <row r="1054" spans="1:2" x14ac:dyDescent="0.25">
      <c r="A1054" s="192">
        <v>923130</v>
      </c>
      <c r="B1054" s="192" t="s">
        <v>1349</v>
      </c>
    </row>
    <row r="1055" spans="1:2" x14ac:dyDescent="0.25">
      <c r="A1055" s="192">
        <v>923140</v>
      </c>
      <c r="B1055" s="192" t="s">
        <v>1350</v>
      </c>
    </row>
    <row r="1056" spans="1:2" x14ac:dyDescent="0.25">
      <c r="A1056" s="192">
        <v>924110</v>
      </c>
      <c r="B1056" s="192" t="s">
        <v>1351</v>
      </c>
    </row>
    <row r="1057" spans="1:2" x14ac:dyDescent="0.25">
      <c r="A1057" s="192">
        <v>924120</v>
      </c>
      <c r="B1057" s="192" t="s">
        <v>1352</v>
      </c>
    </row>
    <row r="1058" spans="1:2" x14ac:dyDescent="0.25">
      <c r="A1058" s="192">
        <v>925110</v>
      </c>
      <c r="B1058" s="192" t="s">
        <v>1353</v>
      </c>
    </row>
    <row r="1059" spans="1:2" x14ac:dyDescent="0.25">
      <c r="A1059" s="192">
        <v>925120</v>
      </c>
      <c r="B1059" s="192" t="s">
        <v>1354</v>
      </c>
    </row>
    <row r="1060" spans="1:2" x14ac:dyDescent="0.25">
      <c r="A1060" s="192">
        <v>926110</v>
      </c>
      <c r="B1060" s="192" t="s">
        <v>1355</v>
      </c>
    </row>
    <row r="1061" spans="1:2" x14ac:dyDescent="0.25">
      <c r="A1061" s="192">
        <v>926120</v>
      </c>
      <c r="B1061" s="192" t="s">
        <v>1356</v>
      </c>
    </row>
    <row r="1062" spans="1:2" x14ac:dyDescent="0.25">
      <c r="A1062" s="192">
        <v>926130</v>
      </c>
      <c r="B1062" s="192" t="s">
        <v>1357</v>
      </c>
    </row>
    <row r="1063" spans="1:2" x14ac:dyDescent="0.25">
      <c r="A1063" s="192">
        <v>926140</v>
      </c>
      <c r="B1063" s="192" t="s">
        <v>1358</v>
      </c>
    </row>
    <row r="1064" spans="1:2" x14ac:dyDescent="0.25">
      <c r="A1064" s="192">
        <v>926150</v>
      </c>
      <c r="B1064" s="192" t="s">
        <v>1359</v>
      </c>
    </row>
    <row r="1065" spans="1:2" x14ac:dyDescent="0.25">
      <c r="A1065" s="192">
        <v>927110</v>
      </c>
      <c r="B1065" s="192" t="s">
        <v>1360</v>
      </c>
    </row>
    <row r="1066" spans="1:2" x14ac:dyDescent="0.25">
      <c r="A1066" s="192">
        <v>928110</v>
      </c>
      <c r="B1066" s="192" t="s">
        <v>1361</v>
      </c>
    </row>
    <row r="1067" spans="1:2" x14ac:dyDescent="0.25">
      <c r="A1067" s="192">
        <v>928120</v>
      </c>
      <c r="B1067" s="192" t="s">
        <v>1362</v>
      </c>
    </row>
  </sheetData>
  <sheetProtection password="CCBE" sheet="1" objects="1" scenarios="1"/>
  <pageMargins left="0.7" right="0.7" top="0.75" bottom="0.75" header="0.3" footer="0.3"/>
  <pageSetup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00B050"/>
    <pageSetUpPr fitToPage="1"/>
  </sheetPr>
  <dimension ref="A1:L33"/>
  <sheetViews>
    <sheetView workbookViewId="0">
      <selection sqref="A1:A2"/>
    </sheetView>
  </sheetViews>
  <sheetFormatPr defaultRowHeight="15.95" customHeight="1" x14ac:dyDescent="0.25"/>
  <cols>
    <col min="1" max="1" width="29.7109375" style="217" customWidth="1"/>
    <col min="2" max="2" width="26.5703125" style="193" customWidth="1"/>
    <col min="3" max="12" width="9.7109375" style="193" customWidth="1"/>
    <col min="13" max="16384" width="9.140625" style="193"/>
  </cols>
  <sheetData>
    <row r="1" spans="1:12" ht="22.5" customHeight="1" x14ac:dyDescent="0.25">
      <c r="A1" s="1494" t="s">
        <v>1587</v>
      </c>
      <c r="B1" s="1492" t="s">
        <v>1585</v>
      </c>
      <c r="C1" s="1496" t="s">
        <v>1588</v>
      </c>
      <c r="D1" s="1497"/>
      <c r="E1" s="1497"/>
      <c r="F1" s="1497"/>
      <c r="G1" s="1497"/>
      <c r="H1" s="1497"/>
      <c r="I1" s="1497"/>
      <c r="J1" s="1497"/>
      <c r="K1" s="1497"/>
      <c r="L1" s="1498"/>
    </row>
    <row r="2" spans="1:12" ht="22.5" customHeight="1" thickBot="1" x14ac:dyDescent="0.3">
      <c r="A2" s="1495"/>
      <c r="B2" s="1493"/>
      <c r="C2" s="482" t="s">
        <v>1828</v>
      </c>
      <c r="D2" s="485" t="s">
        <v>1589</v>
      </c>
      <c r="E2" s="194" t="s">
        <v>1590</v>
      </c>
      <c r="F2" s="194" t="s">
        <v>3</v>
      </c>
      <c r="G2" s="194" t="s">
        <v>4</v>
      </c>
      <c r="H2" s="194" t="s">
        <v>0</v>
      </c>
      <c r="I2" s="194" t="s">
        <v>5</v>
      </c>
      <c r="J2" s="194" t="s">
        <v>260</v>
      </c>
      <c r="K2" s="194" t="s">
        <v>236</v>
      </c>
      <c r="L2" s="195" t="s">
        <v>25</v>
      </c>
    </row>
    <row r="3" spans="1:12" ht="15.95" customHeight="1" x14ac:dyDescent="0.25">
      <c r="A3" s="196" t="s">
        <v>1604</v>
      </c>
      <c r="B3" s="197">
        <v>8</v>
      </c>
      <c r="C3" s="198">
        <v>0.5</v>
      </c>
      <c r="D3" s="486">
        <v>0.5</v>
      </c>
      <c r="E3" s="199">
        <v>0.5</v>
      </c>
      <c r="F3" s="200">
        <v>0</v>
      </c>
      <c r="G3" s="200">
        <v>0</v>
      </c>
      <c r="H3" s="200">
        <v>0</v>
      </c>
      <c r="I3" s="200">
        <v>0</v>
      </c>
      <c r="J3" s="200">
        <v>0</v>
      </c>
      <c r="K3" s="200">
        <v>0</v>
      </c>
      <c r="L3" s="201">
        <v>0</v>
      </c>
    </row>
    <row r="4" spans="1:12" ht="15.95" customHeight="1" x14ac:dyDescent="0.25">
      <c r="A4" s="196" t="s">
        <v>1603</v>
      </c>
      <c r="B4" s="197">
        <v>9</v>
      </c>
      <c r="C4" s="198">
        <v>0.5</v>
      </c>
      <c r="D4" s="486">
        <v>0.5</v>
      </c>
      <c r="E4" s="199">
        <v>0.5</v>
      </c>
      <c r="F4" s="200">
        <v>0</v>
      </c>
      <c r="G4" s="200">
        <v>0</v>
      </c>
      <c r="H4" s="200">
        <v>0</v>
      </c>
      <c r="I4" s="200">
        <v>0</v>
      </c>
      <c r="J4" s="200">
        <v>0</v>
      </c>
      <c r="K4" s="200">
        <v>0</v>
      </c>
      <c r="L4" s="201">
        <v>0</v>
      </c>
    </row>
    <row r="5" spans="1:12" ht="15.95" customHeight="1" x14ac:dyDescent="0.25">
      <c r="A5" s="202" t="s">
        <v>1593</v>
      </c>
      <c r="B5" s="203">
        <v>2</v>
      </c>
      <c r="C5" s="204">
        <v>0.6</v>
      </c>
      <c r="D5" s="487">
        <v>0.6</v>
      </c>
      <c r="E5" s="205">
        <v>0.6</v>
      </c>
      <c r="F5" s="206">
        <v>0</v>
      </c>
      <c r="G5" s="206">
        <v>0</v>
      </c>
      <c r="H5" s="206">
        <v>0</v>
      </c>
      <c r="I5" s="206">
        <v>0</v>
      </c>
      <c r="J5" s="206">
        <v>0</v>
      </c>
      <c r="K5" s="205">
        <v>0.4</v>
      </c>
      <c r="L5" s="207">
        <v>0</v>
      </c>
    </row>
    <row r="6" spans="1:12" ht="15.95" customHeight="1" x14ac:dyDescent="0.25">
      <c r="A6" s="202" t="s">
        <v>1591</v>
      </c>
      <c r="B6" s="203">
        <v>1</v>
      </c>
      <c r="C6" s="204">
        <v>0.95</v>
      </c>
      <c r="D6" s="487">
        <v>0.95</v>
      </c>
      <c r="E6" s="205">
        <v>0.95</v>
      </c>
      <c r="F6" s="206">
        <v>0</v>
      </c>
      <c r="G6" s="206">
        <v>0</v>
      </c>
      <c r="H6" s="206">
        <v>0</v>
      </c>
      <c r="I6" s="206">
        <v>0</v>
      </c>
      <c r="J6" s="206">
        <v>0</v>
      </c>
      <c r="K6" s="205">
        <v>0.8</v>
      </c>
      <c r="L6" s="207">
        <v>0</v>
      </c>
    </row>
    <row r="7" spans="1:12" ht="15.95" customHeight="1" x14ac:dyDescent="0.25">
      <c r="A7" s="202" t="s">
        <v>1601</v>
      </c>
      <c r="B7" s="203">
        <v>3</v>
      </c>
      <c r="C7" s="204">
        <v>0.98</v>
      </c>
      <c r="D7" s="487">
        <v>0.98</v>
      </c>
      <c r="E7" s="205">
        <v>0.98</v>
      </c>
      <c r="F7" s="206">
        <v>0</v>
      </c>
      <c r="G7" s="206">
        <v>0</v>
      </c>
      <c r="H7" s="206">
        <v>0</v>
      </c>
      <c r="I7" s="206">
        <v>0</v>
      </c>
      <c r="J7" s="206">
        <v>0</v>
      </c>
      <c r="K7" s="205">
        <v>0.85</v>
      </c>
      <c r="L7" s="207">
        <v>0</v>
      </c>
    </row>
    <row r="8" spans="1:12" ht="15.95" customHeight="1" x14ac:dyDescent="0.25">
      <c r="A8" s="202" t="s">
        <v>1600</v>
      </c>
      <c r="B8" s="203">
        <v>12</v>
      </c>
      <c r="C8" s="208">
        <v>0</v>
      </c>
      <c r="D8" s="488">
        <v>0</v>
      </c>
      <c r="E8" s="206">
        <v>0</v>
      </c>
      <c r="F8" s="206">
        <v>0</v>
      </c>
      <c r="G8" s="206">
        <v>0</v>
      </c>
      <c r="H8" s="205">
        <v>0.9</v>
      </c>
      <c r="I8" s="206">
        <v>0</v>
      </c>
      <c r="J8" s="206">
        <v>0</v>
      </c>
      <c r="K8" s="206">
        <v>0</v>
      </c>
      <c r="L8" s="209">
        <v>0.9</v>
      </c>
    </row>
    <row r="9" spans="1:12" ht="15.95" customHeight="1" x14ac:dyDescent="0.25">
      <c r="A9" s="202" t="s">
        <v>1602</v>
      </c>
      <c r="B9" s="203">
        <v>10</v>
      </c>
      <c r="C9" s="204">
        <v>0.99</v>
      </c>
      <c r="D9" s="487">
        <v>0.99</v>
      </c>
      <c r="E9" s="205">
        <v>0.99</v>
      </c>
      <c r="F9" s="206">
        <v>0</v>
      </c>
      <c r="G9" s="206">
        <v>0</v>
      </c>
      <c r="H9" s="206">
        <v>0</v>
      </c>
      <c r="I9" s="206">
        <v>0</v>
      </c>
      <c r="J9" s="206">
        <v>0</v>
      </c>
      <c r="K9" s="205">
        <v>0.9</v>
      </c>
      <c r="L9" s="207">
        <v>0</v>
      </c>
    </row>
    <row r="10" spans="1:12" ht="15.95" customHeight="1" x14ac:dyDescent="0.25">
      <c r="A10" s="202" t="s">
        <v>1607</v>
      </c>
      <c r="B10" s="203">
        <v>7</v>
      </c>
      <c r="C10" s="204">
        <v>0.5</v>
      </c>
      <c r="D10" s="487">
        <v>0.5</v>
      </c>
      <c r="E10" s="205">
        <v>0.5</v>
      </c>
      <c r="F10" s="206">
        <v>0</v>
      </c>
      <c r="G10" s="206">
        <v>0</v>
      </c>
      <c r="H10" s="206">
        <v>0</v>
      </c>
      <c r="I10" s="206">
        <v>0</v>
      </c>
      <c r="J10" s="206">
        <v>0</v>
      </c>
      <c r="K10" s="206">
        <v>0</v>
      </c>
      <c r="L10" s="207">
        <v>0</v>
      </c>
    </row>
    <row r="11" spans="1:12" ht="15.95" customHeight="1" x14ac:dyDescent="0.25">
      <c r="A11" s="202" t="s">
        <v>1595</v>
      </c>
      <c r="B11" s="203">
        <v>999</v>
      </c>
      <c r="C11" s="208">
        <v>0</v>
      </c>
      <c r="D11" s="488">
        <v>0</v>
      </c>
      <c r="E11" s="206">
        <v>0</v>
      </c>
      <c r="F11" s="206">
        <v>0</v>
      </c>
      <c r="G11" s="206">
        <v>0</v>
      </c>
      <c r="H11" s="206">
        <v>0</v>
      </c>
      <c r="I11" s="206">
        <v>0</v>
      </c>
      <c r="J11" s="206">
        <v>0</v>
      </c>
      <c r="K11" s="206">
        <v>0</v>
      </c>
      <c r="L11" s="207">
        <v>0</v>
      </c>
    </row>
    <row r="12" spans="1:12" ht="15.95" customHeight="1" x14ac:dyDescent="0.25">
      <c r="A12" s="202" t="s">
        <v>1605</v>
      </c>
      <c r="B12" s="203">
        <v>5</v>
      </c>
      <c r="C12" s="204">
        <v>0.9</v>
      </c>
      <c r="D12" s="487">
        <v>0.9</v>
      </c>
      <c r="E12" s="205">
        <v>0.9</v>
      </c>
      <c r="F12" s="206">
        <v>0</v>
      </c>
      <c r="G12" s="206">
        <v>0</v>
      </c>
      <c r="H12" s="206">
        <v>0</v>
      </c>
      <c r="I12" s="206">
        <v>0</v>
      </c>
      <c r="J12" s="206">
        <v>0</v>
      </c>
      <c r="K12" s="206">
        <v>0</v>
      </c>
      <c r="L12" s="207">
        <v>0</v>
      </c>
    </row>
    <row r="13" spans="1:12" ht="15.95" customHeight="1" x14ac:dyDescent="0.25">
      <c r="A13" s="202" t="s">
        <v>1606</v>
      </c>
      <c r="B13" s="203">
        <v>4</v>
      </c>
      <c r="C13" s="204">
        <v>0.4</v>
      </c>
      <c r="D13" s="487">
        <v>0.4</v>
      </c>
      <c r="E13" s="205">
        <v>0.4</v>
      </c>
      <c r="F13" s="206">
        <v>0</v>
      </c>
      <c r="G13" s="206">
        <v>0</v>
      </c>
      <c r="H13" s="206">
        <v>0</v>
      </c>
      <c r="I13" s="206">
        <v>0</v>
      </c>
      <c r="J13" s="206">
        <v>0</v>
      </c>
      <c r="K13" s="206">
        <v>0</v>
      </c>
      <c r="L13" s="207">
        <v>0</v>
      </c>
    </row>
    <row r="14" spans="1:12" ht="15.95" customHeight="1" x14ac:dyDescent="0.25">
      <c r="A14" s="202" t="s">
        <v>1586</v>
      </c>
      <c r="B14" s="203">
        <v>13</v>
      </c>
      <c r="C14" s="208">
        <v>0</v>
      </c>
      <c r="D14" s="488">
        <v>0</v>
      </c>
      <c r="E14" s="206">
        <v>0</v>
      </c>
      <c r="F14" s="205">
        <v>0.65</v>
      </c>
      <c r="G14" s="206">
        <v>0</v>
      </c>
      <c r="H14" s="206">
        <v>0</v>
      </c>
      <c r="I14" s="206">
        <v>0</v>
      </c>
      <c r="J14" s="206">
        <v>0</v>
      </c>
      <c r="K14" s="206">
        <v>0</v>
      </c>
      <c r="L14" s="207">
        <v>0</v>
      </c>
    </row>
    <row r="15" spans="1:12" ht="15.95" customHeight="1" x14ac:dyDescent="0.25">
      <c r="A15" s="202" t="s">
        <v>1592</v>
      </c>
      <c r="B15" s="203">
        <v>11</v>
      </c>
      <c r="C15" s="208">
        <v>0</v>
      </c>
      <c r="D15" s="488">
        <v>0</v>
      </c>
      <c r="E15" s="206">
        <v>0</v>
      </c>
      <c r="F15" s="210">
        <v>0</v>
      </c>
      <c r="G15" s="206">
        <v>0</v>
      </c>
      <c r="H15" s="205">
        <v>0.95</v>
      </c>
      <c r="I15" s="206">
        <v>0</v>
      </c>
      <c r="J15" s="206">
        <v>0</v>
      </c>
      <c r="K15" s="206">
        <v>0</v>
      </c>
      <c r="L15" s="209">
        <v>0.95</v>
      </c>
    </row>
    <row r="16" spans="1:12" ht="15.95" customHeight="1" thickBot="1" x14ac:dyDescent="0.3">
      <c r="A16" s="211" t="s">
        <v>1594</v>
      </c>
      <c r="B16" s="212">
        <v>6</v>
      </c>
      <c r="C16" s="213">
        <v>0.5</v>
      </c>
      <c r="D16" s="489">
        <v>0.5</v>
      </c>
      <c r="E16" s="214">
        <v>0.5</v>
      </c>
      <c r="F16" s="215">
        <v>0</v>
      </c>
      <c r="G16" s="215">
        <v>0</v>
      </c>
      <c r="H16" s="215">
        <v>0</v>
      </c>
      <c r="I16" s="215">
        <v>0</v>
      </c>
      <c r="J16" s="215">
        <v>0</v>
      </c>
      <c r="K16" s="215">
        <v>0</v>
      </c>
      <c r="L16" s="216">
        <v>0</v>
      </c>
    </row>
    <row r="17" spans="1:12" ht="15.95" customHeight="1" thickBot="1" x14ac:dyDescent="0.3"/>
    <row r="18" spans="1:12" ht="22.5" customHeight="1" x14ac:dyDescent="0.25">
      <c r="A18" s="1492" t="s">
        <v>1585</v>
      </c>
      <c r="B18" s="1494" t="s">
        <v>1587</v>
      </c>
      <c r="C18" s="1496" t="s">
        <v>1588</v>
      </c>
      <c r="D18" s="1497"/>
      <c r="E18" s="1497"/>
      <c r="F18" s="1497"/>
      <c r="G18" s="1497"/>
      <c r="H18" s="1497"/>
      <c r="I18" s="1497"/>
      <c r="J18" s="1497"/>
      <c r="K18" s="1497"/>
      <c r="L18" s="1498"/>
    </row>
    <row r="19" spans="1:12" ht="22.5" customHeight="1" thickBot="1" x14ac:dyDescent="0.3">
      <c r="A19" s="1493"/>
      <c r="B19" s="1495"/>
      <c r="C19" s="482" t="s">
        <v>1828</v>
      </c>
      <c r="D19" s="485" t="s">
        <v>1589</v>
      </c>
      <c r="E19" s="194" t="s">
        <v>1590</v>
      </c>
      <c r="F19" s="194" t="s">
        <v>3</v>
      </c>
      <c r="G19" s="194" t="s">
        <v>4</v>
      </c>
      <c r="H19" s="194" t="s">
        <v>0</v>
      </c>
      <c r="I19" s="194" t="s">
        <v>5</v>
      </c>
      <c r="J19" s="194" t="s">
        <v>260</v>
      </c>
      <c r="K19" s="194" t="s">
        <v>236</v>
      </c>
      <c r="L19" s="195" t="s">
        <v>25</v>
      </c>
    </row>
    <row r="20" spans="1:12" ht="15.95" customHeight="1" x14ac:dyDescent="0.25">
      <c r="A20" s="197">
        <v>1</v>
      </c>
      <c r="B20" s="196" t="s">
        <v>1591</v>
      </c>
      <c r="C20" s="486">
        <v>0.95</v>
      </c>
      <c r="D20" s="486">
        <v>0.95</v>
      </c>
      <c r="E20" s="199">
        <v>0.95</v>
      </c>
      <c r="F20" s="200">
        <v>0</v>
      </c>
      <c r="G20" s="200">
        <v>0</v>
      </c>
      <c r="H20" s="200">
        <v>0</v>
      </c>
      <c r="I20" s="200">
        <v>0</v>
      </c>
      <c r="J20" s="200">
        <v>0</v>
      </c>
      <c r="K20" s="199">
        <v>0.8</v>
      </c>
      <c r="L20" s="201">
        <v>0</v>
      </c>
    </row>
    <row r="21" spans="1:12" ht="15.95" customHeight="1" x14ac:dyDescent="0.25">
      <c r="A21" s="197">
        <v>2</v>
      </c>
      <c r="B21" s="196" t="s">
        <v>1593</v>
      </c>
      <c r="C21" s="486">
        <v>0.6</v>
      </c>
      <c r="D21" s="486">
        <v>0.6</v>
      </c>
      <c r="E21" s="199">
        <v>0.6</v>
      </c>
      <c r="F21" s="200">
        <v>0</v>
      </c>
      <c r="G21" s="200">
        <v>0</v>
      </c>
      <c r="H21" s="200">
        <v>0</v>
      </c>
      <c r="I21" s="200">
        <v>0</v>
      </c>
      <c r="J21" s="200">
        <v>0</v>
      </c>
      <c r="K21" s="199">
        <v>0.4</v>
      </c>
      <c r="L21" s="201">
        <v>0</v>
      </c>
    </row>
    <row r="22" spans="1:12" ht="15.95" customHeight="1" x14ac:dyDescent="0.25">
      <c r="A22" s="203">
        <v>3</v>
      </c>
      <c r="B22" s="202" t="s">
        <v>1601</v>
      </c>
      <c r="C22" s="487">
        <v>0.98</v>
      </c>
      <c r="D22" s="487">
        <v>0.98</v>
      </c>
      <c r="E22" s="205">
        <v>0.98</v>
      </c>
      <c r="F22" s="206">
        <v>0</v>
      </c>
      <c r="G22" s="206">
        <v>0</v>
      </c>
      <c r="H22" s="206">
        <v>0</v>
      </c>
      <c r="I22" s="206">
        <v>0</v>
      </c>
      <c r="J22" s="206">
        <v>0</v>
      </c>
      <c r="K22" s="205">
        <v>0.85</v>
      </c>
      <c r="L22" s="207">
        <v>0</v>
      </c>
    </row>
    <row r="23" spans="1:12" ht="15.95" customHeight="1" x14ac:dyDescent="0.25">
      <c r="A23" s="203">
        <v>4</v>
      </c>
      <c r="B23" s="202" t="s">
        <v>1606</v>
      </c>
      <c r="C23" s="487">
        <v>0.4</v>
      </c>
      <c r="D23" s="487">
        <v>0.4</v>
      </c>
      <c r="E23" s="205">
        <v>0.4</v>
      </c>
      <c r="F23" s="206">
        <v>0</v>
      </c>
      <c r="G23" s="206">
        <v>0</v>
      </c>
      <c r="H23" s="206">
        <v>0</v>
      </c>
      <c r="I23" s="206">
        <v>0</v>
      </c>
      <c r="J23" s="206">
        <v>0</v>
      </c>
      <c r="K23" s="206">
        <v>0</v>
      </c>
      <c r="L23" s="207">
        <v>0</v>
      </c>
    </row>
    <row r="24" spans="1:12" ht="15.95" customHeight="1" x14ac:dyDescent="0.25">
      <c r="A24" s="203">
        <v>5</v>
      </c>
      <c r="B24" s="202" t="s">
        <v>1605</v>
      </c>
      <c r="C24" s="487">
        <v>0.9</v>
      </c>
      <c r="D24" s="487">
        <v>0.9</v>
      </c>
      <c r="E24" s="205">
        <v>0.9</v>
      </c>
      <c r="F24" s="206">
        <v>0</v>
      </c>
      <c r="G24" s="206">
        <v>0</v>
      </c>
      <c r="H24" s="206">
        <v>0</v>
      </c>
      <c r="I24" s="206">
        <v>0</v>
      </c>
      <c r="J24" s="206">
        <v>0</v>
      </c>
      <c r="K24" s="206">
        <v>0</v>
      </c>
      <c r="L24" s="207">
        <v>0</v>
      </c>
    </row>
    <row r="25" spans="1:12" ht="15.95" customHeight="1" x14ac:dyDescent="0.25">
      <c r="A25" s="203">
        <v>6</v>
      </c>
      <c r="B25" s="202" t="s">
        <v>1594</v>
      </c>
      <c r="C25" s="487">
        <v>0.5</v>
      </c>
      <c r="D25" s="487">
        <v>0.5</v>
      </c>
      <c r="E25" s="205">
        <v>0.5</v>
      </c>
      <c r="F25" s="206">
        <v>0</v>
      </c>
      <c r="G25" s="206">
        <v>0</v>
      </c>
      <c r="H25" s="206">
        <v>0</v>
      </c>
      <c r="I25" s="206">
        <v>0</v>
      </c>
      <c r="J25" s="206">
        <v>0</v>
      </c>
      <c r="K25" s="206">
        <v>0</v>
      </c>
      <c r="L25" s="207">
        <v>0</v>
      </c>
    </row>
    <row r="26" spans="1:12" ht="15.95" customHeight="1" x14ac:dyDescent="0.25">
      <c r="A26" s="203">
        <v>7</v>
      </c>
      <c r="B26" s="202" t="s">
        <v>1607</v>
      </c>
      <c r="C26" s="487">
        <v>0.5</v>
      </c>
      <c r="D26" s="487">
        <v>0.5</v>
      </c>
      <c r="E26" s="205">
        <v>0.5</v>
      </c>
      <c r="F26" s="206">
        <v>0</v>
      </c>
      <c r="G26" s="206">
        <v>0</v>
      </c>
      <c r="H26" s="206">
        <v>0</v>
      </c>
      <c r="I26" s="206">
        <v>0</v>
      </c>
      <c r="J26" s="206">
        <v>0</v>
      </c>
      <c r="K26" s="206">
        <v>0</v>
      </c>
      <c r="L26" s="207">
        <v>0</v>
      </c>
    </row>
    <row r="27" spans="1:12" ht="15.95" customHeight="1" x14ac:dyDescent="0.25">
      <c r="A27" s="203">
        <v>8</v>
      </c>
      <c r="B27" s="202" t="s">
        <v>1604</v>
      </c>
      <c r="C27" s="487">
        <v>0.5</v>
      </c>
      <c r="D27" s="487">
        <v>0.5</v>
      </c>
      <c r="E27" s="205">
        <v>0.5</v>
      </c>
      <c r="F27" s="206">
        <v>0</v>
      </c>
      <c r="G27" s="206">
        <v>0</v>
      </c>
      <c r="H27" s="206">
        <v>0</v>
      </c>
      <c r="I27" s="206">
        <v>0</v>
      </c>
      <c r="J27" s="206">
        <v>0</v>
      </c>
      <c r="K27" s="206">
        <v>0</v>
      </c>
      <c r="L27" s="207">
        <v>0</v>
      </c>
    </row>
    <row r="28" spans="1:12" ht="15.95" customHeight="1" x14ac:dyDescent="0.25">
      <c r="A28" s="203">
        <v>9</v>
      </c>
      <c r="B28" s="202" t="s">
        <v>1603</v>
      </c>
      <c r="C28" s="487">
        <v>0.5</v>
      </c>
      <c r="D28" s="487">
        <v>0.5</v>
      </c>
      <c r="E28" s="205">
        <v>0.5</v>
      </c>
      <c r="F28" s="206">
        <v>0</v>
      </c>
      <c r="G28" s="206">
        <v>0</v>
      </c>
      <c r="H28" s="206">
        <v>0</v>
      </c>
      <c r="I28" s="206">
        <v>0</v>
      </c>
      <c r="J28" s="206">
        <v>0</v>
      </c>
      <c r="K28" s="206">
        <v>0</v>
      </c>
      <c r="L28" s="207">
        <v>0</v>
      </c>
    </row>
    <row r="29" spans="1:12" ht="15.95" customHeight="1" x14ac:dyDescent="0.25">
      <c r="A29" s="203">
        <v>10</v>
      </c>
      <c r="B29" s="202" t="s">
        <v>1602</v>
      </c>
      <c r="C29" s="487">
        <v>0.99</v>
      </c>
      <c r="D29" s="487">
        <v>0.99</v>
      </c>
      <c r="E29" s="205">
        <v>0.99</v>
      </c>
      <c r="F29" s="206">
        <v>0</v>
      </c>
      <c r="G29" s="206">
        <v>0</v>
      </c>
      <c r="H29" s="206">
        <v>0</v>
      </c>
      <c r="I29" s="206">
        <v>0</v>
      </c>
      <c r="J29" s="206">
        <v>0</v>
      </c>
      <c r="K29" s="205">
        <v>0.9</v>
      </c>
      <c r="L29" s="207">
        <v>0</v>
      </c>
    </row>
    <row r="30" spans="1:12" ht="15.95" customHeight="1" x14ac:dyDescent="0.25">
      <c r="A30" s="203">
        <v>11</v>
      </c>
      <c r="B30" s="202" t="s">
        <v>1592</v>
      </c>
      <c r="C30" s="488">
        <v>0</v>
      </c>
      <c r="D30" s="488">
        <v>0</v>
      </c>
      <c r="E30" s="206">
        <v>0</v>
      </c>
      <c r="F30" s="210">
        <v>0</v>
      </c>
      <c r="G30" s="206">
        <v>0</v>
      </c>
      <c r="H30" s="205">
        <v>0.95</v>
      </c>
      <c r="I30" s="206">
        <v>0</v>
      </c>
      <c r="J30" s="206">
        <v>0</v>
      </c>
      <c r="K30" s="206">
        <v>0</v>
      </c>
      <c r="L30" s="209">
        <v>0.95</v>
      </c>
    </row>
    <row r="31" spans="1:12" ht="15.95" customHeight="1" x14ac:dyDescent="0.25">
      <c r="A31" s="203">
        <v>12</v>
      </c>
      <c r="B31" s="202" t="s">
        <v>1600</v>
      </c>
      <c r="C31" s="488">
        <v>0</v>
      </c>
      <c r="D31" s="488">
        <v>0</v>
      </c>
      <c r="E31" s="206">
        <v>0</v>
      </c>
      <c r="F31" s="206">
        <v>0</v>
      </c>
      <c r="G31" s="206">
        <v>0</v>
      </c>
      <c r="H31" s="205">
        <v>0.9</v>
      </c>
      <c r="I31" s="206">
        <v>0</v>
      </c>
      <c r="J31" s="206">
        <v>0</v>
      </c>
      <c r="K31" s="206">
        <v>0</v>
      </c>
      <c r="L31" s="209">
        <v>0.9</v>
      </c>
    </row>
    <row r="32" spans="1:12" ht="15.95" customHeight="1" x14ac:dyDescent="0.25">
      <c r="A32" s="203">
        <v>13</v>
      </c>
      <c r="B32" s="202" t="s">
        <v>1586</v>
      </c>
      <c r="C32" s="488">
        <v>0</v>
      </c>
      <c r="D32" s="488">
        <v>0</v>
      </c>
      <c r="E32" s="206">
        <v>0</v>
      </c>
      <c r="F32" s="205">
        <v>0.65</v>
      </c>
      <c r="G32" s="206">
        <v>0</v>
      </c>
      <c r="H32" s="206">
        <v>0</v>
      </c>
      <c r="I32" s="206">
        <v>0</v>
      </c>
      <c r="J32" s="206">
        <v>0</v>
      </c>
      <c r="K32" s="206">
        <v>0</v>
      </c>
      <c r="L32" s="207">
        <v>0</v>
      </c>
    </row>
    <row r="33" spans="1:12" ht="15.95" customHeight="1" thickBot="1" x14ac:dyDescent="0.3">
      <c r="A33" s="212">
        <v>999</v>
      </c>
      <c r="B33" s="211" t="s">
        <v>1595</v>
      </c>
      <c r="C33" s="490">
        <v>0</v>
      </c>
      <c r="D33" s="490">
        <v>0</v>
      </c>
      <c r="E33" s="215">
        <v>0</v>
      </c>
      <c r="F33" s="215">
        <v>0</v>
      </c>
      <c r="G33" s="215">
        <v>0</v>
      </c>
      <c r="H33" s="215">
        <v>0</v>
      </c>
      <c r="I33" s="215">
        <v>0</v>
      </c>
      <c r="J33" s="215">
        <v>0</v>
      </c>
      <c r="K33" s="215">
        <v>0</v>
      </c>
      <c r="L33" s="216">
        <v>0</v>
      </c>
    </row>
  </sheetData>
  <sheetProtection password="CCBE" sheet="1" objects="1" scenarios="1"/>
  <sortState xmlns:xlrd2="http://schemas.microsoft.com/office/spreadsheetml/2017/richdata2" ref="A20:K33">
    <sortCondition ref="A20"/>
  </sortState>
  <mergeCells count="6">
    <mergeCell ref="B1:B2"/>
    <mergeCell ref="A1:A2"/>
    <mergeCell ref="B18:B19"/>
    <mergeCell ref="A18:A19"/>
    <mergeCell ref="C1:L1"/>
    <mergeCell ref="C18:L18"/>
  </mergeCells>
  <conditionalFormatting sqref="C3:L16">
    <cfRule type="cellIs" dxfId="1" priority="11" operator="equal">
      <formula>0</formula>
    </cfRule>
  </conditionalFormatting>
  <conditionalFormatting sqref="C20:L33">
    <cfRule type="cellIs" dxfId="0" priority="1" operator="equal">
      <formula>0</formula>
    </cfRule>
  </conditionalFormatting>
  <pageMargins left="0.7" right="0.7" top="0.75" bottom="0.75" header="0.3" footer="0.3"/>
  <pageSetup scale="84"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rgb="FF002060"/>
    <pageSetUpPr fitToPage="1"/>
  </sheetPr>
  <dimension ref="A1:Y93"/>
  <sheetViews>
    <sheetView showGridLines="0" zoomScaleNormal="100" workbookViewId="0">
      <selection activeCell="A2" sqref="A2:G2"/>
    </sheetView>
  </sheetViews>
  <sheetFormatPr defaultRowHeight="20.100000000000001" customHeight="1" x14ac:dyDescent="0.25"/>
  <cols>
    <col min="1" max="7" width="15.7109375" style="48" customWidth="1"/>
    <col min="8" max="8" width="5" style="48" customWidth="1"/>
    <col min="9" max="14" width="11.7109375" style="48" customWidth="1"/>
    <col min="15" max="16384" width="9.140625" style="48"/>
  </cols>
  <sheetData>
    <row r="1" spans="1:25" ht="60" customHeight="1" x14ac:dyDescent="0.25">
      <c r="A1" s="988"/>
      <c r="B1" s="988"/>
      <c r="C1" s="988"/>
      <c r="D1" s="988"/>
      <c r="E1" s="988"/>
      <c r="F1" s="988"/>
      <c r="G1" s="988"/>
    </row>
    <row r="2" spans="1:25" ht="24.95" customHeight="1" thickBot="1" x14ac:dyDescent="0.3">
      <c r="A2" s="885" t="s">
        <v>1417</v>
      </c>
      <c r="B2" s="885"/>
      <c r="C2" s="885"/>
      <c r="D2" s="885"/>
      <c r="E2" s="885"/>
      <c r="F2" s="885"/>
      <c r="G2" s="885"/>
    </row>
    <row r="3" spans="1:25" ht="30" customHeight="1" thickBot="1" x14ac:dyDescent="0.3">
      <c r="A3" s="800" t="s">
        <v>1711</v>
      </c>
      <c r="B3" s="801"/>
      <c r="C3" s="801"/>
      <c r="D3" s="801"/>
      <c r="E3" s="801"/>
      <c r="F3" s="801"/>
      <c r="G3" s="802"/>
    </row>
    <row r="4" spans="1:25" ht="30" customHeight="1" x14ac:dyDescent="0.25">
      <c r="A4" s="1024" t="s">
        <v>1419</v>
      </c>
      <c r="B4" s="1027"/>
      <c r="C4" s="181" t="s">
        <v>1744</v>
      </c>
      <c r="D4" s="182" t="s">
        <v>1745</v>
      </c>
      <c r="E4" s="1003" t="str">
        <f>IF(AND(N4=TRUE,O4=TRUE),"Too many boxes checked.",IF(N4=TRUE,"If seasonal, check the appropriate months during which the source operates, below:",""))</f>
        <v/>
      </c>
      <c r="F4" s="1004"/>
      <c r="G4" s="1005"/>
      <c r="N4" s="81" t="b">
        <v>0</v>
      </c>
      <c r="O4" s="81" t="b">
        <v>0</v>
      </c>
    </row>
    <row r="5" spans="1:25" ht="18.95" customHeight="1" x14ac:dyDescent="0.25">
      <c r="A5" s="255"/>
      <c r="B5" s="256" t="str">
        <f>IF(AND($N$4=FALSE,$O$4=TRUE),"","       January")</f>
        <v xml:space="preserve">       January</v>
      </c>
      <c r="C5" s="256" t="str">
        <f>IF(AND($N$4=FALSE,$O$4=TRUE),"","       March")</f>
        <v xml:space="preserve">       March</v>
      </c>
      <c r="D5" s="256" t="str">
        <f>IF(AND($N$4=FALSE,$O$4=TRUE),"","       May")</f>
        <v xml:space="preserve">       May</v>
      </c>
      <c r="E5" s="256" t="str">
        <f>IF(AND($N$4=FALSE,$O$4=TRUE),"","       July")</f>
        <v xml:space="preserve">       July</v>
      </c>
      <c r="F5" s="256" t="str">
        <f>IF(AND($N$4=FALSE,$O$4=TRUE),"","       September")</f>
        <v xml:space="preserve">       September</v>
      </c>
      <c r="G5" s="257" t="str">
        <f>IF(AND($N$4=FALSE,$O$4=TRUE),"","       November")</f>
        <v xml:space="preserve">       November</v>
      </c>
      <c r="N5" s="81" t="b">
        <v>0</v>
      </c>
      <c r="O5" s="81" t="b">
        <v>0</v>
      </c>
      <c r="P5" s="81" t="b">
        <v>0</v>
      </c>
      <c r="Q5" s="81" t="b">
        <v>0</v>
      </c>
      <c r="R5" s="81" t="b">
        <v>0</v>
      </c>
      <c r="S5" s="81" t="b">
        <v>0</v>
      </c>
      <c r="T5" s="81" t="b">
        <v>0</v>
      </c>
      <c r="U5" s="81" t="b">
        <v>0</v>
      </c>
      <c r="V5" s="81" t="b">
        <v>0</v>
      </c>
      <c r="W5" s="81" t="b">
        <v>0</v>
      </c>
      <c r="X5" s="81" t="b">
        <v>0</v>
      </c>
      <c r="Y5" s="81" t="b">
        <v>0</v>
      </c>
    </row>
    <row r="6" spans="1:25" ht="18.95" customHeight="1" x14ac:dyDescent="0.25">
      <c r="A6" s="258"/>
      <c r="B6" s="259" t="str">
        <f>IF(AND($N$4=FALSE,$O$4=TRUE),"","       February")</f>
        <v xml:space="preserve">       February</v>
      </c>
      <c r="C6" s="259" t="str">
        <f>IF(AND($N$4=FALSE,$O$4=TRUE),"","       April")</f>
        <v xml:space="preserve">       April</v>
      </c>
      <c r="D6" s="259" t="str">
        <f>IF(AND($N$4=FALSE,$O$4=TRUE),"","       June")</f>
        <v xml:space="preserve">       June</v>
      </c>
      <c r="E6" s="259" t="str">
        <f>IF(AND($N$4=FALSE,$O$4=TRUE),"","       August")</f>
        <v xml:space="preserve">       August</v>
      </c>
      <c r="F6" s="259" t="str">
        <f>IF(AND($N$4=FALSE,$O$4=TRUE),"","       October")</f>
        <v xml:space="preserve">       October</v>
      </c>
      <c r="G6" s="260" t="str">
        <f>IF(AND($N$4=FALSE,$O$4=TRUE),"","       December")</f>
        <v xml:space="preserve">       December</v>
      </c>
    </row>
    <row r="7" spans="1:25" ht="20.100000000000001" customHeight="1" x14ac:dyDescent="0.25">
      <c r="A7" s="1028" t="s">
        <v>1420</v>
      </c>
      <c r="B7" s="1029"/>
      <c r="C7" s="997" t="s">
        <v>1421</v>
      </c>
      <c r="D7" s="997"/>
      <c r="E7" s="997"/>
      <c r="F7" s="1010"/>
      <c r="G7" s="1011"/>
      <c r="N7" s="48" t="b">
        <f>IF(OR(N5:Y5),TRUE,FALSE)</f>
        <v>0</v>
      </c>
    </row>
    <row r="8" spans="1:25" ht="20.100000000000001" customHeight="1" x14ac:dyDescent="0.25">
      <c r="A8" s="1030"/>
      <c r="B8" s="1031"/>
      <c r="C8" s="1000" t="s">
        <v>1422</v>
      </c>
      <c r="D8" s="1000"/>
      <c r="E8" s="1000"/>
      <c r="F8" s="1008"/>
      <c r="G8" s="1009"/>
      <c r="N8" s="48" t="b">
        <f>IF(AND(NOT(ISBLANK(F7)),NOT(ISBLANK(F8)),NOT(ISBLANK(F9)),N7=TRUE),TRUE,FALSE)</f>
        <v>0</v>
      </c>
    </row>
    <row r="9" spans="1:25" ht="20.100000000000001" customHeight="1" x14ac:dyDescent="0.25">
      <c r="A9" s="1032"/>
      <c r="B9" s="1033"/>
      <c r="C9" s="992" t="s">
        <v>1423</v>
      </c>
      <c r="D9" s="992"/>
      <c r="E9" s="992"/>
      <c r="F9" s="1006"/>
      <c r="G9" s="1007"/>
    </row>
    <row r="10" spans="1:25" ht="15" customHeight="1" x14ac:dyDescent="0.25">
      <c r="A10" s="861" t="s">
        <v>1424</v>
      </c>
      <c r="B10" s="1042"/>
      <c r="C10" s="1042"/>
      <c r="D10" s="261" t="s">
        <v>1797</v>
      </c>
      <c r="E10" s="984" t="str">
        <f>IF(AND(N10=TRUE,O10=TRUE),"Too many boxes checked.",IF(AND($N$10=FALSE,$O$10=TRUE),"","If Yes, provide the following requested information."))</f>
        <v>If Yes, provide the following requested information.</v>
      </c>
      <c r="F10" s="984"/>
      <c r="G10" s="985"/>
      <c r="N10" s="81" t="b">
        <v>0</v>
      </c>
      <c r="O10" s="81" t="b">
        <v>0</v>
      </c>
    </row>
    <row r="11" spans="1:25" ht="15" customHeight="1" x14ac:dyDescent="0.25">
      <c r="A11" s="862"/>
      <c r="B11" s="1043"/>
      <c r="C11" s="1043"/>
      <c r="D11" s="245" t="s">
        <v>1796</v>
      </c>
      <c r="E11" s="986"/>
      <c r="F11" s="986"/>
      <c r="G11" s="987"/>
    </row>
    <row r="12" spans="1:25" ht="60" customHeight="1" x14ac:dyDescent="0.25">
      <c r="A12" s="1036" t="str">
        <f>IF(AND($N$10=FALSE,$O$10=TRUE),"","Describe the reason or circumstances under which the source utilizes the alternative schedule:")</f>
        <v>Describe the reason or circumstances under which the source utilizes the alternative schedule:</v>
      </c>
      <c r="B12" s="1037"/>
      <c r="C12" s="995"/>
      <c r="D12" s="995"/>
      <c r="E12" s="995"/>
      <c r="F12" s="995"/>
      <c r="G12" s="996"/>
      <c r="N12" s="80"/>
      <c r="O12" s="80"/>
    </row>
    <row r="13" spans="1:25" ht="20.100000000000001" customHeight="1" x14ac:dyDescent="0.25">
      <c r="A13" s="1030" t="str">
        <f>IF(AND($N$10=FALSE,$O$10=TRUE),"","Provide the alternative operating schedule:")</f>
        <v>Provide the alternative operating schedule:</v>
      </c>
      <c r="B13" s="1031"/>
      <c r="C13" s="997" t="str">
        <f>IF(AND($N$10=FALSE,$O$10=TRUE),"","Hours per Day:")</f>
        <v>Hours per Day:</v>
      </c>
      <c r="D13" s="997"/>
      <c r="E13" s="997"/>
      <c r="F13" s="998"/>
      <c r="G13" s="999"/>
      <c r="N13" s="80"/>
      <c r="O13" s="80"/>
    </row>
    <row r="14" spans="1:25" ht="20.100000000000001" customHeight="1" x14ac:dyDescent="0.25">
      <c r="A14" s="1030"/>
      <c r="B14" s="1031"/>
      <c r="C14" s="1000" t="str">
        <f>IF(AND($N$10=FALSE,$O$10=TRUE),"","Days per Week:")</f>
        <v>Days per Week:</v>
      </c>
      <c r="D14" s="1000"/>
      <c r="E14" s="1000"/>
      <c r="F14" s="1001"/>
      <c r="G14" s="1002"/>
      <c r="N14" s="80"/>
      <c r="O14" s="80"/>
    </row>
    <row r="15" spans="1:25" ht="20.100000000000001" customHeight="1" thickBot="1" x14ac:dyDescent="0.3">
      <c r="A15" s="1034"/>
      <c r="B15" s="1035"/>
      <c r="C15" s="992" t="str">
        <f>IF(AND($N$10=FALSE,$O$10=TRUE),"","Weeks per Year:")</f>
        <v>Weeks per Year:</v>
      </c>
      <c r="D15" s="992"/>
      <c r="E15" s="992"/>
      <c r="F15" s="993"/>
      <c r="G15" s="994"/>
      <c r="N15" s="80"/>
      <c r="O15" s="80"/>
    </row>
    <row r="16" spans="1:25" ht="30" customHeight="1" thickBot="1" x14ac:dyDescent="0.3">
      <c r="A16" s="800" t="s">
        <v>1815</v>
      </c>
      <c r="B16" s="801"/>
      <c r="C16" s="801"/>
      <c r="D16" s="801"/>
      <c r="E16" s="801"/>
      <c r="F16" s="801"/>
      <c r="G16" s="802"/>
      <c r="N16" s="80"/>
      <c r="O16" s="80"/>
    </row>
    <row r="17" spans="1:25" ht="60" customHeight="1" x14ac:dyDescent="0.25">
      <c r="A17" s="989" t="s">
        <v>1816</v>
      </c>
      <c r="B17" s="990"/>
      <c r="C17" s="990"/>
      <c r="D17" s="990"/>
      <c r="E17" s="990"/>
      <c r="F17" s="990"/>
      <c r="G17" s="991"/>
      <c r="N17" s="80" t="b">
        <f>IF(AND(O4=TRUE,NOT(ISBLANK(F7)),NOT(ISBLANK(F8)),NOT(ISBLANK(F9)),O10=TRUE),TRUE,IF(AND(O4=TRUE,NOT(ISBLANK(F7)),NOT(ISBLANK(F8)),NOT(ISBLANK(F9)),AND(N10=TRUE,NOT(ISBLANK(C12)),NOT(ISBLANK(F13)),NOT(ISBLANK(F14)),NOT(ISBLANK(F15)))),TRUE,IF(AND(N4=TRUE,N7=TRUE,NOT(ISBLANK(F7)),NOT(ISBLANK(F8)),NOT(ISBLANK(F9)),O10=TRUE),TRUE,IF(AND(N4=TRUE,N7=TRUE,NOT(ISBLANK(F7)),NOT(ISBLANK(F8)),NOT(ISBLANK(F9)),AND(N10=TRUE,NOT(ISBLANK(C12)),NOT(ISBLANK(F13)),NOT(ISBLANK(F14)),NOT(ISBLANK(F15)))),TRUE,FALSE))))</f>
        <v>0</v>
      </c>
      <c r="O17" s="80" t="s">
        <v>1752</v>
      </c>
    </row>
    <row r="18" spans="1:25" ht="15" customHeight="1" x14ac:dyDescent="0.25">
      <c r="A18" s="1051" t="s">
        <v>1821</v>
      </c>
      <c r="B18" s="1052"/>
      <c r="C18" s="1052"/>
      <c r="D18" s="1052"/>
      <c r="E18" s="262" t="s">
        <v>1797</v>
      </c>
      <c r="F18" s="1048" t="str">
        <f>IF(AND(N18=TRUE,O18=TRUE),"Too many boxes checked.",IF(O18=TRUE,"If no, explain why on a separate sheet of paper.",""))</f>
        <v/>
      </c>
      <c r="G18" s="1049"/>
      <c r="N18" s="81" t="b">
        <v>0</v>
      </c>
      <c r="O18" s="81" t="b">
        <v>0</v>
      </c>
      <c r="Q18" s="48" t="b">
        <f>IF(OR(AND(N18=TRUE,O18=FALSE),AND(N18=FALSE,O18=TRUE)),TRUE,FALSE)</f>
        <v>0</v>
      </c>
    </row>
    <row r="19" spans="1:25" ht="15" customHeight="1" thickBot="1" x14ac:dyDescent="0.3">
      <c r="A19" s="1053"/>
      <c r="B19" s="1054"/>
      <c r="C19" s="1054"/>
      <c r="D19" s="1054"/>
      <c r="E19" s="244" t="s">
        <v>1796</v>
      </c>
      <c r="F19" s="892"/>
      <c r="G19" s="1050"/>
    </row>
    <row r="20" spans="1:25" ht="30" customHeight="1" thickBot="1" x14ac:dyDescent="0.3">
      <c r="A20" s="800" t="s">
        <v>1817</v>
      </c>
      <c r="B20" s="801"/>
      <c r="C20" s="801"/>
      <c r="D20" s="801"/>
      <c r="E20" s="801"/>
      <c r="F20" s="801"/>
      <c r="G20" s="802"/>
      <c r="N20" s="80"/>
      <c r="O20" s="80"/>
    </row>
    <row r="21" spans="1:25" ht="84.95" customHeight="1" x14ac:dyDescent="0.25">
      <c r="A21" s="989" t="s">
        <v>1818</v>
      </c>
      <c r="B21" s="990"/>
      <c r="C21" s="990"/>
      <c r="D21" s="990"/>
      <c r="E21" s="990"/>
      <c r="F21" s="990"/>
      <c r="G21" s="991"/>
      <c r="N21" s="80"/>
      <c r="O21" s="80"/>
    </row>
    <row r="22" spans="1:25" ht="15" customHeight="1" x14ac:dyDescent="0.25">
      <c r="A22" s="1059" t="s">
        <v>1822</v>
      </c>
      <c r="B22" s="1060"/>
      <c r="C22" s="1060"/>
      <c r="D22" s="1061"/>
      <c r="E22" s="262" t="s">
        <v>1797</v>
      </c>
      <c r="F22" s="1055" t="str">
        <f>IF(AND(N22=TRUE,O22=TRUE),"Too many boxes checked.",IF(O22=TRUE,"If no, explain why on a separate sheet of paper.",""))</f>
        <v/>
      </c>
      <c r="G22" s="1056"/>
      <c r="N22" s="81" t="b">
        <v>0</v>
      </c>
      <c r="O22" s="81" t="b">
        <v>0</v>
      </c>
      <c r="Q22" s="48" t="b">
        <f>IF(OR(AND(N22=TRUE,O22=FALSE),AND(N22=FALSE,O22=TRUE)),TRUE,FALSE)</f>
        <v>0</v>
      </c>
    </row>
    <row r="23" spans="1:25" ht="15" customHeight="1" thickBot="1" x14ac:dyDescent="0.3">
      <c r="A23" s="1062"/>
      <c r="B23" s="1063"/>
      <c r="C23" s="1063"/>
      <c r="D23" s="1064"/>
      <c r="E23" s="244" t="s">
        <v>1796</v>
      </c>
      <c r="F23" s="1057"/>
      <c r="G23" s="1058"/>
    </row>
    <row r="24" spans="1:25" ht="30" customHeight="1" thickBot="1" x14ac:dyDescent="0.3">
      <c r="A24" s="800" t="s">
        <v>1819</v>
      </c>
      <c r="B24" s="801"/>
      <c r="C24" s="801"/>
      <c r="D24" s="801"/>
      <c r="E24" s="801"/>
      <c r="F24" s="801"/>
      <c r="G24" s="802"/>
      <c r="N24" s="80"/>
      <c r="O24" s="80"/>
    </row>
    <row r="25" spans="1:25" ht="60" customHeight="1" x14ac:dyDescent="0.25">
      <c r="A25" s="989" t="s">
        <v>1820</v>
      </c>
      <c r="B25" s="990"/>
      <c r="C25" s="990"/>
      <c r="D25" s="990"/>
      <c r="E25" s="990"/>
      <c r="F25" s="990"/>
      <c r="G25" s="991"/>
      <c r="N25" s="80"/>
      <c r="O25" s="80"/>
    </row>
    <row r="26" spans="1:25" ht="15" customHeight="1" x14ac:dyDescent="0.25">
      <c r="A26" s="1059" t="s">
        <v>1823</v>
      </c>
      <c r="B26" s="1060"/>
      <c r="C26" s="1060"/>
      <c r="D26" s="1061"/>
      <c r="E26" s="262" t="s">
        <v>1797</v>
      </c>
      <c r="F26" s="1055" t="str">
        <f>IF(AND(N26=TRUE,O26=TRUE),"Too many boxes checked.",IF(O26=TRUE,"If no, explain why on a separate sheet of paper.",""))</f>
        <v/>
      </c>
      <c r="G26" s="1056"/>
      <c r="N26" s="81" t="b">
        <v>0</v>
      </c>
      <c r="O26" s="81" t="b">
        <v>0</v>
      </c>
      <c r="Q26" s="48" t="b">
        <f>IF(OR(AND(N26=TRUE,O26=FALSE),AND(N26=FALSE,O26=TRUE)),TRUE,FALSE)</f>
        <v>0</v>
      </c>
    </row>
    <row r="27" spans="1:25" ht="15" customHeight="1" thickBot="1" x14ac:dyDescent="0.3">
      <c r="A27" s="1062"/>
      <c r="B27" s="1063"/>
      <c r="C27" s="1063"/>
      <c r="D27" s="1064"/>
      <c r="E27" s="244" t="s">
        <v>1796</v>
      </c>
      <c r="F27" s="1057"/>
      <c r="G27" s="1058"/>
    </row>
    <row r="28" spans="1:25" ht="30" customHeight="1" thickBot="1" x14ac:dyDescent="0.3">
      <c r="A28" s="800" t="s">
        <v>1742</v>
      </c>
      <c r="B28" s="801"/>
      <c r="C28" s="801"/>
      <c r="D28" s="801"/>
      <c r="E28" s="801"/>
      <c r="F28" s="801"/>
      <c r="G28" s="802"/>
      <c r="N28" s="48" t="b">
        <f>IF(AND(N17=TRUE,Q18=TRUE,Q22=TRUE,Q26=TRUE),TRUE,FALSE)</f>
        <v>0</v>
      </c>
      <c r="O28" s="80" t="s">
        <v>1753</v>
      </c>
    </row>
    <row r="29" spans="1:25" ht="20.100000000000001" customHeight="1" x14ac:dyDescent="0.25">
      <c r="A29" s="1024" t="s">
        <v>1747</v>
      </c>
      <c r="B29" s="1025"/>
      <c r="C29" s="1025"/>
      <c r="D29" s="1025"/>
      <c r="E29" s="1025"/>
      <c r="F29" s="1025"/>
      <c r="G29" s="1026"/>
      <c r="N29" s="81"/>
      <c r="O29" s="81"/>
    </row>
    <row r="30" spans="1:25" ht="20.100000000000001" customHeight="1" x14ac:dyDescent="0.25">
      <c r="A30" s="1021" t="s">
        <v>1743</v>
      </c>
      <c r="B30" s="1022"/>
      <c r="C30" s="1022"/>
      <c r="D30" s="1022"/>
      <c r="E30" s="1022"/>
      <c r="F30" s="1022"/>
      <c r="G30" s="1023"/>
      <c r="N30" s="81" t="b">
        <v>0</v>
      </c>
      <c r="O30" s="81"/>
      <c r="P30" s="81"/>
      <c r="Q30" s="81"/>
      <c r="R30" s="81"/>
      <c r="S30" s="81"/>
      <c r="T30" s="81"/>
      <c r="U30" s="81"/>
      <c r="V30" s="81"/>
      <c r="W30" s="81"/>
      <c r="X30" s="81"/>
      <c r="Y30" s="81"/>
    </row>
    <row r="31" spans="1:25" ht="20.100000000000001" customHeight="1" x14ac:dyDescent="0.25">
      <c r="A31" s="1012" t="s">
        <v>1917</v>
      </c>
      <c r="B31" s="1013"/>
      <c r="C31" s="1013"/>
      <c r="D31" s="1013"/>
      <c r="E31" s="1013"/>
      <c r="F31" s="1013"/>
      <c r="G31" s="1014"/>
      <c r="N31" s="82" t="b">
        <v>0</v>
      </c>
    </row>
    <row r="32" spans="1:25" ht="20.100000000000001" customHeight="1" x14ac:dyDescent="0.25">
      <c r="A32" s="1012" t="s">
        <v>1918</v>
      </c>
      <c r="B32" s="1013"/>
      <c r="C32" s="1013"/>
      <c r="D32" s="1013"/>
      <c r="E32" s="1013"/>
      <c r="F32" s="1013"/>
      <c r="G32" s="1014"/>
      <c r="N32" s="82" t="b">
        <v>0</v>
      </c>
    </row>
    <row r="33" spans="1:25" ht="20.100000000000001" customHeight="1" x14ac:dyDescent="0.25">
      <c r="A33" s="1012" t="s">
        <v>1919</v>
      </c>
      <c r="B33" s="1041"/>
      <c r="C33" s="1015"/>
      <c r="D33" s="1016"/>
      <c r="E33" s="1016"/>
      <c r="F33" s="1016"/>
      <c r="G33" s="1017"/>
      <c r="N33" s="82" t="b">
        <v>0</v>
      </c>
    </row>
    <row r="34" spans="1:25" ht="20.100000000000001" customHeight="1" x14ac:dyDescent="0.25">
      <c r="A34" s="1021" t="s">
        <v>1919</v>
      </c>
      <c r="B34" s="1040"/>
      <c r="C34" s="1015"/>
      <c r="D34" s="1016"/>
      <c r="E34" s="1016"/>
      <c r="F34" s="1016"/>
      <c r="G34" s="1017"/>
      <c r="N34" s="81" t="b">
        <v>0</v>
      </c>
      <c r="O34" s="81"/>
    </row>
    <row r="35" spans="1:25" ht="20.100000000000001" customHeight="1" thickBot="1" x14ac:dyDescent="0.3">
      <c r="A35" s="1038" t="s">
        <v>1919</v>
      </c>
      <c r="B35" s="1039"/>
      <c r="C35" s="1018"/>
      <c r="D35" s="1019"/>
      <c r="E35" s="1019"/>
      <c r="F35" s="1019"/>
      <c r="G35" s="1020"/>
      <c r="N35" s="81" t="b">
        <v>0</v>
      </c>
      <c r="O35" s="80"/>
      <c r="P35" s="82" t="b">
        <f>IF(OR(N30:N35),TRUE,FALSE)</f>
        <v>0</v>
      </c>
    </row>
    <row r="36" spans="1:25" ht="50.1" customHeight="1" thickBot="1" x14ac:dyDescent="0.3">
      <c r="A36" s="1044" t="s">
        <v>1916</v>
      </c>
      <c r="B36" s="1045"/>
      <c r="C36" s="1046"/>
      <c r="D36" s="1046"/>
      <c r="E36" s="1046"/>
      <c r="F36" s="1046"/>
      <c r="G36" s="1047"/>
      <c r="N36" s="80"/>
      <c r="O36" s="80"/>
    </row>
    <row r="37" spans="1:25" ht="20.100000000000001" customHeight="1" x14ac:dyDescent="0.25">
      <c r="A37" s="1024" t="s">
        <v>1746</v>
      </c>
      <c r="B37" s="1025"/>
      <c r="C37" s="1025"/>
      <c r="D37" s="1025"/>
      <c r="E37" s="1025"/>
      <c r="F37" s="1025"/>
      <c r="G37" s="1026"/>
      <c r="N37" s="81"/>
      <c r="O37" s="81"/>
    </row>
    <row r="38" spans="1:25" ht="20.100000000000001" customHeight="1" x14ac:dyDescent="0.25">
      <c r="A38" s="1021" t="s">
        <v>1750</v>
      </c>
      <c r="B38" s="1022"/>
      <c r="C38" s="1022"/>
      <c r="D38" s="1022"/>
      <c r="E38" s="1022"/>
      <c r="F38" s="1022"/>
      <c r="G38" s="1023"/>
      <c r="N38" s="81" t="b">
        <v>0</v>
      </c>
      <c r="O38" s="81"/>
      <c r="P38" s="81"/>
      <c r="Q38" s="81"/>
      <c r="R38" s="81"/>
      <c r="S38" s="81"/>
      <c r="T38" s="81"/>
      <c r="U38" s="81"/>
      <c r="V38" s="81"/>
      <c r="W38" s="81"/>
      <c r="X38" s="81"/>
      <c r="Y38" s="81"/>
    </row>
    <row r="39" spans="1:25" ht="20.100000000000001" customHeight="1" x14ac:dyDescent="0.25">
      <c r="A39" s="1012" t="s">
        <v>1749</v>
      </c>
      <c r="B39" s="1013"/>
      <c r="C39" s="1013"/>
      <c r="D39" s="1013"/>
      <c r="E39" s="1013"/>
      <c r="F39" s="1013"/>
      <c r="G39" s="1014"/>
      <c r="N39" s="82" t="b">
        <v>0</v>
      </c>
    </row>
    <row r="40" spans="1:25" ht="20.100000000000001" customHeight="1" x14ac:dyDescent="0.25">
      <c r="A40" s="1012" t="s">
        <v>1751</v>
      </c>
      <c r="B40" s="1013"/>
      <c r="C40" s="1013"/>
      <c r="D40" s="1013"/>
      <c r="E40" s="1013"/>
      <c r="F40" s="1013"/>
      <c r="G40" s="1014"/>
      <c r="N40" s="82" t="b">
        <v>0</v>
      </c>
    </row>
    <row r="41" spans="1:25" ht="20.100000000000001" customHeight="1" x14ac:dyDescent="0.25">
      <c r="A41" s="1012" t="s">
        <v>1748</v>
      </c>
      <c r="B41" s="1041"/>
      <c r="C41" s="1015"/>
      <c r="D41" s="1016"/>
      <c r="E41" s="1016"/>
      <c r="F41" s="1016"/>
      <c r="G41" s="1017"/>
      <c r="N41" s="82" t="b">
        <v>0</v>
      </c>
    </row>
    <row r="42" spans="1:25" ht="20.100000000000001" customHeight="1" x14ac:dyDescent="0.25">
      <c r="A42" s="1021" t="s">
        <v>1748</v>
      </c>
      <c r="B42" s="1040"/>
      <c r="C42" s="1015"/>
      <c r="D42" s="1016"/>
      <c r="E42" s="1016"/>
      <c r="F42" s="1016"/>
      <c r="G42" s="1017"/>
      <c r="N42" s="81" t="b">
        <v>0</v>
      </c>
      <c r="O42" s="81"/>
    </row>
    <row r="43" spans="1:25" ht="20.100000000000001" customHeight="1" thickBot="1" x14ac:dyDescent="0.3">
      <c r="A43" s="1038" t="s">
        <v>1748</v>
      </c>
      <c r="B43" s="1039"/>
      <c r="C43" s="1018"/>
      <c r="D43" s="1019"/>
      <c r="E43" s="1019"/>
      <c r="F43" s="1019"/>
      <c r="G43" s="1020"/>
      <c r="N43" s="81" t="b">
        <v>0</v>
      </c>
      <c r="O43" s="80"/>
      <c r="P43" s="82" t="b">
        <f>IF(OR(N38:N43),TRUE,FALSE)</f>
        <v>0</v>
      </c>
    </row>
    <row r="44" spans="1:25" ht="20.100000000000001" customHeight="1" x14ac:dyDescent="0.25">
      <c r="A44" s="50"/>
    </row>
    <row r="45" spans="1:25" ht="20.100000000000001" customHeight="1" x14ac:dyDescent="0.25">
      <c r="A45" s="50"/>
    </row>
    <row r="46" spans="1:25" ht="20.100000000000001" customHeight="1" x14ac:dyDescent="0.25">
      <c r="A46" s="50"/>
    </row>
    <row r="47" spans="1:25" ht="20.100000000000001" customHeight="1" x14ac:dyDescent="0.25">
      <c r="A47" s="50"/>
    </row>
    <row r="48" spans="1:25" ht="20.100000000000001" customHeight="1" x14ac:dyDescent="0.25">
      <c r="A48" s="50"/>
    </row>
    <row r="49" spans="1:7" ht="20.100000000000001" customHeight="1" x14ac:dyDescent="0.25">
      <c r="A49" s="50"/>
    </row>
    <row r="50" spans="1:7" ht="20.100000000000001" customHeight="1" x14ac:dyDescent="0.25">
      <c r="A50" s="50"/>
    </row>
    <row r="51" spans="1:7" ht="20.100000000000001" customHeight="1" x14ac:dyDescent="0.25">
      <c r="A51" s="50"/>
    </row>
    <row r="52" spans="1:7" ht="20.100000000000001" customHeight="1" x14ac:dyDescent="0.25">
      <c r="A52" s="50"/>
    </row>
    <row r="53" spans="1:7" ht="20.100000000000001" customHeight="1" x14ac:dyDescent="0.25">
      <c r="A53" s="50"/>
    </row>
    <row r="54" spans="1:7" ht="20.100000000000001" customHeight="1" x14ac:dyDescent="0.25">
      <c r="A54" s="50"/>
    </row>
    <row r="55" spans="1:7" ht="20.100000000000001" customHeight="1" x14ac:dyDescent="0.25">
      <c r="A55" s="50"/>
    </row>
    <row r="56" spans="1:7" ht="20.100000000000001" customHeight="1" x14ac:dyDescent="0.25">
      <c r="A56" s="50"/>
    </row>
    <row r="57" spans="1:7" ht="20.100000000000001" customHeight="1" x14ac:dyDescent="0.25">
      <c r="A57" s="50"/>
    </row>
    <row r="58" spans="1:7" ht="20.100000000000001" customHeight="1" x14ac:dyDescent="0.25">
      <c r="A58" s="50"/>
      <c r="G58" s="180"/>
    </row>
    <row r="59" spans="1:7" ht="20.100000000000001" customHeight="1" x14ac:dyDescent="0.25">
      <c r="A59" s="50"/>
      <c r="G59" s="180"/>
    </row>
    <row r="60" spans="1:7" ht="20.100000000000001" customHeight="1" x14ac:dyDescent="0.25">
      <c r="A60" s="50"/>
      <c r="G60" s="180"/>
    </row>
    <row r="61" spans="1:7" ht="20.100000000000001" customHeight="1" x14ac:dyDescent="0.25">
      <c r="A61" s="50"/>
      <c r="G61" s="180"/>
    </row>
    <row r="62" spans="1:7" ht="20.100000000000001" customHeight="1" x14ac:dyDescent="0.25">
      <c r="A62" s="50"/>
      <c r="G62" s="180"/>
    </row>
    <row r="63" spans="1:7" ht="20.100000000000001" customHeight="1" x14ac:dyDescent="0.25">
      <c r="A63" s="50"/>
    </row>
    <row r="64" spans="1:7" ht="20.100000000000001" customHeight="1" x14ac:dyDescent="0.25">
      <c r="A64" s="50"/>
    </row>
    <row r="65" spans="1:1" ht="20.100000000000001" customHeight="1" x14ac:dyDescent="0.25">
      <c r="A65" s="50"/>
    </row>
    <row r="66" spans="1:1" ht="20.100000000000001" customHeight="1" x14ac:dyDescent="0.25">
      <c r="A66" s="50"/>
    </row>
    <row r="67" spans="1:1" ht="20.100000000000001" customHeight="1" x14ac:dyDescent="0.25">
      <c r="A67" s="50"/>
    </row>
    <row r="68" spans="1:1" ht="20.100000000000001" customHeight="1" x14ac:dyDescent="0.25">
      <c r="A68" s="50"/>
    </row>
    <row r="69" spans="1:1" ht="20.100000000000001" customHeight="1" x14ac:dyDescent="0.25">
      <c r="A69" s="50"/>
    </row>
    <row r="70" spans="1:1" ht="20.100000000000001" customHeight="1" x14ac:dyDescent="0.25">
      <c r="A70" s="50"/>
    </row>
    <row r="71" spans="1:1" ht="20.100000000000001" customHeight="1" x14ac:dyDescent="0.25">
      <c r="A71" s="50"/>
    </row>
    <row r="72" spans="1:1" ht="20.100000000000001" customHeight="1" x14ac:dyDescent="0.25">
      <c r="A72" s="50"/>
    </row>
    <row r="73" spans="1:1" ht="20.100000000000001" customHeight="1" x14ac:dyDescent="0.25">
      <c r="A73" s="50"/>
    </row>
    <row r="74" spans="1:1" ht="20.100000000000001" customHeight="1" x14ac:dyDescent="0.25">
      <c r="A74" s="50"/>
    </row>
    <row r="75" spans="1:1" ht="20.100000000000001" customHeight="1" x14ac:dyDescent="0.25">
      <c r="A75" s="50"/>
    </row>
    <row r="76" spans="1:1" ht="20.100000000000001" customHeight="1" x14ac:dyDescent="0.25">
      <c r="A76" s="50"/>
    </row>
    <row r="77" spans="1:1" ht="20.100000000000001" customHeight="1" x14ac:dyDescent="0.25">
      <c r="A77" s="50"/>
    </row>
    <row r="78" spans="1:1" ht="20.100000000000001" customHeight="1" x14ac:dyDescent="0.25">
      <c r="A78" s="50"/>
    </row>
    <row r="79" spans="1:1" ht="20.100000000000001" customHeight="1" x14ac:dyDescent="0.25">
      <c r="A79" s="50"/>
    </row>
    <row r="80" spans="1:1" ht="20.100000000000001" customHeight="1" x14ac:dyDescent="0.25">
      <c r="A80" s="50"/>
    </row>
    <row r="81" spans="1:1" ht="20.100000000000001" customHeight="1" x14ac:dyDescent="0.25">
      <c r="A81" s="50"/>
    </row>
    <row r="82" spans="1:1" ht="20.100000000000001" customHeight="1" x14ac:dyDescent="0.25">
      <c r="A82" s="50"/>
    </row>
    <row r="83" spans="1:1" ht="20.100000000000001" customHeight="1" x14ac:dyDescent="0.25">
      <c r="A83" s="50"/>
    </row>
    <row r="84" spans="1:1" ht="20.100000000000001" customHeight="1" x14ac:dyDescent="0.25">
      <c r="A84" s="50"/>
    </row>
    <row r="85" spans="1:1" ht="20.100000000000001" customHeight="1" x14ac:dyDescent="0.25">
      <c r="A85" s="50"/>
    </row>
    <row r="86" spans="1:1" ht="20.100000000000001" customHeight="1" x14ac:dyDescent="0.25">
      <c r="A86" s="50"/>
    </row>
    <row r="87" spans="1:1" ht="20.100000000000001" customHeight="1" x14ac:dyDescent="0.25">
      <c r="A87" s="50"/>
    </row>
    <row r="88" spans="1:1" ht="20.100000000000001" customHeight="1" x14ac:dyDescent="0.25">
      <c r="A88" s="50"/>
    </row>
    <row r="89" spans="1:1" ht="20.100000000000001" customHeight="1" x14ac:dyDescent="0.25">
      <c r="A89" s="50"/>
    </row>
    <row r="90" spans="1:1" ht="20.100000000000001" customHeight="1" x14ac:dyDescent="0.25">
      <c r="A90" s="50"/>
    </row>
    <row r="91" spans="1:1" ht="20.100000000000001" customHeight="1" x14ac:dyDescent="0.25">
      <c r="A91" s="50"/>
    </row>
    <row r="92" spans="1:1" ht="20.100000000000001" customHeight="1" x14ac:dyDescent="0.25">
      <c r="A92" s="50"/>
    </row>
    <row r="93" spans="1:1" ht="20.100000000000001" customHeight="1" x14ac:dyDescent="0.25">
      <c r="A93" s="50"/>
    </row>
  </sheetData>
  <sheetProtection algorithmName="SHA-512" hashValue="GCJ5WCj44EQZowarji8XrKfQyULdd6XzppLbADd79STlR1g86HTUKXLlja5iBo82moV1mH3i9BVrK2vs8dk+yA==" saltValue="LCAiywm143MG/X6cRZm2PQ==" spinCount="100000" sheet="1" objects="1" scenarios="1"/>
  <mergeCells count="57">
    <mergeCell ref="F18:G19"/>
    <mergeCell ref="A18:D19"/>
    <mergeCell ref="F22:G23"/>
    <mergeCell ref="A22:D23"/>
    <mergeCell ref="F26:G27"/>
    <mergeCell ref="A26:D27"/>
    <mergeCell ref="A25:G25"/>
    <mergeCell ref="A4:B4"/>
    <mergeCell ref="A7:B9"/>
    <mergeCell ref="A13:B15"/>
    <mergeCell ref="A12:B12"/>
    <mergeCell ref="A43:B43"/>
    <mergeCell ref="A42:B42"/>
    <mergeCell ref="A41:B41"/>
    <mergeCell ref="A35:B35"/>
    <mergeCell ref="A34:B34"/>
    <mergeCell ref="A33:B33"/>
    <mergeCell ref="A10:C11"/>
    <mergeCell ref="A40:G40"/>
    <mergeCell ref="C41:G41"/>
    <mergeCell ref="C42:G42"/>
    <mergeCell ref="C43:G43"/>
    <mergeCell ref="A36:G36"/>
    <mergeCell ref="A37:G37"/>
    <mergeCell ref="A38:G38"/>
    <mergeCell ref="A39:G39"/>
    <mergeCell ref="C33:G33"/>
    <mergeCell ref="A32:G32"/>
    <mergeCell ref="A31:G31"/>
    <mergeCell ref="C34:G34"/>
    <mergeCell ref="C35:G35"/>
    <mergeCell ref="A28:G28"/>
    <mergeCell ref="A30:G30"/>
    <mergeCell ref="A29:G29"/>
    <mergeCell ref="E4:G4"/>
    <mergeCell ref="C9:E9"/>
    <mergeCell ref="C8:E8"/>
    <mergeCell ref="C7:E7"/>
    <mergeCell ref="F9:G9"/>
    <mergeCell ref="F8:G8"/>
    <mergeCell ref="F7:G7"/>
    <mergeCell ref="E10:G11"/>
    <mergeCell ref="A1:G1"/>
    <mergeCell ref="A20:G20"/>
    <mergeCell ref="A21:G21"/>
    <mergeCell ref="A24:G24"/>
    <mergeCell ref="C15:E15"/>
    <mergeCell ref="F15:G15"/>
    <mergeCell ref="A16:G16"/>
    <mergeCell ref="A17:G17"/>
    <mergeCell ref="C12:G12"/>
    <mergeCell ref="C13:E13"/>
    <mergeCell ref="F13:G13"/>
    <mergeCell ref="C14:E14"/>
    <mergeCell ref="F14:G14"/>
    <mergeCell ref="A2:G2"/>
    <mergeCell ref="A3:G3"/>
  </mergeCells>
  <conditionalFormatting sqref="A12:A15 C12:G15">
    <cfRule type="expression" dxfId="308" priority="1">
      <formula>AND($N$10=FALSE,$O$10=TRUE)</formula>
    </cfRule>
  </conditionalFormatting>
  <conditionalFormatting sqref="A5:G6">
    <cfRule type="expression" dxfId="307" priority="42">
      <formula>AND($N$4=FALSE,$O$4=TRUE)</formula>
    </cfRule>
    <cfRule type="expression" dxfId="306" priority="45">
      <formula>AND($N$4=TRUE,$N$7=FALSE)</formula>
    </cfRule>
  </conditionalFormatting>
  <conditionalFormatting sqref="C4:D4">
    <cfRule type="expression" dxfId="305" priority="46">
      <formula>OR(AND($N$4=FALSE,$O$4=FALSE),AND($N$4=TRUE,$O$4=TRUE))</formula>
    </cfRule>
  </conditionalFormatting>
  <conditionalFormatting sqref="C12:G12">
    <cfRule type="expression" dxfId="304" priority="43">
      <formula>AND($N$8=TRUE,$N$10=TRUE,$O$10=FALSE,ISBLANK($C$12))</formula>
    </cfRule>
  </conditionalFormatting>
  <conditionalFormatting sqref="C22:G22 A22">
    <cfRule type="expression" dxfId="303" priority="27">
      <formula>AND($N18=TRUE,$O18=TRUE)</formula>
    </cfRule>
  </conditionalFormatting>
  <conditionalFormatting sqref="C26:G26 A26">
    <cfRule type="expression" dxfId="302" priority="25">
      <formula>OR(AND($N18=TRUE,$O18=TRUE),AND($N22=TRUE,$O22=TRUE))</formula>
    </cfRule>
  </conditionalFormatting>
  <conditionalFormatting sqref="C30:G32 A30:A35">
    <cfRule type="expression" dxfId="301" priority="5">
      <formula>AND($N$28=TRUE,$P$35=FALSE)</formula>
    </cfRule>
  </conditionalFormatting>
  <conditionalFormatting sqref="C33:G35">
    <cfRule type="expression" dxfId="300" priority="4">
      <formula>AND($N$28=TRUE,$P$35=TRUE,N33=TRUE,ISBLANK(C33))</formula>
    </cfRule>
  </conditionalFormatting>
  <conditionalFormatting sqref="C38:G40 A38:A43">
    <cfRule type="expression" dxfId="299" priority="3">
      <formula>AND($N$28=TRUE,$P$35=TRUE,$P$43=FALSE)</formula>
    </cfRule>
  </conditionalFormatting>
  <conditionalFormatting sqref="C41:G43">
    <cfRule type="expression" dxfId="298" priority="2">
      <formula>AND($N$28=TRUE,$P$35=TRUE,N41=TRUE,ISBLANK(C41))</formula>
    </cfRule>
  </conditionalFormatting>
  <conditionalFormatting sqref="D10:D11">
    <cfRule type="expression" dxfId="297" priority="34">
      <formula>AND($N$10=FALSE,$O$10=FALSE,NOT(ISBLANK($F$7)),NOT(ISBLANK($F$8)),NOT(ISBLANK($F$9)))</formula>
    </cfRule>
  </conditionalFormatting>
  <conditionalFormatting sqref="E18:E19">
    <cfRule type="expression" dxfId="296" priority="30">
      <formula>AND($N$17=TRUE,$N$18=FALSE,$O$18=FALSE)</formula>
    </cfRule>
  </conditionalFormatting>
  <conditionalFormatting sqref="E22:E23">
    <cfRule type="expression" dxfId="295" priority="28">
      <formula>AND($N$17=TRUE,OR($N$18=TRUE,$O$18=TRUE),$N$22=FALSE,$O$22=FALSE)</formula>
    </cfRule>
  </conditionalFormatting>
  <conditionalFormatting sqref="E26:E27">
    <cfRule type="expression" dxfId="294" priority="26">
      <formula>AND($N$17=TRUE,OR($N$18=TRUE,$O$18=TRUE),OR($N$22=TRUE,$O$22=TRUE),$N$26=FALSE,$O$26=FALSE)</formula>
    </cfRule>
  </conditionalFormatting>
  <conditionalFormatting sqref="E4:G4">
    <cfRule type="expression" dxfId="293" priority="29">
      <formula>AND($N$4=TRUE,$O$4=TRUE)</formula>
    </cfRule>
  </conditionalFormatting>
  <conditionalFormatting sqref="E10:G10">
    <cfRule type="expression" dxfId="292" priority="44">
      <formula>AND($N$10=TRUE,$O$10=TRUE)</formula>
    </cfRule>
  </conditionalFormatting>
  <conditionalFormatting sqref="F7:G7">
    <cfRule type="expression" dxfId="291" priority="40">
      <formula>AND($N$4=TRUE,$N$7=TRUE,ISBLANK($F$7))</formula>
    </cfRule>
    <cfRule type="expression" dxfId="290" priority="41">
      <formula>AND($O$4=TRUE,$N$4=FALSE,ISBLANK($F$7))</formula>
    </cfRule>
  </conditionalFormatting>
  <conditionalFormatting sqref="F8:G8">
    <cfRule type="expression" dxfId="289" priority="38">
      <formula>AND($O$4=TRUE,$N$4=FALSE,NOT(ISBLANK($F$7)),ISBLANK($F$8))</formula>
    </cfRule>
    <cfRule type="expression" dxfId="288" priority="39">
      <formula>AND($N$4=TRUE,$N$7=TRUE,NOT(ISBLANK($F$7)),ISBLANK($F$8))</formula>
    </cfRule>
  </conditionalFormatting>
  <conditionalFormatting sqref="F9:G9">
    <cfRule type="expression" dxfId="287" priority="36">
      <formula>AND($N$4=TRUE,$N$7=TRUE,NOT(ISBLANK($F$7)),NOT(ISBLANK($F$8)),ISBLANK($F$9))</formula>
    </cfRule>
    <cfRule type="expression" dxfId="286" priority="37">
      <formula>AND($O$4=TRUE,$N$4=FALSE,NOT(ISBLANK($F$7)),NOT(ISBLANK($F$8)),ISBLANK($F$9))</formula>
    </cfRule>
  </conditionalFormatting>
  <conditionalFormatting sqref="F13:G13">
    <cfRule type="expression" dxfId="285" priority="33">
      <formula>AND(N8=TRUE,N10=TRUE,NOT(ISBLANK(C12)),ISBLANK(F13))</formula>
    </cfRule>
  </conditionalFormatting>
  <conditionalFormatting sqref="F14:G14">
    <cfRule type="expression" dxfId="284" priority="32">
      <formula>AND(N8=TRUE,N10=TRUE,NOT(ISBLANK(C12)),NOT(ISBLANK(F13)),ISBLANK(F14))</formula>
    </cfRule>
  </conditionalFormatting>
  <conditionalFormatting sqref="F15:G15">
    <cfRule type="expression" dxfId="283" priority="31">
      <formula>AND(N8=TRUE,N10=TRUE,NOT(ISBLANK(C12)),NOT(ISBLANK(F13)),NOT(ISBLANK(F14)),ISBLANK(F15))</formula>
    </cfRule>
  </conditionalFormatting>
  <conditionalFormatting sqref="F18:G18">
    <cfRule type="expression" dxfId="282" priority="24">
      <formula>AND($N18=TRUE,$O18=TRUE)</formula>
    </cfRule>
  </conditionalFormatting>
  <conditionalFormatting sqref="F22:G22">
    <cfRule type="expression" dxfId="281" priority="23">
      <formula>AND($N22=TRUE,$O22=TRUE)</formula>
    </cfRule>
  </conditionalFormatting>
  <conditionalFormatting sqref="F26:G26">
    <cfRule type="expression" dxfId="280" priority="22">
      <formula>AND($N26=TRUE,$O26=TRUE)</formula>
    </cfRule>
  </conditionalFormatting>
  <printOptions horizontalCentered="1"/>
  <pageMargins left="0.5" right="0.5" top="0.5" bottom="0.5" header="0.3" footer="0.3"/>
  <pageSetup scale="86" fitToHeight="0" orientation="portrait" r:id="rId1"/>
  <headerFooter>
    <oddFooter>&amp;LRev. 1/2015&amp;C&amp;A&amp;RPage &amp;P</oddFooter>
  </headerFooter>
  <rowBreaks count="1" manualBreakCount="1">
    <brk id="27" max="5"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2</xdr:col>
                    <xdr:colOff>19050</xdr:colOff>
                    <xdr:row>3</xdr:row>
                    <xdr:rowOff>95250</xdr:rowOff>
                  </from>
                  <to>
                    <xdr:col>2</xdr:col>
                    <xdr:colOff>247650</xdr:colOff>
                    <xdr:row>3</xdr:row>
                    <xdr:rowOff>314325</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3</xdr:col>
                    <xdr:colOff>28575</xdr:colOff>
                    <xdr:row>3</xdr:row>
                    <xdr:rowOff>104775</xdr:rowOff>
                  </from>
                  <to>
                    <xdr:col>3</xdr:col>
                    <xdr:colOff>238125</xdr:colOff>
                    <xdr:row>3</xdr:row>
                    <xdr:rowOff>314325</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xdr:col>
                    <xdr:colOff>9525</xdr:colOff>
                    <xdr:row>4</xdr:row>
                    <xdr:rowOff>9525</xdr:rowOff>
                  </from>
                  <to>
                    <xdr:col>1</xdr:col>
                    <xdr:colOff>800100</xdr:colOff>
                    <xdr:row>5</xdr:row>
                    <xdr:rowOff>0</xdr:rowOff>
                  </to>
                </anchor>
              </controlPr>
            </control>
          </mc:Choice>
        </mc:AlternateContent>
        <mc:AlternateContent xmlns:mc="http://schemas.openxmlformats.org/markup-compatibility/2006">
          <mc:Choice Requires="x14">
            <control shapeId="15371" r:id="rId7" name="Check Box 11">
              <controlPr defaultSize="0" autoFill="0" autoLine="0" autoPict="0">
                <anchor moveWithCells="1">
                  <from>
                    <xdr:col>1</xdr:col>
                    <xdr:colOff>9525</xdr:colOff>
                    <xdr:row>5</xdr:row>
                    <xdr:rowOff>9525</xdr:rowOff>
                  </from>
                  <to>
                    <xdr:col>1</xdr:col>
                    <xdr:colOff>800100</xdr:colOff>
                    <xdr:row>6</xdr:row>
                    <xdr:rowOff>0</xdr:rowOff>
                  </to>
                </anchor>
              </controlPr>
            </control>
          </mc:Choice>
        </mc:AlternateContent>
        <mc:AlternateContent xmlns:mc="http://schemas.openxmlformats.org/markup-compatibility/2006">
          <mc:Choice Requires="x14">
            <control shapeId="15382" r:id="rId8" name="Check Box 22">
              <controlPr defaultSize="0" autoFill="0" autoLine="0" autoPict="0">
                <anchor moveWithCells="1">
                  <from>
                    <xdr:col>2</xdr:col>
                    <xdr:colOff>9525</xdr:colOff>
                    <xdr:row>4</xdr:row>
                    <xdr:rowOff>9525</xdr:rowOff>
                  </from>
                  <to>
                    <xdr:col>2</xdr:col>
                    <xdr:colOff>952500</xdr:colOff>
                    <xdr:row>5</xdr:row>
                    <xdr:rowOff>0</xdr:rowOff>
                  </to>
                </anchor>
              </controlPr>
            </control>
          </mc:Choice>
        </mc:AlternateContent>
        <mc:AlternateContent xmlns:mc="http://schemas.openxmlformats.org/markup-compatibility/2006">
          <mc:Choice Requires="x14">
            <control shapeId="15383" r:id="rId9" name="Check Box 23">
              <controlPr defaultSize="0" autoFill="0" autoLine="0" autoPict="0">
                <anchor moveWithCells="1">
                  <from>
                    <xdr:col>2</xdr:col>
                    <xdr:colOff>9525</xdr:colOff>
                    <xdr:row>5</xdr:row>
                    <xdr:rowOff>9525</xdr:rowOff>
                  </from>
                  <to>
                    <xdr:col>2</xdr:col>
                    <xdr:colOff>952500</xdr:colOff>
                    <xdr:row>6</xdr:row>
                    <xdr:rowOff>0</xdr:rowOff>
                  </to>
                </anchor>
              </controlPr>
            </control>
          </mc:Choice>
        </mc:AlternateContent>
        <mc:AlternateContent xmlns:mc="http://schemas.openxmlformats.org/markup-compatibility/2006">
          <mc:Choice Requires="x14">
            <control shapeId="15384" r:id="rId10" name="Check Box 24">
              <controlPr defaultSize="0" autoFill="0" autoLine="0" autoPict="0">
                <anchor moveWithCells="1">
                  <from>
                    <xdr:col>3</xdr:col>
                    <xdr:colOff>9525</xdr:colOff>
                    <xdr:row>4</xdr:row>
                    <xdr:rowOff>9525</xdr:rowOff>
                  </from>
                  <to>
                    <xdr:col>3</xdr:col>
                    <xdr:colOff>885825</xdr:colOff>
                    <xdr:row>5</xdr:row>
                    <xdr:rowOff>0</xdr:rowOff>
                  </to>
                </anchor>
              </controlPr>
            </control>
          </mc:Choice>
        </mc:AlternateContent>
        <mc:AlternateContent xmlns:mc="http://schemas.openxmlformats.org/markup-compatibility/2006">
          <mc:Choice Requires="x14">
            <control shapeId="15385" r:id="rId11" name="Check Box 25">
              <controlPr defaultSize="0" autoFill="0" autoLine="0" autoPict="0">
                <anchor moveWithCells="1">
                  <from>
                    <xdr:col>3</xdr:col>
                    <xdr:colOff>9525</xdr:colOff>
                    <xdr:row>5</xdr:row>
                    <xdr:rowOff>9525</xdr:rowOff>
                  </from>
                  <to>
                    <xdr:col>3</xdr:col>
                    <xdr:colOff>885825</xdr:colOff>
                    <xdr:row>6</xdr:row>
                    <xdr:rowOff>0</xdr:rowOff>
                  </to>
                </anchor>
              </controlPr>
            </control>
          </mc:Choice>
        </mc:AlternateContent>
        <mc:AlternateContent xmlns:mc="http://schemas.openxmlformats.org/markup-compatibility/2006">
          <mc:Choice Requires="x14">
            <control shapeId="15386" r:id="rId12" name="Check Box 26">
              <controlPr defaultSize="0" autoFill="0" autoLine="0" autoPict="0">
                <anchor moveWithCells="1">
                  <from>
                    <xdr:col>4</xdr:col>
                    <xdr:colOff>9525</xdr:colOff>
                    <xdr:row>4</xdr:row>
                    <xdr:rowOff>9525</xdr:rowOff>
                  </from>
                  <to>
                    <xdr:col>4</xdr:col>
                    <xdr:colOff>885825</xdr:colOff>
                    <xdr:row>5</xdr:row>
                    <xdr:rowOff>0</xdr:rowOff>
                  </to>
                </anchor>
              </controlPr>
            </control>
          </mc:Choice>
        </mc:AlternateContent>
        <mc:AlternateContent xmlns:mc="http://schemas.openxmlformats.org/markup-compatibility/2006">
          <mc:Choice Requires="x14">
            <control shapeId="15387" r:id="rId13" name="Check Box 27">
              <controlPr defaultSize="0" autoFill="0" autoLine="0" autoPict="0">
                <anchor moveWithCells="1">
                  <from>
                    <xdr:col>4</xdr:col>
                    <xdr:colOff>9525</xdr:colOff>
                    <xdr:row>5</xdr:row>
                    <xdr:rowOff>9525</xdr:rowOff>
                  </from>
                  <to>
                    <xdr:col>4</xdr:col>
                    <xdr:colOff>885825</xdr:colOff>
                    <xdr:row>6</xdr:row>
                    <xdr:rowOff>0</xdr:rowOff>
                  </to>
                </anchor>
              </controlPr>
            </control>
          </mc:Choice>
        </mc:AlternateContent>
        <mc:AlternateContent xmlns:mc="http://schemas.openxmlformats.org/markup-compatibility/2006">
          <mc:Choice Requires="x14">
            <control shapeId="15388" r:id="rId14" name="Check Box 28">
              <controlPr defaultSize="0" autoFill="0" autoLine="0" autoPict="0">
                <anchor moveWithCells="1">
                  <from>
                    <xdr:col>5</xdr:col>
                    <xdr:colOff>19050</xdr:colOff>
                    <xdr:row>4</xdr:row>
                    <xdr:rowOff>9525</xdr:rowOff>
                  </from>
                  <to>
                    <xdr:col>5</xdr:col>
                    <xdr:colOff>895350</xdr:colOff>
                    <xdr:row>5</xdr:row>
                    <xdr:rowOff>0</xdr:rowOff>
                  </to>
                </anchor>
              </controlPr>
            </control>
          </mc:Choice>
        </mc:AlternateContent>
        <mc:AlternateContent xmlns:mc="http://schemas.openxmlformats.org/markup-compatibility/2006">
          <mc:Choice Requires="x14">
            <control shapeId="15389" r:id="rId15" name="Check Box 29">
              <controlPr defaultSize="0" autoFill="0" autoLine="0" autoPict="0">
                <anchor moveWithCells="1">
                  <from>
                    <xdr:col>5</xdr:col>
                    <xdr:colOff>19050</xdr:colOff>
                    <xdr:row>5</xdr:row>
                    <xdr:rowOff>9525</xdr:rowOff>
                  </from>
                  <to>
                    <xdr:col>5</xdr:col>
                    <xdr:colOff>895350</xdr:colOff>
                    <xdr:row>6</xdr:row>
                    <xdr:rowOff>0</xdr:rowOff>
                  </to>
                </anchor>
              </controlPr>
            </control>
          </mc:Choice>
        </mc:AlternateContent>
        <mc:AlternateContent xmlns:mc="http://schemas.openxmlformats.org/markup-compatibility/2006">
          <mc:Choice Requires="x14">
            <control shapeId="15390" r:id="rId16" name="Check Box 30">
              <controlPr defaultSize="0" autoFill="0" autoLine="0" autoPict="0">
                <anchor moveWithCells="1">
                  <from>
                    <xdr:col>6</xdr:col>
                    <xdr:colOff>9525</xdr:colOff>
                    <xdr:row>4</xdr:row>
                    <xdr:rowOff>9525</xdr:rowOff>
                  </from>
                  <to>
                    <xdr:col>6</xdr:col>
                    <xdr:colOff>885825</xdr:colOff>
                    <xdr:row>5</xdr:row>
                    <xdr:rowOff>0</xdr:rowOff>
                  </to>
                </anchor>
              </controlPr>
            </control>
          </mc:Choice>
        </mc:AlternateContent>
        <mc:AlternateContent xmlns:mc="http://schemas.openxmlformats.org/markup-compatibility/2006">
          <mc:Choice Requires="x14">
            <control shapeId="15391" r:id="rId17" name="Check Box 31">
              <controlPr defaultSize="0" autoFill="0" autoLine="0" autoPict="0">
                <anchor moveWithCells="1">
                  <from>
                    <xdr:col>6</xdr:col>
                    <xdr:colOff>9525</xdr:colOff>
                    <xdr:row>5</xdr:row>
                    <xdr:rowOff>9525</xdr:rowOff>
                  </from>
                  <to>
                    <xdr:col>6</xdr:col>
                    <xdr:colOff>885825</xdr:colOff>
                    <xdr:row>6</xdr:row>
                    <xdr:rowOff>0</xdr:rowOff>
                  </to>
                </anchor>
              </controlPr>
            </control>
          </mc:Choice>
        </mc:AlternateContent>
        <mc:AlternateContent xmlns:mc="http://schemas.openxmlformats.org/markup-compatibility/2006">
          <mc:Choice Requires="x14">
            <control shapeId="15392" r:id="rId18" name="Check Box 32">
              <controlPr defaultSize="0" autoFill="0" autoLine="0" autoPict="0">
                <anchor moveWithCells="1">
                  <from>
                    <xdr:col>3</xdr:col>
                    <xdr:colOff>9525</xdr:colOff>
                    <xdr:row>9</xdr:row>
                    <xdr:rowOff>9525</xdr:rowOff>
                  </from>
                  <to>
                    <xdr:col>3</xdr:col>
                    <xdr:colOff>790575</xdr:colOff>
                    <xdr:row>10</xdr:row>
                    <xdr:rowOff>19050</xdr:rowOff>
                  </to>
                </anchor>
              </controlPr>
            </control>
          </mc:Choice>
        </mc:AlternateContent>
        <mc:AlternateContent xmlns:mc="http://schemas.openxmlformats.org/markup-compatibility/2006">
          <mc:Choice Requires="x14">
            <control shapeId="15393" r:id="rId19" name="Check Box 33">
              <controlPr defaultSize="0" autoFill="0" autoLine="0" autoPict="0">
                <anchor moveWithCells="1">
                  <from>
                    <xdr:col>3</xdr:col>
                    <xdr:colOff>9525</xdr:colOff>
                    <xdr:row>9</xdr:row>
                    <xdr:rowOff>180975</xdr:rowOff>
                  </from>
                  <to>
                    <xdr:col>3</xdr:col>
                    <xdr:colOff>790575</xdr:colOff>
                    <xdr:row>11</xdr:row>
                    <xdr:rowOff>0</xdr:rowOff>
                  </to>
                </anchor>
              </controlPr>
            </control>
          </mc:Choice>
        </mc:AlternateContent>
        <mc:AlternateContent xmlns:mc="http://schemas.openxmlformats.org/markup-compatibility/2006">
          <mc:Choice Requires="x14">
            <control shapeId="15404" r:id="rId20" name="Check Box 44">
              <controlPr defaultSize="0" autoFill="0" autoLine="0" autoPict="0">
                <anchor moveWithCells="1">
                  <from>
                    <xdr:col>0</xdr:col>
                    <xdr:colOff>47625</xdr:colOff>
                    <xdr:row>29</xdr:row>
                    <xdr:rowOff>0</xdr:rowOff>
                  </from>
                  <to>
                    <xdr:col>0</xdr:col>
                    <xdr:colOff>257175</xdr:colOff>
                    <xdr:row>29</xdr:row>
                    <xdr:rowOff>238125</xdr:rowOff>
                  </to>
                </anchor>
              </controlPr>
            </control>
          </mc:Choice>
        </mc:AlternateContent>
        <mc:AlternateContent xmlns:mc="http://schemas.openxmlformats.org/markup-compatibility/2006">
          <mc:Choice Requires="x14">
            <control shapeId="15420" r:id="rId21" name="Check Box 60">
              <controlPr defaultSize="0" autoFill="0" autoLine="0" autoPict="0">
                <anchor moveWithCells="1">
                  <from>
                    <xdr:col>0</xdr:col>
                    <xdr:colOff>47625</xdr:colOff>
                    <xdr:row>30</xdr:row>
                    <xdr:rowOff>0</xdr:rowOff>
                  </from>
                  <to>
                    <xdr:col>0</xdr:col>
                    <xdr:colOff>257175</xdr:colOff>
                    <xdr:row>30</xdr:row>
                    <xdr:rowOff>238125</xdr:rowOff>
                  </to>
                </anchor>
              </controlPr>
            </control>
          </mc:Choice>
        </mc:AlternateContent>
        <mc:AlternateContent xmlns:mc="http://schemas.openxmlformats.org/markup-compatibility/2006">
          <mc:Choice Requires="x14">
            <control shapeId="15421" r:id="rId22" name="Check Box 61">
              <controlPr defaultSize="0" autoFill="0" autoLine="0" autoPict="0">
                <anchor moveWithCells="1">
                  <from>
                    <xdr:col>0</xdr:col>
                    <xdr:colOff>47625</xdr:colOff>
                    <xdr:row>31</xdr:row>
                    <xdr:rowOff>0</xdr:rowOff>
                  </from>
                  <to>
                    <xdr:col>0</xdr:col>
                    <xdr:colOff>257175</xdr:colOff>
                    <xdr:row>31</xdr:row>
                    <xdr:rowOff>238125</xdr:rowOff>
                  </to>
                </anchor>
              </controlPr>
            </control>
          </mc:Choice>
        </mc:AlternateContent>
        <mc:AlternateContent xmlns:mc="http://schemas.openxmlformats.org/markup-compatibility/2006">
          <mc:Choice Requires="x14">
            <control shapeId="15422" r:id="rId23" name="Check Box 62">
              <controlPr defaultSize="0" autoFill="0" autoLine="0" autoPict="0">
                <anchor moveWithCells="1">
                  <from>
                    <xdr:col>0</xdr:col>
                    <xdr:colOff>47625</xdr:colOff>
                    <xdr:row>32</xdr:row>
                    <xdr:rowOff>0</xdr:rowOff>
                  </from>
                  <to>
                    <xdr:col>0</xdr:col>
                    <xdr:colOff>257175</xdr:colOff>
                    <xdr:row>32</xdr:row>
                    <xdr:rowOff>238125</xdr:rowOff>
                  </to>
                </anchor>
              </controlPr>
            </control>
          </mc:Choice>
        </mc:AlternateContent>
        <mc:AlternateContent xmlns:mc="http://schemas.openxmlformats.org/markup-compatibility/2006">
          <mc:Choice Requires="x14">
            <control shapeId="15423" r:id="rId24" name="Check Box 63">
              <controlPr defaultSize="0" autoFill="0" autoLine="0" autoPict="0">
                <anchor moveWithCells="1">
                  <from>
                    <xdr:col>0</xdr:col>
                    <xdr:colOff>47625</xdr:colOff>
                    <xdr:row>33</xdr:row>
                    <xdr:rowOff>0</xdr:rowOff>
                  </from>
                  <to>
                    <xdr:col>0</xdr:col>
                    <xdr:colOff>257175</xdr:colOff>
                    <xdr:row>33</xdr:row>
                    <xdr:rowOff>238125</xdr:rowOff>
                  </to>
                </anchor>
              </controlPr>
            </control>
          </mc:Choice>
        </mc:AlternateContent>
        <mc:AlternateContent xmlns:mc="http://schemas.openxmlformats.org/markup-compatibility/2006">
          <mc:Choice Requires="x14">
            <control shapeId="15424" r:id="rId25" name="Check Box 64">
              <controlPr defaultSize="0" autoFill="0" autoLine="0" autoPict="0">
                <anchor moveWithCells="1">
                  <from>
                    <xdr:col>0</xdr:col>
                    <xdr:colOff>47625</xdr:colOff>
                    <xdr:row>34</xdr:row>
                    <xdr:rowOff>0</xdr:rowOff>
                  </from>
                  <to>
                    <xdr:col>0</xdr:col>
                    <xdr:colOff>257175</xdr:colOff>
                    <xdr:row>34</xdr:row>
                    <xdr:rowOff>238125</xdr:rowOff>
                  </to>
                </anchor>
              </controlPr>
            </control>
          </mc:Choice>
        </mc:AlternateContent>
        <mc:AlternateContent xmlns:mc="http://schemas.openxmlformats.org/markup-compatibility/2006">
          <mc:Choice Requires="x14">
            <control shapeId="15425" r:id="rId26" name="Check Box 65">
              <controlPr defaultSize="0" autoFill="0" autoLine="0" autoPict="0">
                <anchor moveWithCells="1">
                  <from>
                    <xdr:col>0</xdr:col>
                    <xdr:colOff>47625</xdr:colOff>
                    <xdr:row>37</xdr:row>
                    <xdr:rowOff>0</xdr:rowOff>
                  </from>
                  <to>
                    <xdr:col>0</xdr:col>
                    <xdr:colOff>257175</xdr:colOff>
                    <xdr:row>37</xdr:row>
                    <xdr:rowOff>238125</xdr:rowOff>
                  </to>
                </anchor>
              </controlPr>
            </control>
          </mc:Choice>
        </mc:AlternateContent>
        <mc:AlternateContent xmlns:mc="http://schemas.openxmlformats.org/markup-compatibility/2006">
          <mc:Choice Requires="x14">
            <control shapeId="15426" r:id="rId27" name="Check Box 66">
              <controlPr defaultSize="0" autoFill="0" autoLine="0" autoPict="0">
                <anchor moveWithCells="1">
                  <from>
                    <xdr:col>0</xdr:col>
                    <xdr:colOff>47625</xdr:colOff>
                    <xdr:row>38</xdr:row>
                    <xdr:rowOff>0</xdr:rowOff>
                  </from>
                  <to>
                    <xdr:col>0</xdr:col>
                    <xdr:colOff>257175</xdr:colOff>
                    <xdr:row>38</xdr:row>
                    <xdr:rowOff>238125</xdr:rowOff>
                  </to>
                </anchor>
              </controlPr>
            </control>
          </mc:Choice>
        </mc:AlternateContent>
        <mc:AlternateContent xmlns:mc="http://schemas.openxmlformats.org/markup-compatibility/2006">
          <mc:Choice Requires="x14">
            <control shapeId="15427" r:id="rId28" name="Check Box 67">
              <controlPr defaultSize="0" autoFill="0" autoLine="0" autoPict="0">
                <anchor moveWithCells="1">
                  <from>
                    <xdr:col>0</xdr:col>
                    <xdr:colOff>47625</xdr:colOff>
                    <xdr:row>39</xdr:row>
                    <xdr:rowOff>0</xdr:rowOff>
                  </from>
                  <to>
                    <xdr:col>0</xdr:col>
                    <xdr:colOff>257175</xdr:colOff>
                    <xdr:row>39</xdr:row>
                    <xdr:rowOff>238125</xdr:rowOff>
                  </to>
                </anchor>
              </controlPr>
            </control>
          </mc:Choice>
        </mc:AlternateContent>
        <mc:AlternateContent xmlns:mc="http://schemas.openxmlformats.org/markup-compatibility/2006">
          <mc:Choice Requires="x14">
            <control shapeId="15428" r:id="rId29" name="Check Box 68">
              <controlPr defaultSize="0" autoFill="0" autoLine="0" autoPict="0">
                <anchor moveWithCells="1">
                  <from>
                    <xdr:col>0</xdr:col>
                    <xdr:colOff>47625</xdr:colOff>
                    <xdr:row>40</xdr:row>
                    <xdr:rowOff>0</xdr:rowOff>
                  </from>
                  <to>
                    <xdr:col>0</xdr:col>
                    <xdr:colOff>257175</xdr:colOff>
                    <xdr:row>40</xdr:row>
                    <xdr:rowOff>238125</xdr:rowOff>
                  </to>
                </anchor>
              </controlPr>
            </control>
          </mc:Choice>
        </mc:AlternateContent>
        <mc:AlternateContent xmlns:mc="http://schemas.openxmlformats.org/markup-compatibility/2006">
          <mc:Choice Requires="x14">
            <control shapeId="15429" r:id="rId30" name="Check Box 69">
              <controlPr defaultSize="0" autoFill="0" autoLine="0" autoPict="0">
                <anchor moveWithCells="1">
                  <from>
                    <xdr:col>0</xdr:col>
                    <xdr:colOff>47625</xdr:colOff>
                    <xdr:row>41</xdr:row>
                    <xdr:rowOff>0</xdr:rowOff>
                  </from>
                  <to>
                    <xdr:col>0</xdr:col>
                    <xdr:colOff>257175</xdr:colOff>
                    <xdr:row>41</xdr:row>
                    <xdr:rowOff>238125</xdr:rowOff>
                  </to>
                </anchor>
              </controlPr>
            </control>
          </mc:Choice>
        </mc:AlternateContent>
        <mc:AlternateContent xmlns:mc="http://schemas.openxmlformats.org/markup-compatibility/2006">
          <mc:Choice Requires="x14">
            <control shapeId="15430" r:id="rId31" name="Check Box 70">
              <controlPr defaultSize="0" autoFill="0" autoLine="0" autoPict="0">
                <anchor moveWithCells="1">
                  <from>
                    <xdr:col>0</xdr:col>
                    <xdr:colOff>47625</xdr:colOff>
                    <xdr:row>42</xdr:row>
                    <xdr:rowOff>0</xdr:rowOff>
                  </from>
                  <to>
                    <xdr:col>0</xdr:col>
                    <xdr:colOff>257175</xdr:colOff>
                    <xdr:row>42</xdr:row>
                    <xdr:rowOff>238125</xdr:rowOff>
                  </to>
                </anchor>
              </controlPr>
            </control>
          </mc:Choice>
        </mc:AlternateContent>
        <mc:AlternateContent xmlns:mc="http://schemas.openxmlformats.org/markup-compatibility/2006">
          <mc:Choice Requires="x14">
            <control shapeId="15435" r:id="rId32" name="Check Box 75">
              <controlPr defaultSize="0" autoFill="0" autoLine="0" autoPict="0">
                <anchor moveWithCells="1">
                  <from>
                    <xdr:col>4</xdr:col>
                    <xdr:colOff>0</xdr:colOff>
                    <xdr:row>17</xdr:row>
                    <xdr:rowOff>0</xdr:rowOff>
                  </from>
                  <to>
                    <xdr:col>4</xdr:col>
                    <xdr:colOff>781050</xdr:colOff>
                    <xdr:row>18</xdr:row>
                    <xdr:rowOff>9525</xdr:rowOff>
                  </to>
                </anchor>
              </controlPr>
            </control>
          </mc:Choice>
        </mc:AlternateContent>
        <mc:AlternateContent xmlns:mc="http://schemas.openxmlformats.org/markup-compatibility/2006">
          <mc:Choice Requires="x14">
            <control shapeId="15436" r:id="rId33" name="Check Box 76">
              <controlPr defaultSize="0" autoFill="0" autoLine="0" autoPict="0">
                <anchor moveWithCells="1">
                  <from>
                    <xdr:col>4</xdr:col>
                    <xdr:colOff>0</xdr:colOff>
                    <xdr:row>17</xdr:row>
                    <xdr:rowOff>171450</xdr:rowOff>
                  </from>
                  <to>
                    <xdr:col>4</xdr:col>
                    <xdr:colOff>781050</xdr:colOff>
                    <xdr:row>18</xdr:row>
                    <xdr:rowOff>180975</xdr:rowOff>
                  </to>
                </anchor>
              </controlPr>
            </control>
          </mc:Choice>
        </mc:AlternateContent>
        <mc:AlternateContent xmlns:mc="http://schemas.openxmlformats.org/markup-compatibility/2006">
          <mc:Choice Requires="x14">
            <control shapeId="15437" r:id="rId34" name="Check Box 77">
              <controlPr defaultSize="0" autoFill="0" autoLine="0" autoPict="0">
                <anchor moveWithCells="1">
                  <from>
                    <xdr:col>4</xdr:col>
                    <xdr:colOff>0</xdr:colOff>
                    <xdr:row>21</xdr:row>
                    <xdr:rowOff>0</xdr:rowOff>
                  </from>
                  <to>
                    <xdr:col>4</xdr:col>
                    <xdr:colOff>781050</xdr:colOff>
                    <xdr:row>22</xdr:row>
                    <xdr:rowOff>9525</xdr:rowOff>
                  </to>
                </anchor>
              </controlPr>
            </control>
          </mc:Choice>
        </mc:AlternateContent>
        <mc:AlternateContent xmlns:mc="http://schemas.openxmlformats.org/markup-compatibility/2006">
          <mc:Choice Requires="x14">
            <control shapeId="15438" r:id="rId35" name="Check Box 78">
              <controlPr defaultSize="0" autoFill="0" autoLine="0" autoPict="0">
                <anchor moveWithCells="1">
                  <from>
                    <xdr:col>4</xdr:col>
                    <xdr:colOff>0</xdr:colOff>
                    <xdr:row>21</xdr:row>
                    <xdr:rowOff>171450</xdr:rowOff>
                  </from>
                  <to>
                    <xdr:col>4</xdr:col>
                    <xdr:colOff>781050</xdr:colOff>
                    <xdr:row>22</xdr:row>
                    <xdr:rowOff>180975</xdr:rowOff>
                  </to>
                </anchor>
              </controlPr>
            </control>
          </mc:Choice>
        </mc:AlternateContent>
        <mc:AlternateContent xmlns:mc="http://schemas.openxmlformats.org/markup-compatibility/2006">
          <mc:Choice Requires="x14">
            <control shapeId="15439" r:id="rId36" name="Check Box 79">
              <controlPr defaultSize="0" autoFill="0" autoLine="0" autoPict="0">
                <anchor moveWithCells="1">
                  <from>
                    <xdr:col>4</xdr:col>
                    <xdr:colOff>0</xdr:colOff>
                    <xdr:row>25</xdr:row>
                    <xdr:rowOff>0</xdr:rowOff>
                  </from>
                  <to>
                    <xdr:col>4</xdr:col>
                    <xdr:colOff>781050</xdr:colOff>
                    <xdr:row>26</xdr:row>
                    <xdr:rowOff>9525</xdr:rowOff>
                  </to>
                </anchor>
              </controlPr>
            </control>
          </mc:Choice>
        </mc:AlternateContent>
        <mc:AlternateContent xmlns:mc="http://schemas.openxmlformats.org/markup-compatibility/2006">
          <mc:Choice Requires="x14">
            <control shapeId="15440" r:id="rId37" name="Check Box 80">
              <controlPr defaultSize="0" autoFill="0" autoLine="0" autoPict="0">
                <anchor moveWithCells="1">
                  <from>
                    <xdr:col>4</xdr:col>
                    <xdr:colOff>0</xdr:colOff>
                    <xdr:row>25</xdr:row>
                    <xdr:rowOff>171450</xdr:rowOff>
                  </from>
                  <to>
                    <xdr:col>4</xdr:col>
                    <xdr:colOff>781050</xdr:colOff>
                    <xdr:row>26</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2060"/>
    <pageSetUpPr fitToPage="1"/>
  </sheetPr>
  <dimension ref="A1:S131"/>
  <sheetViews>
    <sheetView showGridLines="0" zoomScaleNormal="100" workbookViewId="0">
      <selection sqref="A1:E1"/>
    </sheetView>
  </sheetViews>
  <sheetFormatPr defaultRowHeight="15" x14ac:dyDescent="0.25"/>
  <cols>
    <col min="1" max="2" width="15.7109375" style="64" customWidth="1"/>
    <col min="3" max="3" width="25.7109375" style="64" customWidth="1"/>
    <col min="4" max="5" width="58.7109375" style="64" customWidth="1"/>
    <col min="6" max="6" width="27" style="64" customWidth="1"/>
    <col min="7" max="14" width="9.140625" style="64"/>
    <col min="15" max="15" width="27" style="64" customWidth="1"/>
    <col min="16" max="16" width="5.85546875" style="64" customWidth="1"/>
    <col min="17" max="17" width="5" style="64" customWidth="1"/>
    <col min="18" max="18" width="13.140625" style="561" customWidth="1"/>
    <col min="19" max="16384" width="9.140625" style="64"/>
  </cols>
  <sheetData>
    <row r="1" spans="1:19" s="69" customFormat="1" ht="26.25" customHeight="1" thickBot="1" x14ac:dyDescent="0.3">
      <c r="A1" s="1066" t="s">
        <v>1737</v>
      </c>
      <c r="B1" s="1066"/>
      <c r="C1" s="1066"/>
      <c r="D1" s="1066"/>
      <c r="E1" s="1066"/>
      <c r="R1" s="143"/>
    </row>
    <row r="2" spans="1:19" s="68" customFormat="1" ht="24.95" customHeight="1" thickBot="1" x14ac:dyDescent="0.3">
      <c r="A2" s="1065" t="s">
        <v>1931</v>
      </c>
      <c r="B2" s="1065"/>
      <c r="C2" s="1065"/>
      <c r="D2" s="1065"/>
      <c r="E2" s="1065"/>
      <c r="R2" s="66"/>
    </row>
    <row r="3" spans="1:19" s="68" customFormat="1" ht="18" customHeight="1" x14ac:dyDescent="0.25">
      <c r="A3" s="558">
        <v>1</v>
      </c>
      <c r="B3" s="1073" t="s">
        <v>2295</v>
      </c>
      <c r="C3" s="1073"/>
      <c r="D3" s="1074"/>
      <c r="E3" s="562"/>
      <c r="F3" s="606"/>
      <c r="N3" s="66">
        <v>1</v>
      </c>
      <c r="O3" s="68" t="s">
        <v>1933</v>
      </c>
      <c r="R3" s="66">
        <v>30200551</v>
      </c>
      <c r="S3" s="68" t="s">
        <v>2314</v>
      </c>
    </row>
    <row r="4" spans="1:19" s="68" customFormat="1" ht="18" customHeight="1" x14ac:dyDescent="0.25">
      <c r="A4" s="558">
        <v>2</v>
      </c>
      <c r="B4" s="1073" t="s">
        <v>2296</v>
      </c>
      <c r="C4" s="1073"/>
      <c r="D4" s="1074"/>
      <c r="E4" s="563"/>
      <c r="F4" s="606"/>
      <c r="N4" s="66">
        <v>2</v>
      </c>
      <c r="O4" s="68" t="s">
        <v>1934</v>
      </c>
      <c r="R4" s="66">
        <v>30200552</v>
      </c>
      <c r="S4" s="68" t="s">
        <v>2313</v>
      </c>
    </row>
    <row r="5" spans="1:19" s="68" customFormat="1" ht="18" customHeight="1" x14ac:dyDescent="0.25">
      <c r="A5" s="558">
        <v>3</v>
      </c>
      <c r="B5" s="1073" t="s">
        <v>2297</v>
      </c>
      <c r="C5" s="1073"/>
      <c r="D5" s="1074"/>
      <c r="E5" s="563"/>
      <c r="F5" s="606"/>
      <c r="N5" s="66">
        <v>3</v>
      </c>
      <c r="O5" s="68" t="s">
        <v>1935</v>
      </c>
      <c r="R5" s="66">
        <v>30200553</v>
      </c>
      <c r="S5" s="68" t="s">
        <v>1953</v>
      </c>
    </row>
    <row r="6" spans="1:19" s="68" customFormat="1" ht="18" customHeight="1" x14ac:dyDescent="0.25">
      <c r="A6" s="558">
        <v>4</v>
      </c>
      <c r="B6" s="1073" t="s">
        <v>1932</v>
      </c>
      <c r="C6" s="1073"/>
      <c r="D6" s="1074"/>
      <c r="E6" s="563"/>
      <c r="F6" s="606"/>
      <c r="N6" s="66">
        <v>4</v>
      </c>
      <c r="R6" s="66"/>
    </row>
    <row r="7" spans="1:19" s="68" customFormat="1" ht="18" customHeight="1" x14ac:dyDescent="0.25">
      <c r="A7" s="558">
        <v>5</v>
      </c>
      <c r="B7" s="1073" t="s">
        <v>2291</v>
      </c>
      <c r="C7" s="1073"/>
      <c r="D7" s="1074"/>
      <c r="E7" s="563"/>
      <c r="F7" s="92" t="str">
        <f>IF(AND(OR(I7=TRUE,J7=TRUE),K7=FALSE),"Too many boxes checked.",IF(AND(J7=TRUE,K7=TRUE,E7&gt;0),"&lt;&lt;&lt; Remove value!",IF(AND(I7=TRUE,K7=TRUE,E7=0),"Enter capacity in bushels",IF(AND(I7=TRUE,K7=TRUE,E7&gt;0),"bushels",""))))</f>
        <v/>
      </c>
      <c r="I7" s="567" t="b">
        <v>0</v>
      </c>
      <c r="J7" s="567" t="b">
        <v>0</v>
      </c>
      <c r="K7" s="68" t="b">
        <f>IF(OR(AND(I7=FALSE,J7=FALSE),AND(I7=TRUE,J7=TRUE)),FALSE,TRUE)</f>
        <v>0</v>
      </c>
      <c r="N7" s="66">
        <v>5</v>
      </c>
      <c r="O7" s="68" t="s">
        <v>1435</v>
      </c>
      <c r="R7" s="66">
        <v>30200560</v>
      </c>
      <c r="S7" s="68" t="s">
        <v>2315</v>
      </c>
    </row>
    <row r="8" spans="1:19" s="68" customFormat="1" ht="18" customHeight="1" x14ac:dyDescent="0.25">
      <c r="A8" s="558">
        <v>6</v>
      </c>
      <c r="B8" s="1073" t="s">
        <v>2292</v>
      </c>
      <c r="C8" s="1073"/>
      <c r="D8" s="1074"/>
      <c r="E8" s="563"/>
      <c r="F8" s="92" t="str">
        <f t="shared" ref="F8:F10" si="0">IF(AND(OR(I8=TRUE,J8=TRUE),K8=FALSE),"Too many boxes checked.",IF(AND(J8=TRUE,K8=TRUE,E8&gt;0),"&lt;&lt;&lt; Remove value!",IF(AND(I8=TRUE,K8=TRUE,E8=0),"Enter capacity in bushels",IF(AND(I8=TRUE,K8=TRUE,E8&gt;0),"bushels",""))))</f>
        <v/>
      </c>
      <c r="I8" s="567" t="b">
        <v>0</v>
      </c>
      <c r="J8" s="567" t="b">
        <v>0</v>
      </c>
      <c r="K8" s="68" t="b">
        <f t="shared" ref="K8:K21" si="1">IF(OR(AND(I8=FALSE,J8=FALSE),AND(I8=TRUE,J8=TRUE)),FALSE,TRUE)</f>
        <v>0</v>
      </c>
      <c r="N8" s="66">
        <v>6</v>
      </c>
      <c r="O8" s="68" t="s">
        <v>2336</v>
      </c>
      <c r="R8" s="66">
        <v>30200563</v>
      </c>
      <c r="S8" s="68" t="s">
        <v>1954</v>
      </c>
    </row>
    <row r="9" spans="1:19" s="68" customFormat="1" ht="18" customHeight="1" x14ac:dyDescent="0.25">
      <c r="A9" s="558">
        <v>7</v>
      </c>
      <c r="B9" s="1073" t="s">
        <v>2293</v>
      </c>
      <c r="C9" s="1073"/>
      <c r="D9" s="1074"/>
      <c r="E9" s="563"/>
      <c r="F9" s="92" t="str">
        <f t="shared" si="0"/>
        <v/>
      </c>
      <c r="I9" s="567" t="b">
        <v>0</v>
      </c>
      <c r="J9" s="567" t="b">
        <v>0</v>
      </c>
      <c r="K9" s="68" t="b">
        <f t="shared" si="1"/>
        <v>0</v>
      </c>
      <c r="R9" s="66"/>
    </row>
    <row r="10" spans="1:19" s="68" customFormat="1" ht="18" customHeight="1" x14ac:dyDescent="0.25">
      <c r="A10" s="558">
        <v>8</v>
      </c>
      <c r="B10" s="1073" t="s">
        <v>2294</v>
      </c>
      <c r="C10" s="1073"/>
      <c r="D10" s="1074"/>
      <c r="E10" s="563"/>
      <c r="F10" s="92" t="str">
        <f t="shared" si="0"/>
        <v/>
      </c>
      <c r="I10" s="567" t="b">
        <v>0</v>
      </c>
      <c r="J10" s="567" t="b">
        <v>0</v>
      </c>
      <c r="K10" s="68" t="b">
        <f t="shared" si="1"/>
        <v>0</v>
      </c>
      <c r="R10" s="66">
        <v>30200527</v>
      </c>
      <c r="S10" s="68" t="s">
        <v>1960</v>
      </c>
    </row>
    <row r="11" spans="1:19" s="68" customFormat="1" ht="18" customHeight="1" x14ac:dyDescent="0.25">
      <c r="A11" s="558">
        <v>9</v>
      </c>
      <c r="B11" s="1073" t="s">
        <v>2298</v>
      </c>
      <c r="C11" s="1073"/>
      <c r="D11" s="1074"/>
      <c r="E11" s="563"/>
      <c r="F11" s="92" t="str">
        <f t="shared" ref="F11:F12" si="2">IF(AND(OR(I11=TRUE,J11=TRUE),K11=FALSE),"Too many boxes checked.",IF(AND(J11=TRUE,K11=TRUE,E11&gt;0),"&lt;&lt;&lt; Remove value!",""))</f>
        <v/>
      </c>
      <c r="I11" s="567" t="b">
        <v>0</v>
      </c>
      <c r="J11" s="567" t="b">
        <v>0</v>
      </c>
      <c r="K11" s="68" t="b">
        <f t="shared" si="1"/>
        <v>0</v>
      </c>
      <c r="R11" s="66">
        <v>30200528</v>
      </c>
      <c r="S11" s="68" t="s">
        <v>1959</v>
      </c>
    </row>
    <row r="12" spans="1:19" s="68" customFormat="1" ht="18" customHeight="1" x14ac:dyDescent="0.25">
      <c r="A12" s="558">
        <v>10</v>
      </c>
      <c r="B12" s="1073" t="s">
        <v>2299</v>
      </c>
      <c r="C12" s="1073"/>
      <c r="D12" s="1074"/>
      <c r="E12" s="563"/>
      <c r="F12" s="92" t="str">
        <f t="shared" si="2"/>
        <v/>
      </c>
      <c r="I12" s="567" t="b">
        <v>0</v>
      </c>
      <c r="J12" s="567" t="b">
        <v>0</v>
      </c>
      <c r="K12" s="68" t="b">
        <f t="shared" si="1"/>
        <v>0</v>
      </c>
      <c r="R12" s="66"/>
    </row>
    <row r="13" spans="1:19" s="68" customFormat="1" ht="18" customHeight="1" thickBot="1" x14ac:dyDescent="0.3">
      <c r="A13" s="558"/>
      <c r="B13" s="78" t="s">
        <v>2335</v>
      </c>
      <c r="C13" s="78"/>
      <c r="D13" s="647"/>
      <c r="E13" s="649"/>
      <c r="F13" s="92"/>
      <c r="I13" s="567"/>
      <c r="J13" s="567"/>
      <c r="R13" s="66"/>
    </row>
    <row r="14" spans="1:19" s="68" customFormat="1" ht="33" customHeight="1" thickBot="1" x14ac:dyDescent="0.3">
      <c r="A14" s="558">
        <v>11</v>
      </c>
      <c r="B14" s="1075" t="s">
        <v>2088</v>
      </c>
      <c r="C14" s="1075"/>
      <c r="D14" s="1076"/>
      <c r="E14" s="605" t="str">
        <f>IF(AND(I14=TRUE,K14=TRUE),"Continue to Question 12, and when complete, refer to additional instructions for Miscellaneous Emission Units below.",IF(AND(J14=TRUE,K14=TRUE),"Continue to Question 12.",""))</f>
        <v/>
      </c>
      <c r="F14" s="92" t="str">
        <f>IF(AND(OR(I14=TRUE,J14=TRUE),K14=FALSE),"Too many boxes checked.",IF(AND(J14=TRUE,K14=TRUE,E14&gt;0),"&lt;&lt;&lt; Remove value!",""))</f>
        <v/>
      </c>
      <c r="I14" s="567" t="b">
        <v>0</v>
      </c>
      <c r="J14" s="567" t="b">
        <v>0</v>
      </c>
      <c r="K14" s="68" t="b">
        <f t="shared" si="1"/>
        <v>0</v>
      </c>
      <c r="R14" s="66"/>
    </row>
    <row r="15" spans="1:19" s="68" customFormat="1" ht="18" customHeight="1" x14ac:dyDescent="0.25">
      <c r="A15" s="558">
        <v>12</v>
      </c>
      <c r="B15" s="1073" t="s">
        <v>1949</v>
      </c>
      <c r="C15" s="1073"/>
      <c r="D15" s="1073"/>
      <c r="E15" s="643" t="str">
        <f>IF(AND(I15=TRUE,K15=TRUE),"Continue with questions 13-18.",IF(AND(J15=TRUE,K15=TRUE),"Proceed to instructions below.",IF(AND(I15=FALSE,J15=FALSE),"","Too many boxes checked.")))</f>
        <v/>
      </c>
      <c r="F15" s="92" t="str">
        <f t="shared" ref="F15" si="3">IF(AND(I15=TRUE,J15=TRUE),"&lt;&lt;&lt; Too many boxes checked!","")</f>
        <v/>
      </c>
      <c r="I15" s="567" t="b">
        <v>0</v>
      </c>
      <c r="J15" s="567" t="b">
        <v>0</v>
      </c>
      <c r="K15" s="68" t="b">
        <f t="shared" si="1"/>
        <v>0</v>
      </c>
      <c r="R15" s="66">
        <v>10500106</v>
      </c>
      <c r="S15" s="68" t="s">
        <v>1435</v>
      </c>
    </row>
    <row r="16" spans="1:19" s="68" customFormat="1" ht="45.75" customHeight="1" thickBot="1" x14ac:dyDescent="0.3">
      <c r="A16" s="558">
        <v>13</v>
      </c>
      <c r="B16" s="1075" t="s">
        <v>2233</v>
      </c>
      <c r="C16" s="1073"/>
      <c r="D16" s="1073"/>
      <c r="E16" s="644"/>
      <c r="F16" s="92" t="str">
        <f t="shared" ref="F16" si="4">IF(AND(I16=TRUE,J16=TRUE),"&lt;&lt;&lt; Too many boxes checked!","")</f>
        <v/>
      </c>
      <c r="I16" s="567" t="b">
        <v>0</v>
      </c>
      <c r="J16" s="567" t="b">
        <v>0</v>
      </c>
      <c r="K16" s="68" t="b">
        <f t="shared" ref="K16" si="5">IF(OR(AND(I16=FALSE,J16=FALSE),AND(I16=TRUE,J16=TRUE)),FALSE,TRUE)</f>
        <v>0</v>
      </c>
      <c r="R16" s="66">
        <v>10500106</v>
      </c>
      <c r="S16" s="68" t="s">
        <v>1435</v>
      </c>
    </row>
    <row r="17" spans="1:19" s="68" customFormat="1" ht="18" customHeight="1" x14ac:dyDescent="0.25">
      <c r="A17" s="558">
        <v>14</v>
      </c>
      <c r="B17" s="1073" t="s">
        <v>2300</v>
      </c>
      <c r="C17" s="1073"/>
      <c r="D17" s="1074"/>
      <c r="E17" s="568"/>
      <c r="F17" s="92" t="str">
        <f t="shared" ref="F17:F21" si="6">IF(AND(OR(I17=TRUE,J17=TRUE),K17=FALSE),"Too many boxes checked.",IF(AND(J17=TRUE,K17=TRUE,E17&gt;0),"&lt;&lt;&lt; Remove value!",""))</f>
        <v/>
      </c>
      <c r="I17" s="567" t="b">
        <v>0</v>
      </c>
      <c r="J17" s="567" t="b">
        <v>0</v>
      </c>
      <c r="K17" s="68" t="b">
        <f t="shared" si="1"/>
        <v>0</v>
      </c>
      <c r="R17" s="66">
        <v>10500110</v>
      </c>
      <c r="S17" s="68" t="s">
        <v>1516</v>
      </c>
    </row>
    <row r="18" spans="1:19" s="68" customFormat="1" ht="18" customHeight="1" x14ac:dyDescent="0.25">
      <c r="A18" s="558">
        <v>15</v>
      </c>
      <c r="B18" s="1073" t="s">
        <v>2301</v>
      </c>
      <c r="C18" s="1073"/>
      <c r="D18" s="1074"/>
      <c r="E18" s="563"/>
      <c r="F18" s="92" t="str">
        <f t="shared" si="6"/>
        <v/>
      </c>
      <c r="I18" s="567" t="b">
        <v>0</v>
      </c>
      <c r="J18" s="567" t="b">
        <v>0</v>
      </c>
      <c r="K18" s="68" t="b">
        <f t="shared" si="1"/>
        <v>0</v>
      </c>
      <c r="R18" s="66"/>
    </row>
    <row r="19" spans="1:19" s="68" customFormat="1" ht="18" customHeight="1" x14ac:dyDescent="0.25">
      <c r="A19" s="558">
        <v>16</v>
      </c>
      <c r="B19" s="1073" t="s">
        <v>2302</v>
      </c>
      <c r="C19" s="1073"/>
      <c r="D19" s="1074"/>
      <c r="E19" s="563"/>
      <c r="F19" s="92" t="str">
        <f t="shared" si="6"/>
        <v/>
      </c>
      <c r="I19" s="567" t="b">
        <v>0</v>
      </c>
      <c r="J19" s="567" t="b">
        <v>0</v>
      </c>
      <c r="K19" s="68" t="b">
        <f t="shared" si="1"/>
        <v>0</v>
      </c>
      <c r="R19" s="66"/>
    </row>
    <row r="20" spans="1:19" s="68" customFormat="1" ht="18" customHeight="1" x14ac:dyDescent="0.25">
      <c r="A20" s="558">
        <v>17</v>
      </c>
      <c r="B20" s="1073" t="s">
        <v>2303</v>
      </c>
      <c r="C20" s="1073"/>
      <c r="D20" s="1074"/>
      <c r="E20" s="563"/>
      <c r="F20" s="92" t="str">
        <f t="shared" si="6"/>
        <v/>
      </c>
      <c r="I20" s="567" t="b">
        <v>0</v>
      </c>
      <c r="J20" s="567" t="b">
        <v>0</v>
      </c>
      <c r="K20" s="68" t="b">
        <f t="shared" si="1"/>
        <v>0</v>
      </c>
      <c r="R20" s="66"/>
    </row>
    <row r="21" spans="1:19" s="68" customFormat="1" ht="18" customHeight="1" thickBot="1" x14ac:dyDescent="0.3">
      <c r="A21" s="558">
        <v>18</v>
      </c>
      <c r="B21" s="1073" t="s">
        <v>2304</v>
      </c>
      <c r="C21" s="1073"/>
      <c r="D21" s="1074"/>
      <c r="E21" s="564"/>
      <c r="F21" s="92" t="str">
        <f t="shared" si="6"/>
        <v/>
      </c>
      <c r="I21" s="567" t="b">
        <v>0</v>
      </c>
      <c r="J21" s="567" t="b">
        <v>0</v>
      </c>
      <c r="K21" s="68" t="b">
        <f t="shared" si="1"/>
        <v>0</v>
      </c>
      <c r="R21" s="66"/>
    </row>
    <row r="22" spans="1:19" s="68" customFormat="1" ht="14.1" customHeight="1" x14ac:dyDescent="0.25">
      <c r="A22" s="78"/>
      <c r="B22" s="78"/>
      <c r="C22" s="78"/>
      <c r="D22" s="78"/>
      <c r="E22" s="78"/>
      <c r="R22" s="66"/>
    </row>
    <row r="23" spans="1:19" s="164" customFormat="1" ht="64.5" customHeight="1" x14ac:dyDescent="0.25">
      <c r="A23" s="1077" t="s">
        <v>1970</v>
      </c>
      <c r="B23" s="1077"/>
      <c r="C23" s="1077"/>
      <c r="D23" s="1077"/>
      <c r="E23" s="1077"/>
      <c r="R23" s="169"/>
    </row>
    <row r="24" spans="1:19" s="68" customFormat="1" ht="33" customHeight="1" x14ac:dyDescent="0.25">
      <c r="A24" s="1085" t="s">
        <v>2082</v>
      </c>
      <c r="B24" s="1086"/>
      <c r="C24" s="1086"/>
      <c r="D24" s="1086"/>
      <c r="E24" s="1086"/>
      <c r="R24" s="66"/>
    </row>
    <row r="25" spans="1:19" s="68" customFormat="1" ht="135" customHeight="1" thickBot="1" x14ac:dyDescent="0.3">
      <c r="A25" s="1084" t="s">
        <v>2087</v>
      </c>
      <c r="B25" s="1084"/>
      <c r="C25" s="1084"/>
      <c r="D25" s="1084"/>
      <c r="E25" s="1084"/>
      <c r="R25" s="66"/>
    </row>
    <row r="26" spans="1:19" s="68" customFormat="1" ht="18" customHeight="1" thickBot="1" x14ac:dyDescent="0.3">
      <c r="A26" s="1067" t="s">
        <v>264</v>
      </c>
      <c r="B26" s="1068"/>
      <c r="C26" s="1069" t="s">
        <v>269</v>
      </c>
      <c r="D26" s="1071" t="s">
        <v>267</v>
      </c>
      <c r="E26" s="1071" t="s">
        <v>268</v>
      </c>
      <c r="R26" s="66"/>
    </row>
    <row r="27" spans="1:19" s="68" customFormat="1" ht="18" customHeight="1" thickBot="1" x14ac:dyDescent="0.3">
      <c r="A27" s="554" t="s">
        <v>265</v>
      </c>
      <c r="B27" s="98" t="s">
        <v>266</v>
      </c>
      <c r="C27" s="1070"/>
      <c r="D27" s="1072"/>
      <c r="E27" s="1072"/>
      <c r="R27" s="66"/>
    </row>
    <row r="28" spans="1:19" s="78" customFormat="1" ht="18" customHeight="1" x14ac:dyDescent="0.25">
      <c r="A28" s="1081" t="s">
        <v>1948</v>
      </c>
      <c r="B28" s="1082"/>
      <c r="C28" s="1082"/>
      <c r="D28" s="1082"/>
      <c r="E28" s="1083"/>
      <c r="R28" s="559"/>
    </row>
    <row r="29" spans="1:19" s="78" customFormat="1" ht="18" customHeight="1" x14ac:dyDescent="0.25">
      <c r="A29" s="252">
        <v>8</v>
      </c>
      <c r="B29" s="252">
        <v>1</v>
      </c>
      <c r="C29" s="253">
        <v>20100102</v>
      </c>
      <c r="D29" s="565" t="s">
        <v>2084</v>
      </c>
      <c r="E29" s="565" t="s">
        <v>2083</v>
      </c>
      <c r="R29" s="559"/>
    </row>
    <row r="30" spans="1:19" s="254" customFormat="1" ht="18" customHeight="1" x14ac:dyDescent="0.25">
      <c r="A30" s="252">
        <v>9</v>
      </c>
      <c r="B30" s="252">
        <v>1</v>
      </c>
      <c r="C30" s="253">
        <v>10200602</v>
      </c>
      <c r="D30" s="565" t="s">
        <v>2085</v>
      </c>
      <c r="E30" s="565" t="s">
        <v>1435</v>
      </c>
      <c r="F30" s="78"/>
      <c r="G30" s="78"/>
      <c r="H30" s="78"/>
      <c r="I30" s="78"/>
      <c r="J30" s="78"/>
      <c r="K30" s="78"/>
      <c r="R30" s="560"/>
    </row>
    <row r="31" spans="1:19" s="254" customFormat="1" ht="18" customHeight="1" x14ac:dyDescent="0.25">
      <c r="A31" s="252">
        <v>9</v>
      </c>
      <c r="B31" s="252">
        <v>2</v>
      </c>
      <c r="C31" s="253">
        <v>10200501</v>
      </c>
      <c r="D31" s="565" t="s">
        <v>2085</v>
      </c>
      <c r="E31" s="565" t="s">
        <v>2086</v>
      </c>
      <c r="R31" s="560"/>
    </row>
    <row r="32" spans="1:19" s="254" customFormat="1" ht="18" customHeight="1" x14ac:dyDescent="0.25">
      <c r="A32" s="252">
        <v>10</v>
      </c>
      <c r="B32" s="252">
        <v>1</v>
      </c>
      <c r="C32" s="253">
        <v>40400204</v>
      </c>
      <c r="D32" s="565" t="s">
        <v>2091</v>
      </c>
      <c r="E32" s="565" t="s">
        <v>2089</v>
      </c>
      <c r="R32" s="560"/>
    </row>
    <row r="33" spans="1:18" s="254" customFormat="1" ht="18" customHeight="1" x14ac:dyDescent="0.25">
      <c r="A33" s="252">
        <v>10</v>
      </c>
      <c r="B33" s="252">
        <v>2</v>
      </c>
      <c r="C33" s="253">
        <v>40400107</v>
      </c>
      <c r="D33" s="565" t="s">
        <v>2091</v>
      </c>
      <c r="E33" s="565" t="s">
        <v>2090</v>
      </c>
      <c r="R33" s="560"/>
    </row>
    <row r="34" spans="1:18" s="78" customFormat="1" ht="18" customHeight="1" x14ac:dyDescent="0.25">
      <c r="A34" s="252"/>
      <c r="B34" s="252"/>
      <c r="C34" s="253"/>
      <c r="D34" s="565"/>
      <c r="E34" s="565"/>
      <c r="R34" s="559"/>
    </row>
    <row r="35" spans="1:18" s="68" customFormat="1" ht="35.1" customHeight="1" thickBot="1" x14ac:dyDescent="0.3">
      <c r="A35" s="1088" t="s">
        <v>1870</v>
      </c>
      <c r="B35" s="1088"/>
      <c r="C35" s="1088"/>
      <c r="D35" s="1088"/>
      <c r="E35" s="1088"/>
      <c r="R35" s="66"/>
    </row>
    <row r="36" spans="1:18" s="70" customFormat="1" ht="19.5" thickBot="1" x14ac:dyDescent="0.3">
      <c r="A36" s="1087" t="s">
        <v>1449</v>
      </c>
      <c r="B36" s="1087"/>
      <c r="C36" s="1087"/>
      <c r="D36" s="1087"/>
      <c r="E36" s="1087"/>
      <c r="R36" s="145"/>
    </row>
    <row r="37" spans="1:18" ht="60" customHeight="1" x14ac:dyDescent="0.25">
      <c r="A37"/>
      <c r="B37"/>
      <c r="C37"/>
      <c r="D37"/>
      <c r="E37"/>
    </row>
    <row r="38" spans="1:18" ht="24.95" customHeight="1" x14ac:dyDescent="0.25">
      <c r="A38" s="1089" t="s">
        <v>1824</v>
      </c>
      <c r="B38" s="1089"/>
      <c r="C38" s="1089"/>
      <c r="D38" s="1089"/>
      <c r="E38" s="1089"/>
    </row>
    <row r="39" spans="1:18" ht="24.95" customHeight="1" thickBot="1" x14ac:dyDescent="0.3">
      <c r="A39" s="1090" t="str">
        <f>IF(OR('Section 1| General Information'!P8=TRUE,'Section 1| General Information'!Q8=TRUE),"Table 3-A:  New/Modified/Reconstructed Emission Unit Identification","Table 3-A:  Emission Unit Identification")</f>
        <v>Table 3-A:  Emission Unit Identification</v>
      </c>
      <c r="B39" s="1090"/>
      <c r="C39" s="1090"/>
      <c r="D39" s="1090"/>
      <c r="E39" s="1090"/>
    </row>
    <row r="40" spans="1:18" ht="21.95" customHeight="1" thickBot="1" x14ac:dyDescent="0.3">
      <c r="A40" s="1091" t="s">
        <v>264</v>
      </c>
      <c r="B40" s="1092"/>
      <c r="C40" s="1095" t="s">
        <v>269</v>
      </c>
      <c r="D40" s="1093" t="s">
        <v>267</v>
      </c>
      <c r="E40" s="1093" t="s">
        <v>268</v>
      </c>
    </row>
    <row r="41" spans="1:18" ht="21.95" customHeight="1" thickBot="1" x14ac:dyDescent="0.3">
      <c r="A41" s="709" t="s">
        <v>265</v>
      </c>
      <c r="B41" s="710" t="s">
        <v>266</v>
      </c>
      <c r="C41" s="1096"/>
      <c r="D41" s="1094"/>
      <c r="E41" s="1094"/>
    </row>
    <row r="42" spans="1:18" ht="18" customHeight="1" x14ac:dyDescent="0.25">
      <c r="A42" s="1078" t="s">
        <v>1936</v>
      </c>
      <c r="B42" s="1079"/>
      <c r="C42" s="1079"/>
      <c r="D42" s="1079"/>
      <c r="E42" s="1080"/>
      <c r="M42" s="68"/>
      <c r="N42" s="68"/>
    </row>
    <row r="43" spans="1:18" ht="18" customHeight="1" x14ac:dyDescent="0.25">
      <c r="A43" s="398">
        <f>IF($N43=1,SUM($M$43:M43),0)</f>
        <v>0</v>
      </c>
      <c r="B43" s="398">
        <f>IF($N43=1,SUM($N$43:N43),0)</f>
        <v>0</v>
      </c>
      <c r="C43" s="309">
        <f>IF(D43=$S$3,$R$3,IF(D43=$S$4,$R$4,IF(D43=$S$5,$R$5,0)))</f>
        <v>0</v>
      </c>
      <c r="D43" s="295"/>
      <c r="E43" s="295"/>
      <c r="F43" s="64" t="str">
        <f>IF(AND($B43&gt;0,ISBLANK($D43)),"&lt;&lt;&lt; Select applicable receiving pit type for Emission Point Description.",IF(AND($B43&gt;0,ISBLANK($E43)),"&lt;&lt;&lt;  Provide equipment name or designation for Emission Segment Description.",""))</f>
        <v/>
      </c>
      <c r="M43" s="68">
        <f>IF($E$3&gt;0,1,0)</f>
        <v>0</v>
      </c>
      <c r="N43" s="68">
        <f>IF($E$3&gt;0,1,0)</f>
        <v>0</v>
      </c>
    </row>
    <row r="44" spans="1:18" ht="18" customHeight="1" x14ac:dyDescent="0.25">
      <c r="A44" s="398">
        <f>IF($N44=1,SUM($M$43:M44),0)</f>
        <v>0</v>
      </c>
      <c r="B44" s="398">
        <f>IF($N44=1,SUM($N$43:N44),0)</f>
        <v>0</v>
      </c>
      <c r="C44" s="309">
        <f t="shared" ref="C44:C48" si="7">IF(D44=$S$3,$R$3,IF(D44=$S$4,$R$4,IF(D44=$S$5,$R$5,0)))</f>
        <v>0</v>
      </c>
      <c r="D44" s="295"/>
      <c r="E44" s="295"/>
      <c r="F44" s="64" t="str">
        <f t="shared" ref="F44:F48" si="8">IF(AND($B44&gt;0,ISBLANK($D44)),"&lt;&lt;&lt; Select applicable receiving pit type for Emission Point Description.",IF(AND($B44&gt;0,ISBLANK($E44)),"&lt;&lt;&lt;  Provide equipment name or designation for Emission Segment Description.",""))</f>
        <v/>
      </c>
      <c r="M44" s="68"/>
      <c r="N44" s="68">
        <f>IF($E$3&gt;1,1,0)</f>
        <v>0</v>
      </c>
    </row>
    <row r="45" spans="1:18" ht="18" customHeight="1" x14ac:dyDescent="0.25">
      <c r="A45" s="398">
        <f>IF($N45=1,SUM($M$43:M45),0)</f>
        <v>0</v>
      </c>
      <c r="B45" s="398">
        <f>IF($N45=1,SUM($N$43:N45),0)</f>
        <v>0</v>
      </c>
      <c r="C45" s="309">
        <f t="shared" si="7"/>
        <v>0</v>
      </c>
      <c r="D45" s="295"/>
      <c r="E45" s="295"/>
      <c r="F45" s="64" t="str">
        <f t="shared" si="8"/>
        <v/>
      </c>
      <c r="M45" s="68"/>
      <c r="N45" s="68">
        <f>IF($E$3&gt;2,1,0)</f>
        <v>0</v>
      </c>
    </row>
    <row r="46" spans="1:18" ht="18" customHeight="1" x14ac:dyDescent="0.25">
      <c r="A46" s="398">
        <f>IF($N46=1,SUM($M$43:M46),0)</f>
        <v>0</v>
      </c>
      <c r="B46" s="398">
        <f>IF($N46=1,SUM($N$43:N46),0)</f>
        <v>0</v>
      </c>
      <c r="C46" s="309">
        <f t="shared" si="7"/>
        <v>0</v>
      </c>
      <c r="D46" s="295"/>
      <c r="E46" s="295"/>
      <c r="F46" s="64" t="str">
        <f t="shared" si="8"/>
        <v/>
      </c>
      <c r="M46" s="68"/>
      <c r="N46" s="68">
        <f>IF($E$3&gt;3,1,0)</f>
        <v>0</v>
      </c>
    </row>
    <row r="47" spans="1:18" ht="18" customHeight="1" x14ac:dyDescent="0.25">
      <c r="A47" s="398">
        <f>IF($N47=1,SUM($M$43:M47),0)</f>
        <v>0</v>
      </c>
      <c r="B47" s="398">
        <f>IF($N47=1,SUM($N$43:N47),0)</f>
        <v>0</v>
      </c>
      <c r="C47" s="309">
        <f t="shared" si="7"/>
        <v>0</v>
      </c>
      <c r="D47" s="295"/>
      <c r="E47" s="295"/>
      <c r="F47" s="64" t="str">
        <f t="shared" si="8"/>
        <v/>
      </c>
      <c r="M47" s="68"/>
      <c r="N47" s="68">
        <f>IF($E$3&gt;4,1,0)</f>
        <v>0</v>
      </c>
    </row>
    <row r="48" spans="1:18" ht="18" customHeight="1" thickBot="1" x14ac:dyDescent="0.3">
      <c r="A48" s="398">
        <f>IF($N48=1,SUM($M$43:M48),0)</f>
        <v>0</v>
      </c>
      <c r="B48" s="398">
        <f>IF($N48=1,SUM($N$43:N48),0)</f>
        <v>0</v>
      </c>
      <c r="C48" s="309">
        <f t="shared" si="7"/>
        <v>0</v>
      </c>
      <c r="D48" s="295"/>
      <c r="E48" s="295"/>
      <c r="F48" s="64" t="str">
        <f t="shared" si="8"/>
        <v/>
      </c>
      <c r="M48" s="68"/>
      <c r="N48" s="68">
        <f>IF($E$3&gt;5,1,0)</f>
        <v>0</v>
      </c>
    </row>
    <row r="49" spans="1:14" ht="18" customHeight="1" x14ac:dyDescent="0.25">
      <c r="A49" s="1078" t="s">
        <v>1937</v>
      </c>
      <c r="B49" s="1079"/>
      <c r="C49" s="1079"/>
      <c r="D49" s="1079"/>
      <c r="E49" s="1080"/>
      <c r="M49" s="68"/>
      <c r="N49" s="68"/>
    </row>
    <row r="50" spans="1:14" ht="18" customHeight="1" x14ac:dyDescent="0.25">
      <c r="A50" s="398">
        <f>IF($N50=1,SUM($M$43:M50),0)</f>
        <v>0</v>
      </c>
      <c r="B50" s="398">
        <f>IF($N50=1,SUM($N$50:N50),0)</f>
        <v>0</v>
      </c>
      <c r="C50" s="309">
        <v>30200530</v>
      </c>
      <c r="D50" s="566" t="s">
        <v>1950</v>
      </c>
      <c r="E50" s="295"/>
      <c r="F50" s="64" t="str">
        <f>IF(AND($B50&gt;0,ISBLANK($E50)),"&lt;&lt;&lt;  Provide equipment name or designation for Emission Segment Description.","")</f>
        <v/>
      </c>
      <c r="M50" s="68">
        <f>IF($E$4&gt;0,1,0)</f>
        <v>0</v>
      </c>
      <c r="N50" s="68">
        <f>IF($E$4&gt;0,1,0)</f>
        <v>0</v>
      </c>
    </row>
    <row r="51" spans="1:14" ht="18" customHeight="1" x14ac:dyDescent="0.25">
      <c r="A51" s="398">
        <f>IF($N51=1,SUM($M$43:M51),0)</f>
        <v>0</v>
      </c>
      <c r="B51" s="398">
        <f>IF($N51=1,SUM($N$50:N51),0)</f>
        <v>0</v>
      </c>
      <c r="C51" s="309">
        <v>30200530</v>
      </c>
      <c r="D51" s="566" t="s">
        <v>1950</v>
      </c>
      <c r="E51" s="295"/>
      <c r="F51" s="64" t="str">
        <f t="shared" ref="F51:F55" si="9">IF(AND($B51&gt;0,ISBLANK($E51)),"&lt;&lt;&lt;  Provide equipment name or designation for Emission Segment Description.","")</f>
        <v/>
      </c>
      <c r="M51" s="68"/>
      <c r="N51" s="68">
        <f>IF($E$4&gt;1,1,0)</f>
        <v>0</v>
      </c>
    </row>
    <row r="52" spans="1:14" ht="18" customHeight="1" x14ac:dyDescent="0.25">
      <c r="A52" s="398">
        <f>IF($N52=1,SUM($M$43:M52),0)</f>
        <v>0</v>
      </c>
      <c r="B52" s="398">
        <f>IF($N52=1,SUM($N$50:N52),0)</f>
        <v>0</v>
      </c>
      <c r="C52" s="309">
        <v>30200530</v>
      </c>
      <c r="D52" s="566" t="s">
        <v>1950</v>
      </c>
      <c r="E52" s="295"/>
      <c r="F52" s="64" t="str">
        <f t="shared" si="9"/>
        <v/>
      </c>
      <c r="M52" s="68"/>
      <c r="N52" s="68">
        <f>IF($E$4&gt;2,1,0)</f>
        <v>0</v>
      </c>
    </row>
    <row r="53" spans="1:14" ht="18" customHeight="1" x14ac:dyDescent="0.25">
      <c r="A53" s="398">
        <f>IF($N53=1,SUM($M$43:M53),0)</f>
        <v>0</v>
      </c>
      <c r="B53" s="398">
        <f>IF($N53=1,SUM($N$50:N53),0)</f>
        <v>0</v>
      </c>
      <c r="C53" s="309">
        <v>30200530</v>
      </c>
      <c r="D53" s="566" t="s">
        <v>1950</v>
      </c>
      <c r="E53" s="295"/>
      <c r="F53" s="64" t="str">
        <f t="shared" si="9"/>
        <v/>
      </c>
      <c r="M53" s="68"/>
      <c r="N53" s="68">
        <f>IF($E$4&gt;3,1,0)</f>
        <v>0</v>
      </c>
    </row>
    <row r="54" spans="1:14" ht="18" customHeight="1" x14ac:dyDescent="0.25">
      <c r="A54" s="398">
        <f>IF($N54=1,SUM($M$43:M54),0)</f>
        <v>0</v>
      </c>
      <c r="B54" s="398">
        <f>IF($N54=1,SUM($N$50:N54),0)</f>
        <v>0</v>
      </c>
      <c r="C54" s="309">
        <v>30200530</v>
      </c>
      <c r="D54" s="566" t="s">
        <v>1950</v>
      </c>
      <c r="E54" s="295"/>
      <c r="F54" s="64" t="str">
        <f t="shared" si="9"/>
        <v/>
      </c>
      <c r="M54" s="68"/>
      <c r="N54" s="68">
        <f>IF($E$4&gt;4,1,0)</f>
        <v>0</v>
      </c>
    </row>
    <row r="55" spans="1:14" ht="18" customHeight="1" thickBot="1" x14ac:dyDescent="0.3">
      <c r="A55" s="398">
        <f>IF($N55=1,SUM($M$43:M55),0)</f>
        <v>0</v>
      </c>
      <c r="B55" s="398">
        <f>IF($N55=1,SUM($N$50:N55),0)</f>
        <v>0</v>
      </c>
      <c r="C55" s="309">
        <v>30200530</v>
      </c>
      <c r="D55" s="566" t="s">
        <v>1950</v>
      </c>
      <c r="E55" s="295"/>
      <c r="F55" s="64" t="str">
        <f t="shared" si="9"/>
        <v/>
      </c>
      <c r="M55" s="68"/>
      <c r="N55" s="68">
        <f>IF($E$4&gt;5,1,0)</f>
        <v>0</v>
      </c>
    </row>
    <row r="56" spans="1:14" ht="18" customHeight="1" x14ac:dyDescent="0.25">
      <c r="A56" s="1078" t="s">
        <v>1938</v>
      </c>
      <c r="B56" s="1079"/>
      <c r="C56" s="1079"/>
      <c r="D56" s="1079"/>
      <c r="E56" s="1080"/>
      <c r="M56" s="68"/>
      <c r="N56" s="68"/>
    </row>
    <row r="57" spans="1:14" ht="18" customHeight="1" x14ac:dyDescent="0.25">
      <c r="A57" s="398">
        <f>IF($N57=1,SUM($M$43:M57),0)</f>
        <v>0</v>
      </c>
      <c r="B57" s="398">
        <f>IF($N57=1,SUM($N$57:N57),0)</f>
        <v>0</v>
      </c>
      <c r="C57" s="309" t="str">
        <f>IF(D57=$S$7,$R$7,IF(D57=$S$8,$R$8,""))</f>
        <v/>
      </c>
      <c r="D57" s="295"/>
      <c r="E57" s="295"/>
      <c r="F57" s="64" t="str">
        <f>IF(AND($B57&gt;0,ISBLANK($D57)),"&lt;&lt;&lt; Select applicable shipping method for Emission Point Description.",IF(AND($B57&gt;0,ISBLANK($E57)),"&lt;&lt;&lt;  Provide equipment name or designation for Emission Segment Description.",""))</f>
        <v/>
      </c>
      <c r="M57" s="68">
        <f>IF($E$5&gt;0,1,0)</f>
        <v>0</v>
      </c>
      <c r="N57" s="68">
        <f>IF($E$5&gt;0,1,0)</f>
        <v>0</v>
      </c>
    </row>
    <row r="58" spans="1:14" ht="18" customHeight="1" x14ac:dyDescent="0.25">
      <c r="A58" s="398">
        <f>IF($N58=1,SUM($M$43:M58),0)</f>
        <v>0</v>
      </c>
      <c r="B58" s="398">
        <f>IF($N58=1,SUM($N$57:N58),0)</f>
        <v>0</v>
      </c>
      <c r="C58" s="309" t="str">
        <f t="shared" ref="C58:C62" si="10">IF(D58=$S$7,$R$7,IF(D58=$S$8,$R$8,""))</f>
        <v/>
      </c>
      <c r="D58" s="295"/>
      <c r="E58" s="295"/>
      <c r="F58" s="64" t="str">
        <f t="shared" ref="F58:F62" si="11">IF(AND($B58&gt;0,ISBLANK($D58)),"&lt;&lt;&lt; Select applicable shipping method for Emission Point Description.",IF(AND($B58&gt;0,ISBLANK($E58)),"&lt;&lt;&lt;  Provide equipment name or designation for Emission Segment Description.",""))</f>
        <v/>
      </c>
      <c r="M58" s="68"/>
      <c r="N58" s="68">
        <f>IF($E$5&gt;1,1,0)</f>
        <v>0</v>
      </c>
    </row>
    <row r="59" spans="1:14" ht="18" customHeight="1" x14ac:dyDescent="0.25">
      <c r="A59" s="398">
        <f>IF($N59=1,SUM($M$43:M59),0)</f>
        <v>0</v>
      </c>
      <c r="B59" s="398">
        <f>IF($N59=1,SUM($N$57:N59),0)</f>
        <v>0</v>
      </c>
      <c r="C59" s="309" t="str">
        <f t="shared" si="10"/>
        <v/>
      </c>
      <c r="D59" s="295"/>
      <c r="E59" s="295"/>
      <c r="F59" s="64" t="str">
        <f t="shared" si="11"/>
        <v/>
      </c>
      <c r="M59" s="68"/>
      <c r="N59" s="68">
        <f>IF($E$5&gt;2,1,0)</f>
        <v>0</v>
      </c>
    </row>
    <row r="60" spans="1:14" ht="18" customHeight="1" x14ac:dyDescent="0.25">
      <c r="A60" s="398">
        <f>IF($N60=1,SUM($M$43:M60),0)</f>
        <v>0</v>
      </c>
      <c r="B60" s="398">
        <f>IF($N60=1,SUM($N$57:N60),0)</f>
        <v>0</v>
      </c>
      <c r="C60" s="309" t="str">
        <f t="shared" si="10"/>
        <v/>
      </c>
      <c r="D60" s="295"/>
      <c r="E60" s="295"/>
      <c r="F60" s="64" t="str">
        <f t="shared" si="11"/>
        <v/>
      </c>
      <c r="M60" s="68"/>
      <c r="N60" s="68">
        <f>IF($E$5&gt;3,1,0)</f>
        <v>0</v>
      </c>
    </row>
    <row r="61" spans="1:14" ht="18" customHeight="1" x14ac:dyDescent="0.25">
      <c r="A61" s="398">
        <f>IF($N61=1,SUM($M$43:M61),0)</f>
        <v>0</v>
      </c>
      <c r="B61" s="398">
        <f>IF($N61=1,SUM($N$57:N61),0)</f>
        <v>0</v>
      </c>
      <c r="C61" s="309" t="str">
        <f t="shared" si="10"/>
        <v/>
      </c>
      <c r="D61" s="295"/>
      <c r="E61" s="295"/>
      <c r="F61" s="64" t="str">
        <f t="shared" si="11"/>
        <v/>
      </c>
      <c r="M61" s="68"/>
      <c r="N61" s="68">
        <f>IF($E$5&gt;4,1,0)</f>
        <v>0</v>
      </c>
    </row>
    <row r="62" spans="1:14" ht="18" customHeight="1" thickBot="1" x14ac:dyDescent="0.3">
      <c r="A62" s="398">
        <f>IF($N62=1,SUM($M$43:M62),0)</f>
        <v>0</v>
      </c>
      <c r="B62" s="398">
        <f>IF($N62=1,SUM($N$57:N62),0)</f>
        <v>0</v>
      </c>
      <c r="C62" s="309" t="str">
        <f t="shared" si="10"/>
        <v/>
      </c>
      <c r="D62" s="295"/>
      <c r="E62" s="295"/>
      <c r="F62" s="64" t="str">
        <f t="shared" si="11"/>
        <v/>
      </c>
      <c r="M62" s="68"/>
      <c r="N62" s="68">
        <f>IF($E$5&gt;5,1,0)</f>
        <v>0</v>
      </c>
    </row>
    <row r="63" spans="1:14" ht="18" customHeight="1" x14ac:dyDescent="0.25">
      <c r="A63" s="1078" t="s">
        <v>1939</v>
      </c>
      <c r="B63" s="1079"/>
      <c r="C63" s="1079"/>
      <c r="D63" s="1079"/>
      <c r="E63" s="1080"/>
      <c r="M63" s="68"/>
      <c r="N63" s="68"/>
    </row>
    <row r="64" spans="1:14" ht="18" customHeight="1" x14ac:dyDescent="0.25">
      <c r="A64" s="398">
        <f>IF($N64=1,SUM($M$43:M64),0)</f>
        <v>0</v>
      </c>
      <c r="B64" s="398">
        <f>IF($N64=1,SUM($N$64:N64),0)</f>
        <v>0</v>
      </c>
      <c r="C64" s="309">
        <v>2294000000</v>
      </c>
      <c r="D64" s="566" t="s">
        <v>1961</v>
      </c>
      <c r="E64" s="566" t="s">
        <v>1956</v>
      </c>
      <c r="M64" s="68">
        <f>IF(NOT(ISBLANK($E$6)),1,0)</f>
        <v>0</v>
      </c>
      <c r="N64" s="68">
        <f>IF(OR($E$6=O3,$E$6=O5),1,0)</f>
        <v>0</v>
      </c>
    </row>
    <row r="65" spans="1:14" ht="18" customHeight="1" thickBot="1" x14ac:dyDescent="0.3">
      <c r="A65" s="398">
        <f>IF($N65=1,SUM($M$43:M65),0)</f>
        <v>0</v>
      </c>
      <c r="B65" s="398">
        <f>IF($N65=1,SUM($N$64:N65),0)</f>
        <v>0</v>
      </c>
      <c r="C65" s="309">
        <v>2296000000</v>
      </c>
      <c r="D65" s="566" t="s">
        <v>1961</v>
      </c>
      <c r="E65" s="566" t="s">
        <v>1957</v>
      </c>
      <c r="M65" s="68"/>
      <c r="N65" s="68">
        <f>IF(OR($E$6=O4,$E$6=O5),1,0)</f>
        <v>0</v>
      </c>
    </row>
    <row r="66" spans="1:14" ht="18" customHeight="1" x14ac:dyDescent="0.25">
      <c r="A66" s="1078" t="s">
        <v>1940</v>
      </c>
      <c r="B66" s="1079"/>
      <c r="C66" s="1079"/>
      <c r="D66" s="1079"/>
      <c r="E66" s="1080"/>
      <c r="F66" s="1097" t="str">
        <f>IF(OR(AND(I16=TRUE,K16=TRUE,E67&gt;=1000000),AND(J16=TRUE,K16=TRUE,E67&gt;=2500000)),"Your facility may be subject to the requirements of 40 CFR Part 60, Subpart DD.  Contact the LLCHD to find out if Subpart DD applies to your facility.","")</f>
        <v/>
      </c>
      <c r="G66" s="1075"/>
      <c r="H66" s="1075"/>
      <c r="I66" s="1075"/>
      <c r="J66" s="1075"/>
      <c r="K66" s="1075"/>
      <c r="L66" s="1075"/>
      <c r="M66" s="68"/>
      <c r="N66" s="68"/>
    </row>
    <row r="67" spans="1:14" ht="18" customHeight="1" thickBot="1" x14ac:dyDescent="0.3">
      <c r="A67" s="398">
        <f>IF($N67=1,SUM($M$43:M67),0)</f>
        <v>1</v>
      </c>
      <c r="B67" s="398">
        <f>N67</f>
        <v>1</v>
      </c>
      <c r="C67" s="309">
        <v>30200540</v>
      </c>
      <c r="D67" s="566" t="s">
        <v>2110</v>
      </c>
      <c r="E67" s="566">
        <f>IF(M67=0,"",SUM(E7:E10))</f>
        <v>0</v>
      </c>
      <c r="F67" s="1097"/>
      <c r="G67" s="1075"/>
      <c r="H67" s="1075"/>
      <c r="I67" s="1075"/>
      <c r="J67" s="1075"/>
      <c r="K67" s="1075"/>
      <c r="L67" s="1075"/>
      <c r="M67" s="68">
        <v>1</v>
      </c>
      <c r="N67" s="68">
        <v>1</v>
      </c>
    </row>
    <row r="68" spans="1:14" ht="18" customHeight="1" x14ac:dyDescent="0.25">
      <c r="A68" s="1078" t="s">
        <v>1941</v>
      </c>
      <c r="B68" s="1079"/>
      <c r="C68" s="1079"/>
      <c r="D68" s="1079"/>
      <c r="E68" s="1080"/>
      <c r="M68" s="68"/>
      <c r="N68" s="68"/>
    </row>
    <row r="69" spans="1:14" ht="18" customHeight="1" x14ac:dyDescent="0.25">
      <c r="A69" s="398">
        <f>IF($N69=1,SUM($M$43:M69),0)</f>
        <v>0</v>
      </c>
      <c r="B69" s="398">
        <f>IF($N69=1,SUM($N$69:N69),0)</f>
        <v>0</v>
      </c>
      <c r="C69" s="309">
        <v>30200537</v>
      </c>
      <c r="D69" s="566" t="s">
        <v>1958</v>
      </c>
      <c r="E69" s="295"/>
      <c r="F69" s="64" t="str">
        <f t="shared" ref="F69:F72" si="12">IF(AND($B69&gt;0,ISBLANK($E69)),"&lt;&lt;&lt;  Provide equipment name or designation for Emission Segment Description.","")</f>
        <v/>
      </c>
      <c r="M69" s="68">
        <f>IF(AND($I$11=TRUE,$K$11=TRUE,$E$11&gt;0),1,0)</f>
        <v>0</v>
      </c>
      <c r="N69" s="68">
        <f>IF(AND($M$69&gt;0,$E$11&gt;0),1,0)</f>
        <v>0</v>
      </c>
    </row>
    <row r="70" spans="1:14" ht="18" customHeight="1" x14ac:dyDescent="0.25">
      <c r="A70" s="398">
        <f>IF($N70=1,SUM($M$43:M70),0)</f>
        <v>0</v>
      </c>
      <c r="B70" s="398">
        <f>IF($N70=1,SUM($N$69:N70),0)</f>
        <v>0</v>
      </c>
      <c r="C70" s="309">
        <v>30200537</v>
      </c>
      <c r="D70" s="566" t="s">
        <v>1958</v>
      </c>
      <c r="E70" s="295"/>
      <c r="F70" s="64" t="str">
        <f t="shared" si="12"/>
        <v/>
      </c>
      <c r="M70" s="68"/>
      <c r="N70" s="68">
        <f>IF(AND($M$69&gt;0,$E$11&gt;1),1,0)</f>
        <v>0</v>
      </c>
    </row>
    <row r="71" spans="1:14" ht="18" customHeight="1" x14ac:dyDescent="0.25">
      <c r="A71" s="398">
        <f>IF($N71=1,SUM($M$43:M71),0)</f>
        <v>0</v>
      </c>
      <c r="B71" s="398">
        <f>IF($N71=1,SUM($N$69:N71),0)</f>
        <v>0</v>
      </c>
      <c r="C71" s="309">
        <v>30200537</v>
      </c>
      <c r="D71" s="566" t="s">
        <v>1958</v>
      </c>
      <c r="E71" s="295"/>
      <c r="F71" s="64" t="str">
        <f t="shared" si="12"/>
        <v/>
      </c>
      <c r="M71" s="68"/>
      <c r="N71" s="68">
        <f>IF(AND($M$69&gt;0,$E$11&gt;2),1,0)</f>
        <v>0</v>
      </c>
    </row>
    <row r="72" spans="1:14" ht="18" customHeight="1" thickBot="1" x14ac:dyDescent="0.3">
      <c r="A72" s="398">
        <f>IF($N72=1,SUM($M$43:M72),0)</f>
        <v>0</v>
      </c>
      <c r="B72" s="398">
        <f>IF($N72=1,SUM($N$69:N72),0)</f>
        <v>0</v>
      </c>
      <c r="C72" s="309">
        <v>30200537</v>
      </c>
      <c r="D72" s="566" t="s">
        <v>1958</v>
      </c>
      <c r="E72" s="295"/>
      <c r="F72" s="64" t="str">
        <f t="shared" si="12"/>
        <v/>
      </c>
      <c r="M72" s="68"/>
      <c r="N72" s="68">
        <f>IF(AND($M$69&gt;0,$E$11&gt;3),1,0)</f>
        <v>0</v>
      </c>
    </row>
    <row r="73" spans="1:14" ht="18" customHeight="1" x14ac:dyDescent="0.25">
      <c r="A73" s="1078" t="s">
        <v>1942</v>
      </c>
      <c r="B73" s="1079"/>
      <c r="C73" s="1079"/>
      <c r="D73" s="1079"/>
      <c r="E73" s="1080"/>
      <c r="M73" s="68"/>
      <c r="N73" s="68"/>
    </row>
    <row r="74" spans="1:14" ht="18" customHeight="1" x14ac:dyDescent="0.25">
      <c r="A74" s="398">
        <f>IF($N74=1,SUM($M$43:M74),0)</f>
        <v>0</v>
      </c>
      <c r="B74" s="398">
        <f>IF($N74=1,SUM($N$74:N74),0)</f>
        <v>0</v>
      </c>
      <c r="C74" s="309" t="str">
        <f>IF(D74=$S$10,$R$10,IF(D74=$S$11,$R$11,""))</f>
        <v/>
      </c>
      <c r="D74" s="295"/>
      <c r="E74" s="295"/>
      <c r="F74" s="64" t="str">
        <f>IF(AND($B74&gt;0,ISBLANK($D74)),"&lt;&lt;&lt; Select applicable grain dryer type for Emission Point Description.",IF(AND($B74&gt;0,ISBLANK($E74)),"&lt;&lt;&lt;  Provide equipment name or designation for Emission Segment Description.",""))</f>
        <v/>
      </c>
      <c r="M74" s="68">
        <f>IF(AND($I$12=TRUE,$K$12=TRUE,$E$12&gt;0),1,0)</f>
        <v>0</v>
      </c>
      <c r="N74" s="68">
        <f>IF(AND($M$74&gt;0,$E$12&gt;0),1,0)</f>
        <v>0</v>
      </c>
    </row>
    <row r="75" spans="1:14" ht="18" customHeight="1" x14ac:dyDescent="0.25">
      <c r="A75" s="398">
        <f>A74</f>
        <v>0</v>
      </c>
      <c r="B75" s="398">
        <f>B74</f>
        <v>0</v>
      </c>
      <c r="C75" s="309" t="str">
        <f>IF(E75=$S$15,$R$15,IF(E75=$S$17,$R$17,""))</f>
        <v/>
      </c>
      <c r="D75" s="566" t="str">
        <f>IF(ISBLANK(D74),"",D74)</f>
        <v/>
      </c>
      <c r="E75" s="566" t="str">
        <f>IF(ISBLANK($E$13),"",$E$13)</f>
        <v/>
      </c>
      <c r="M75" s="68"/>
      <c r="N75" s="68"/>
    </row>
    <row r="76" spans="1:14" ht="18" customHeight="1" x14ac:dyDescent="0.25">
      <c r="A76" s="398">
        <f>IF($N76=1,SUM($M$43:M76),0)</f>
        <v>0</v>
      </c>
      <c r="B76" s="398">
        <f>IF($N76=1,SUM($N$74:N76),0)</f>
        <v>0</v>
      </c>
      <c r="C76" s="309" t="str">
        <f t="shared" ref="C76:C80" si="13">IF(D76=$S$10,$R$10,IF(D76=$S$11,$R$11,""))</f>
        <v/>
      </c>
      <c r="D76" s="295"/>
      <c r="E76" s="295"/>
      <c r="F76" s="64" t="str">
        <f>IF(AND($B76&gt;0,ISBLANK($D76)),"&lt;&lt;&lt; Select applicable grain dryer type for Emission Point Description.",IF(AND($B76&gt;0,ISBLANK($E76)),"&lt;&lt;&lt;  Provide equipment name or designation for Emission Segment Description.",""))</f>
        <v/>
      </c>
      <c r="M76" s="68"/>
      <c r="N76" s="68">
        <f>IF(AND($M$74&gt;0,$E$12&gt;1),1,0)</f>
        <v>0</v>
      </c>
    </row>
    <row r="77" spans="1:14" ht="18" customHeight="1" x14ac:dyDescent="0.25">
      <c r="A77" s="398">
        <f>A76</f>
        <v>0</v>
      </c>
      <c r="B77" s="398">
        <f>B76</f>
        <v>0</v>
      </c>
      <c r="C77" s="309" t="str">
        <f>IF(E77=$S$15,$R$15,IF(E77=$S$17,$R$17,""))</f>
        <v/>
      </c>
      <c r="D77" s="566" t="str">
        <f>IF(ISBLANK(D76),"",D76)</f>
        <v/>
      </c>
      <c r="E77" s="566" t="str">
        <f>IF(ISBLANK($E$13),"",$E$13)</f>
        <v/>
      </c>
      <c r="M77" s="68"/>
      <c r="N77" s="68"/>
    </row>
    <row r="78" spans="1:14" ht="18" customHeight="1" x14ac:dyDescent="0.25">
      <c r="A78" s="398">
        <f>IF($N78=1,SUM($M$43:M78),0)</f>
        <v>0</v>
      </c>
      <c r="B78" s="398">
        <f>IF($N78=1,SUM($N$74:N78),0)</f>
        <v>0</v>
      </c>
      <c r="C78" s="309" t="str">
        <f t="shared" si="13"/>
        <v/>
      </c>
      <c r="D78" s="295"/>
      <c r="E78" s="295"/>
      <c r="F78" s="64" t="str">
        <f>IF(AND($B78&gt;0,ISBLANK($D78)),"&lt;&lt;&lt; Select applicable grain dryer type for Emission Point Description.",IF(AND($B78&gt;0,ISBLANK($E78)),"&lt;&lt;&lt;  Provide equipment name or designation for Emission Segment Description.",""))</f>
        <v/>
      </c>
      <c r="M78" s="68"/>
      <c r="N78" s="68">
        <f>IF(AND($M$74&gt;0,$E$12&gt;2),1,0)</f>
        <v>0</v>
      </c>
    </row>
    <row r="79" spans="1:14" ht="18" customHeight="1" x14ac:dyDescent="0.25">
      <c r="A79" s="398">
        <f>A78</f>
        <v>0</v>
      </c>
      <c r="B79" s="398">
        <f>B78</f>
        <v>0</v>
      </c>
      <c r="C79" s="309" t="str">
        <f>IF(E79=$S$15,$R$15,IF(E79=$S$17,$R$17,""))</f>
        <v/>
      </c>
      <c r="D79" s="566" t="str">
        <f>IF(ISBLANK(D78),"",D78)</f>
        <v/>
      </c>
      <c r="E79" s="566" t="str">
        <f>IF(ISBLANK($E$13),"",$E$13)</f>
        <v/>
      </c>
      <c r="M79" s="68"/>
      <c r="N79" s="68"/>
    </row>
    <row r="80" spans="1:14" ht="18" customHeight="1" x14ac:dyDescent="0.25">
      <c r="A80" s="398">
        <f>IF($N80=1,SUM($M$43:M80),0)</f>
        <v>0</v>
      </c>
      <c r="B80" s="398">
        <f>IF($N80=1,SUM($N$74:N80),0)</f>
        <v>0</v>
      </c>
      <c r="C80" s="309" t="str">
        <f t="shared" si="13"/>
        <v/>
      </c>
      <c r="D80" s="295"/>
      <c r="E80" s="295"/>
      <c r="F80" s="64" t="str">
        <f>IF(AND($B80&gt;0,ISBLANK($D80)),"&lt;&lt;&lt; Select applicable grain dryer type for Emission Point Description.",IF(AND($B80&gt;0,ISBLANK($E80)),"&lt;&lt;&lt;  Provide equipment name or designation for Emission Segment Description.",""))</f>
        <v/>
      </c>
      <c r="M80" s="68"/>
      <c r="N80" s="68">
        <f>IF(AND($M$74&gt;0,$E$12&gt;3),1,0)</f>
        <v>0</v>
      </c>
    </row>
    <row r="81" spans="1:14" ht="18" customHeight="1" thickBot="1" x14ac:dyDescent="0.3">
      <c r="A81" s="398">
        <f>A80</f>
        <v>0</v>
      </c>
      <c r="B81" s="398">
        <f>B80</f>
        <v>0</v>
      </c>
      <c r="C81" s="309" t="str">
        <f>IF(E81=$S$15,$R$15,IF(E81=$S$17,$R$17,""))</f>
        <v/>
      </c>
      <c r="D81" s="566" t="str">
        <f>IF(ISBLANK(D80),"",D80)</f>
        <v/>
      </c>
      <c r="E81" s="566" t="str">
        <f>IF(ISBLANK($E$13),"",$E$13)</f>
        <v/>
      </c>
      <c r="M81" s="68"/>
      <c r="N81" s="68"/>
    </row>
    <row r="82" spans="1:14" ht="18" customHeight="1" x14ac:dyDescent="0.25">
      <c r="A82" s="1078" t="s">
        <v>1943</v>
      </c>
      <c r="B82" s="1079"/>
      <c r="C82" s="1079"/>
      <c r="D82" s="1079"/>
      <c r="E82" s="1080"/>
      <c r="M82" s="68"/>
      <c r="N82" s="68"/>
    </row>
    <row r="83" spans="1:14" ht="18" customHeight="1" x14ac:dyDescent="0.25">
      <c r="A83" s="398">
        <f>IF($N83=1,SUM($M$43:M83),0)</f>
        <v>0</v>
      </c>
      <c r="B83" s="398">
        <f>IF($N83=1,SUM($N$83:N83),0)</f>
        <v>0</v>
      </c>
      <c r="C83" s="309">
        <v>30200819</v>
      </c>
      <c r="D83" s="566" t="s">
        <v>1962</v>
      </c>
      <c r="E83" s="295"/>
      <c r="F83" s="64" t="str">
        <f t="shared" ref="F83:F86" si="14">IF(AND($B83&gt;0,ISBLANK($E83)),"&lt;&lt;&lt;  Provide equipment name or designation for Emission Segment Description.","")</f>
        <v/>
      </c>
      <c r="M83" s="68">
        <f>IF(AND($I$17=TRUE,$K$17=TRUE,$E$17&gt;0),1,0)</f>
        <v>0</v>
      </c>
      <c r="N83" s="68">
        <f>IF(AND($M$83&gt;0,$E$17&gt;0),1,0)</f>
        <v>0</v>
      </c>
    </row>
    <row r="84" spans="1:14" ht="18" customHeight="1" x14ac:dyDescent="0.25">
      <c r="A84" s="398">
        <f>IF($N84=1,SUM($M$43:M84),0)</f>
        <v>0</v>
      </c>
      <c r="B84" s="398">
        <f>IF($N84=1,SUM($N$83:N84),0)</f>
        <v>0</v>
      </c>
      <c r="C84" s="309">
        <v>30200819</v>
      </c>
      <c r="D84" s="566" t="s">
        <v>1962</v>
      </c>
      <c r="E84" s="295"/>
      <c r="F84" s="64" t="str">
        <f t="shared" si="14"/>
        <v/>
      </c>
      <c r="M84" s="68"/>
      <c r="N84" s="68">
        <f>IF(AND($M$83&gt;0,$E$17&gt;1),1,0)</f>
        <v>0</v>
      </c>
    </row>
    <row r="85" spans="1:14" ht="18" customHeight="1" x14ac:dyDescent="0.25">
      <c r="A85" s="398">
        <f>IF($N85=1,SUM($M$43:M85),0)</f>
        <v>0</v>
      </c>
      <c r="B85" s="398">
        <f>IF($N85=1,SUM($N$83:N85),0)</f>
        <v>0</v>
      </c>
      <c r="C85" s="309">
        <v>30200819</v>
      </c>
      <c r="D85" s="566" t="s">
        <v>1962</v>
      </c>
      <c r="E85" s="295"/>
      <c r="F85" s="64" t="str">
        <f t="shared" si="14"/>
        <v/>
      </c>
      <c r="M85" s="68"/>
      <c r="N85" s="68">
        <f>IF(AND($M$83&gt;0,$E$17&gt;2),1,0)</f>
        <v>0</v>
      </c>
    </row>
    <row r="86" spans="1:14" ht="18" customHeight="1" thickBot="1" x14ac:dyDescent="0.3">
      <c r="A86" s="398">
        <f>IF($N86=1,SUM($M$43:M86),0)</f>
        <v>0</v>
      </c>
      <c r="B86" s="398">
        <f>IF($N86=1,SUM($N$83:N86),0)</f>
        <v>0</v>
      </c>
      <c r="C86" s="309">
        <v>30200819</v>
      </c>
      <c r="D86" s="566" t="s">
        <v>1962</v>
      </c>
      <c r="E86" s="295"/>
      <c r="F86" s="64" t="str">
        <f t="shared" si="14"/>
        <v/>
      </c>
      <c r="M86" s="68"/>
      <c r="N86" s="68">
        <f>IF(AND($M$83&gt;0,$E$17&gt;3),1,0)</f>
        <v>0</v>
      </c>
    </row>
    <row r="87" spans="1:14" ht="18" customHeight="1" x14ac:dyDescent="0.25">
      <c r="A87" s="1078" t="s">
        <v>1944</v>
      </c>
      <c r="B87" s="1079"/>
      <c r="C87" s="1079"/>
      <c r="D87" s="1079"/>
      <c r="E87" s="1080"/>
      <c r="M87" s="68"/>
      <c r="N87" s="68"/>
    </row>
    <row r="88" spans="1:14" ht="18" customHeight="1" x14ac:dyDescent="0.25">
      <c r="A88" s="398">
        <f>IF($N88=1,SUM($M$43:M88),0)</f>
        <v>0</v>
      </c>
      <c r="B88" s="398">
        <f>IF($N88=1,SUM($N$88:N88),0)</f>
        <v>0</v>
      </c>
      <c r="C88" s="309">
        <v>30200805</v>
      </c>
      <c r="D88" s="566" t="s">
        <v>1963</v>
      </c>
      <c r="E88" s="295"/>
      <c r="F88" s="64" t="str">
        <f t="shared" ref="F88:F91" si="15">IF(AND($B88&gt;0,ISBLANK($E88)),"&lt;&lt;&lt;  Provide equipment name or designation for Emission Segment Description.","")</f>
        <v/>
      </c>
      <c r="M88" s="68">
        <f>IF(AND($I$18=TRUE,$K$18=TRUE,$E$18&gt;0),1,0)</f>
        <v>0</v>
      </c>
      <c r="N88" s="68">
        <f>IF(AND($M$88&gt;0,$E$18&gt;0),1,0)</f>
        <v>0</v>
      </c>
    </row>
    <row r="89" spans="1:14" ht="18" customHeight="1" x14ac:dyDescent="0.25">
      <c r="A89" s="398">
        <f>IF($N89=1,SUM($M$43:M89),0)</f>
        <v>0</v>
      </c>
      <c r="B89" s="398">
        <f>IF($N89=1,SUM($N$88:N89),0)</f>
        <v>0</v>
      </c>
      <c r="C89" s="309">
        <v>30200805</v>
      </c>
      <c r="D89" s="566" t="s">
        <v>1963</v>
      </c>
      <c r="E89" s="295"/>
      <c r="F89" s="64" t="str">
        <f t="shared" si="15"/>
        <v/>
      </c>
      <c r="M89" s="68"/>
      <c r="N89" s="68">
        <f>IF(AND($M$88&gt;0,$E$18&gt;1),1,0)</f>
        <v>0</v>
      </c>
    </row>
    <row r="90" spans="1:14" ht="18" customHeight="1" x14ac:dyDescent="0.25">
      <c r="A90" s="398">
        <f>IF($N90=1,SUM($M$43:M90),0)</f>
        <v>0</v>
      </c>
      <c r="B90" s="398">
        <f>IF($N90=1,SUM($N$88:N90),0)</f>
        <v>0</v>
      </c>
      <c r="C90" s="309">
        <v>30200805</v>
      </c>
      <c r="D90" s="566" t="s">
        <v>1963</v>
      </c>
      <c r="E90" s="295"/>
      <c r="F90" s="64" t="str">
        <f t="shared" si="15"/>
        <v/>
      </c>
      <c r="M90" s="68"/>
      <c r="N90" s="68">
        <f>IF(AND($M$88&gt;0,$E$18&gt;2),1,0)</f>
        <v>0</v>
      </c>
    </row>
    <row r="91" spans="1:14" ht="18" customHeight="1" thickBot="1" x14ac:dyDescent="0.3">
      <c r="A91" s="398">
        <f>IF($N91=1,SUM($M$43:M91),0)</f>
        <v>0</v>
      </c>
      <c r="B91" s="398">
        <f>IF($N91=1,SUM($N$88:N91),0)</f>
        <v>0</v>
      </c>
      <c r="C91" s="309">
        <v>30200805</v>
      </c>
      <c r="D91" s="566" t="s">
        <v>1963</v>
      </c>
      <c r="E91" s="295"/>
      <c r="F91" s="64" t="str">
        <f t="shared" si="15"/>
        <v/>
      </c>
      <c r="M91" s="68"/>
      <c r="N91" s="68">
        <f>IF(AND($M$88&gt;0,$E$18&gt;3),1,0)</f>
        <v>0</v>
      </c>
    </row>
    <row r="92" spans="1:14" ht="18" customHeight="1" x14ac:dyDescent="0.25">
      <c r="A92" s="1078" t="s">
        <v>1945</v>
      </c>
      <c r="B92" s="1079"/>
      <c r="C92" s="1079"/>
      <c r="D92" s="1079"/>
      <c r="E92" s="1080"/>
      <c r="M92" s="68"/>
      <c r="N92" s="68"/>
    </row>
    <row r="93" spans="1:14" ht="18" customHeight="1" x14ac:dyDescent="0.25">
      <c r="A93" s="398">
        <f>IF($N93=1,SUM($M$43:M93),0)</f>
        <v>0</v>
      </c>
      <c r="B93" s="398">
        <f>IF($N93=1,SUM($N$93:N93),0)</f>
        <v>0</v>
      </c>
      <c r="C93" s="309">
        <v>30200817</v>
      </c>
      <c r="D93" s="566" t="s">
        <v>1964</v>
      </c>
      <c r="E93" s="295"/>
      <c r="F93" s="64" t="str">
        <f t="shared" ref="F93:F96" si="16">IF(AND($B93&gt;0,ISBLANK($E93)),"&lt;&lt;&lt;  Provide equipment name or designation for Emission Segment Description.","")</f>
        <v/>
      </c>
      <c r="M93" s="68">
        <f>IF(AND($I$19=TRUE,$K$19=TRUE,$E$19&gt;0),1,0)</f>
        <v>0</v>
      </c>
      <c r="N93" s="68">
        <f>IF(AND($M$93&gt;0,$E$19&gt;0),1,0)</f>
        <v>0</v>
      </c>
    </row>
    <row r="94" spans="1:14" ht="18" customHeight="1" x14ac:dyDescent="0.25">
      <c r="A94" s="398">
        <f>IF($N94=1,SUM($M$43:M94),0)</f>
        <v>0</v>
      </c>
      <c r="B94" s="398">
        <f>IF($N94=1,SUM($N$93:N94),0)</f>
        <v>0</v>
      </c>
      <c r="C94" s="309">
        <v>30200817</v>
      </c>
      <c r="D94" s="566" t="s">
        <v>1964</v>
      </c>
      <c r="E94" s="295"/>
      <c r="F94" s="64" t="str">
        <f t="shared" si="16"/>
        <v/>
      </c>
      <c r="M94" s="68"/>
      <c r="N94" s="68">
        <f>IF(AND($M$93&gt;0,$E$19&gt;1),1,0)</f>
        <v>0</v>
      </c>
    </row>
    <row r="95" spans="1:14" ht="18" customHeight="1" x14ac:dyDescent="0.25">
      <c r="A95" s="398">
        <f>IF($N95=1,SUM($M$43:M95),0)</f>
        <v>0</v>
      </c>
      <c r="B95" s="398">
        <f>IF($N95=1,SUM($N$93:N95),0)</f>
        <v>0</v>
      </c>
      <c r="C95" s="309">
        <v>30200817</v>
      </c>
      <c r="D95" s="566" t="s">
        <v>1964</v>
      </c>
      <c r="E95" s="295"/>
      <c r="F95" s="64" t="str">
        <f t="shared" si="16"/>
        <v/>
      </c>
      <c r="M95" s="68"/>
      <c r="N95" s="68">
        <f>IF(AND($M$93&gt;0,$E$19&gt;2),1,0)</f>
        <v>0</v>
      </c>
    </row>
    <row r="96" spans="1:14" ht="18" customHeight="1" thickBot="1" x14ac:dyDescent="0.3">
      <c r="A96" s="398">
        <f>IF($N96=1,SUM($M$43:M96),0)</f>
        <v>0</v>
      </c>
      <c r="B96" s="398">
        <f>IF($N96=1,SUM($N$93:N96),0)</f>
        <v>0</v>
      </c>
      <c r="C96" s="309">
        <v>30200817</v>
      </c>
      <c r="D96" s="566" t="s">
        <v>1964</v>
      </c>
      <c r="E96" s="295"/>
      <c r="F96" s="64" t="str">
        <f t="shared" si="16"/>
        <v/>
      </c>
      <c r="M96" s="68"/>
      <c r="N96" s="68">
        <f>IF(AND($M$93&gt;0,$E$19&gt;3),1,0)</f>
        <v>0</v>
      </c>
    </row>
    <row r="97" spans="1:14" ht="18" customHeight="1" x14ac:dyDescent="0.25">
      <c r="A97" s="1078" t="s">
        <v>1946</v>
      </c>
      <c r="B97" s="1079"/>
      <c r="C97" s="1079"/>
      <c r="D97" s="1079"/>
      <c r="E97" s="1080"/>
      <c r="M97" s="68"/>
      <c r="N97" s="68"/>
    </row>
    <row r="98" spans="1:14" ht="18" customHeight="1" x14ac:dyDescent="0.25">
      <c r="A98" s="398">
        <f>IF($N98=1,SUM($M$43:M98),0)</f>
        <v>0</v>
      </c>
      <c r="B98" s="398">
        <f>IF($N98=1,SUM($N$98:N98),0)</f>
        <v>0</v>
      </c>
      <c r="C98" s="309">
        <v>30200818</v>
      </c>
      <c r="D98" s="566" t="s">
        <v>1965</v>
      </c>
      <c r="E98" s="295"/>
      <c r="F98" s="64" t="str">
        <f t="shared" ref="F98:F101" si="17">IF(AND($B98&gt;0,ISBLANK($E98)),"&lt;&lt;&lt;  Provide equipment name or designation for Emission Segment Description.","")</f>
        <v/>
      </c>
      <c r="M98" s="68">
        <f>IF(AND($I$20=TRUE,$K$20=TRUE,$E$20&gt;0),1,0)</f>
        <v>0</v>
      </c>
      <c r="N98" s="68">
        <f>IF(AND($M$98&gt;0,$E$20&gt;0),1,0)</f>
        <v>0</v>
      </c>
    </row>
    <row r="99" spans="1:14" ht="18" customHeight="1" x14ac:dyDescent="0.25">
      <c r="A99" s="398">
        <f>IF($N99=1,SUM($M$43:M99),0)</f>
        <v>0</v>
      </c>
      <c r="B99" s="398">
        <f>IF($N99=1,SUM($N$98:N99),0)</f>
        <v>0</v>
      </c>
      <c r="C99" s="309">
        <v>30200818</v>
      </c>
      <c r="D99" s="566" t="s">
        <v>1965</v>
      </c>
      <c r="E99" s="295"/>
      <c r="F99" s="64" t="str">
        <f t="shared" si="17"/>
        <v/>
      </c>
      <c r="M99" s="68"/>
      <c r="N99" s="68">
        <f>IF(AND($M$98&gt;0,$E$20&gt;1),1,0)</f>
        <v>0</v>
      </c>
    </row>
    <row r="100" spans="1:14" ht="18" customHeight="1" x14ac:dyDescent="0.25">
      <c r="A100" s="398">
        <f>IF($N100=1,SUM($M$43:M100),0)</f>
        <v>0</v>
      </c>
      <c r="B100" s="398">
        <f>IF($N100=1,SUM($N$98:N100),0)</f>
        <v>0</v>
      </c>
      <c r="C100" s="309">
        <v>30200818</v>
      </c>
      <c r="D100" s="566" t="s">
        <v>1965</v>
      </c>
      <c r="E100" s="295"/>
      <c r="F100" s="64" t="str">
        <f t="shared" si="17"/>
        <v/>
      </c>
      <c r="M100" s="68"/>
      <c r="N100" s="68">
        <f>IF(AND($M$98&gt;0,$E$20&gt;2),1,0)</f>
        <v>0</v>
      </c>
    </row>
    <row r="101" spans="1:14" ht="18" customHeight="1" thickBot="1" x14ac:dyDescent="0.3">
      <c r="A101" s="398">
        <f>IF($N101=1,SUM($M$43:M101),0)</f>
        <v>0</v>
      </c>
      <c r="B101" s="398">
        <f>IF($N101=1,SUM($N$98:N101),0)</f>
        <v>0</v>
      </c>
      <c r="C101" s="309">
        <v>30200818</v>
      </c>
      <c r="D101" s="566" t="s">
        <v>1965</v>
      </c>
      <c r="E101" s="295"/>
      <c r="F101" s="64" t="str">
        <f t="shared" si="17"/>
        <v/>
      </c>
      <c r="M101" s="68"/>
      <c r="N101" s="68">
        <f>IF(AND($M$98&gt;0,$E$20&gt;3),1,0)</f>
        <v>0</v>
      </c>
    </row>
    <row r="102" spans="1:14" ht="18" customHeight="1" x14ac:dyDescent="0.25">
      <c r="A102" s="1078" t="s">
        <v>1947</v>
      </c>
      <c r="B102" s="1079"/>
      <c r="C102" s="1079"/>
      <c r="D102" s="1079"/>
      <c r="E102" s="1080"/>
      <c r="M102" s="68"/>
      <c r="N102" s="68"/>
    </row>
    <row r="103" spans="1:14" ht="18" customHeight="1" x14ac:dyDescent="0.25">
      <c r="A103" s="398">
        <f>IF($N103=1,SUM($M$43:M103),0)</f>
        <v>0</v>
      </c>
      <c r="B103" s="398">
        <f>IF($N103=1,SUM($N$103:N103),0)</f>
        <v>0</v>
      </c>
      <c r="C103" s="309">
        <v>30200816</v>
      </c>
      <c r="D103" s="566" t="s">
        <v>1966</v>
      </c>
      <c r="E103" s="295"/>
      <c r="F103" s="64" t="str">
        <f t="shared" ref="F103:F106" si="18">IF(AND($B103&gt;0,ISBLANK($E103)),"&lt;&lt;&lt;  Provide equipment name or designation for Emission Segment Description.","")</f>
        <v/>
      </c>
      <c r="M103" s="68">
        <f>IF(AND($I$21=TRUE,$K$21=TRUE,$E$21&gt;0),1,0)</f>
        <v>0</v>
      </c>
      <c r="N103" s="68">
        <f>IF(AND($M$103&gt;0,$E$21&gt;0),1,0)</f>
        <v>0</v>
      </c>
    </row>
    <row r="104" spans="1:14" ht="18" customHeight="1" x14ac:dyDescent="0.25">
      <c r="A104" s="398">
        <f>IF($N104=1,SUM($M$43:M104),0)</f>
        <v>0</v>
      </c>
      <c r="B104" s="398">
        <f>IF($N104=1,SUM($N$103:N104),0)</f>
        <v>0</v>
      </c>
      <c r="C104" s="309">
        <v>30200816</v>
      </c>
      <c r="D104" s="566" t="s">
        <v>1966</v>
      </c>
      <c r="E104" s="295"/>
      <c r="F104" s="64" t="str">
        <f t="shared" si="18"/>
        <v/>
      </c>
      <c r="M104" s="68"/>
      <c r="N104" s="68">
        <f>IF(AND($M$103&gt;0,$E$21&gt;1),1,0)</f>
        <v>0</v>
      </c>
    </row>
    <row r="105" spans="1:14" ht="18" customHeight="1" x14ac:dyDescent="0.25">
      <c r="A105" s="398">
        <f>IF($N105=1,SUM($M$43:M105),0)</f>
        <v>0</v>
      </c>
      <c r="B105" s="398">
        <f>IF($N105=1,SUM($N$103:N105),0)</f>
        <v>0</v>
      </c>
      <c r="C105" s="309">
        <v>30200816</v>
      </c>
      <c r="D105" s="566" t="s">
        <v>1966</v>
      </c>
      <c r="E105" s="295"/>
      <c r="F105" s="64" t="str">
        <f t="shared" si="18"/>
        <v/>
      </c>
      <c r="M105" s="68"/>
      <c r="N105" s="68">
        <f>IF(AND($M$103&gt;0,$E$21&gt;2),1,0)</f>
        <v>0</v>
      </c>
    </row>
    <row r="106" spans="1:14" ht="18" customHeight="1" thickBot="1" x14ac:dyDescent="0.3">
      <c r="A106" s="398">
        <f>IF($N106=1,SUM($M$43:M106),0)</f>
        <v>0</v>
      </c>
      <c r="B106" s="398">
        <f>IF($N106=1,SUM($N$103:N106),0)</f>
        <v>0</v>
      </c>
      <c r="C106" s="309">
        <v>30200816</v>
      </c>
      <c r="D106" s="566" t="s">
        <v>1966</v>
      </c>
      <c r="E106" s="295"/>
      <c r="F106" s="64" t="str">
        <f t="shared" si="18"/>
        <v/>
      </c>
      <c r="M106" s="68"/>
      <c r="N106" s="68">
        <f>IF(AND($M$103&gt;0,$E$21&gt;3),1,0)</f>
        <v>0</v>
      </c>
    </row>
    <row r="107" spans="1:14" ht="18" customHeight="1" x14ac:dyDescent="0.25">
      <c r="A107" s="1078" t="s">
        <v>1948</v>
      </c>
      <c r="B107" s="1079"/>
      <c r="C107" s="1079"/>
      <c r="D107" s="1079"/>
      <c r="E107" s="1080"/>
      <c r="M107" s="68"/>
      <c r="N107" s="68"/>
    </row>
    <row r="108" spans="1:14" ht="18" customHeight="1" x14ac:dyDescent="0.25">
      <c r="A108" s="247"/>
      <c r="B108" s="247"/>
      <c r="C108" s="246"/>
      <c r="D108" s="295"/>
      <c r="E108" s="295"/>
      <c r="M108" s="68"/>
      <c r="N108" s="68"/>
    </row>
    <row r="109" spans="1:14" ht="18" customHeight="1" x14ac:dyDescent="0.25">
      <c r="A109" s="247"/>
      <c r="B109" s="247"/>
      <c r="C109" s="246"/>
      <c r="D109" s="295"/>
      <c r="E109" s="295"/>
      <c r="M109" s="68"/>
      <c r="N109" s="68"/>
    </row>
    <row r="110" spans="1:14" ht="18" customHeight="1" x14ac:dyDescent="0.25">
      <c r="A110" s="247"/>
      <c r="B110" s="247"/>
      <c r="C110" s="246"/>
      <c r="D110" s="295"/>
      <c r="E110" s="295"/>
      <c r="M110" s="68"/>
      <c r="N110" s="68"/>
    </row>
    <row r="111" spans="1:14" ht="18" customHeight="1" x14ac:dyDescent="0.25">
      <c r="A111" s="247"/>
      <c r="B111" s="247"/>
      <c r="C111" s="246"/>
      <c r="D111" s="295"/>
      <c r="E111" s="295"/>
      <c r="M111" s="68"/>
      <c r="N111" s="68"/>
    </row>
    <row r="112" spans="1:14" ht="18" customHeight="1" x14ac:dyDescent="0.25">
      <c r="A112" s="247"/>
      <c r="B112" s="247"/>
      <c r="C112" s="246"/>
      <c r="D112" s="295"/>
      <c r="E112" s="295"/>
      <c r="M112" s="68"/>
      <c r="N112" s="68"/>
    </row>
    <row r="113" spans="1:14" ht="18" customHeight="1" x14ac:dyDescent="0.25">
      <c r="A113" s="247"/>
      <c r="B113" s="247"/>
      <c r="C113" s="246"/>
      <c r="D113" s="295"/>
      <c r="E113" s="295"/>
      <c r="M113" s="68"/>
      <c r="N113" s="68"/>
    </row>
    <row r="114" spans="1:14" ht="18" customHeight="1" x14ac:dyDescent="0.25">
      <c r="A114" s="247"/>
      <c r="B114" s="247"/>
      <c r="C114" s="246"/>
      <c r="D114" s="295"/>
      <c r="E114" s="295"/>
      <c r="M114" s="68"/>
      <c r="N114" s="68"/>
    </row>
    <row r="115" spans="1:14" ht="18" customHeight="1" x14ac:dyDescent="0.25">
      <c r="A115" s="247"/>
      <c r="B115" s="247"/>
      <c r="C115" s="246"/>
      <c r="D115" s="295"/>
      <c r="E115" s="295"/>
      <c r="M115" s="68"/>
      <c r="N115" s="68"/>
    </row>
    <row r="116" spans="1:14" ht="18" customHeight="1" x14ac:dyDescent="0.25">
      <c r="A116" s="247"/>
      <c r="B116" s="247"/>
      <c r="C116" s="246"/>
      <c r="D116" s="295"/>
      <c r="E116" s="295"/>
      <c r="M116" s="68"/>
      <c r="N116" s="68"/>
    </row>
    <row r="117" spans="1:14" ht="18" customHeight="1" x14ac:dyDescent="0.25">
      <c r="A117" s="247"/>
      <c r="B117" s="247"/>
      <c r="C117" s="246"/>
      <c r="D117" s="295"/>
      <c r="E117" s="295"/>
      <c r="M117" s="68"/>
      <c r="N117" s="68"/>
    </row>
    <row r="118" spans="1:14" ht="18" customHeight="1" x14ac:dyDescent="0.25">
      <c r="A118" s="247"/>
      <c r="B118" s="247"/>
      <c r="C118" s="246"/>
      <c r="D118" s="295"/>
      <c r="E118" s="295"/>
      <c r="M118" s="68"/>
      <c r="N118" s="68"/>
    </row>
    <row r="119" spans="1:14" ht="18" customHeight="1" x14ac:dyDescent="0.25">
      <c r="A119" s="247"/>
      <c r="B119" s="247"/>
      <c r="C119" s="246"/>
      <c r="D119" s="295"/>
      <c r="E119" s="295"/>
      <c r="M119" s="68"/>
      <c r="N119" s="68"/>
    </row>
    <row r="120" spans="1:14" ht="18" customHeight="1" x14ac:dyDescent="0.25">
      <c r="A120" s="247"/>
      <c r="B120" s="247"/>
      <c r="C120" s="246"/>
      <c r="D120" s="295"/>
      <c r="E120" s="295"/>
      <c r="M120" s="68"/>
      <c r="N120" s="68"/>
    </row>
    <row r="121" spans="1:14" ht="18" customHeight="1" x14ac:dyDescent="0.25">
      <c r="A121" s="247"/>
      <c r="B121" s="247"/>
      <c r="C121" s="246"/>
      <c r="D121" s="295"/>
      <c r="E121" s="295"/>
      <c r="M121" s="68"/>
      <c r="N121" s="68"/>
    </row>
    <row r="122" spans="1:14" ht="18" customHeight="1" x14ac:dyDescent="0.25">
      <c r="A122" s="247"/>
      <c r="B122" s="247"/>
      <c r="C122" s="246"/>
      <c r="D122" s="295"/>
      <c r="E122" s="295"/>
      <c r="M122" s="68"/>
      <c r="N122" s="68"/>
    </row>
    <row r="123" spans="1:14" ht="18" customHeight="1" x14ac:dyDescent="0.25">
      <c r="A123" s="247"/>
      <c r="B123" s="247"/>
      <c r="C123" s="246"/>
      <c r="D123" s="295"/>
      <c r="E123" s="295"/>
      <c r="M123" s="68"/>
      <c r="N123" s="68"/>
    </row>
    <row r="124" spans="1:14" ht="18" customHeight="1" x14ac:dyDescent="0.25">
      <c r="A124" s="247"/>
      <c r="B124" s="247"/>
      <c r="C124" s="246"/>
      <c r="D124" s="295"/>
      <c r="E124" s="295"/>
      <c r="M124" s="68"/>
      <c r="N124" s="68"/>
    </row>
    <row r="125" spans="1:14" ht="18" customHeight="1" x14ac:dyDescent="0.25">
      <c r="A125" s="247"/>
      <c r="B125" s="247"/>
      <c r="C125" s="246"/>
      <c r="D125" s="295"/>
      <c r="E125" s="295"/>
      <c r="M125" s="68"/>
      <c r="N125" s="68"/>
    </row>
    <row r="126" spans="1:14" ht="18" customHeight="1" x14ac:dyDescent="0.25">
      <c r="A126" s="247"/>
      <c r="B126" s="247"/>
      <c r="C126" s="246"/>
      <c r="D126" s="295"/>
      <c r="E126" s="295"/>
      <c r="M126" s="68"/>
      <c r="N126" s="68"/>
    </row>
    <row r="127" spans="1:14" ht="18" customHeight="1" x14ac:dyDescent="0.25">
      <c r="A127" s="247"/>
      <c r="B127" s="247"/>
      <c r="C127" s="246"/>
      <c r="D127" s="295"/>
      <c r="E127" s="295"/>
      <c r="M127" s="68"/>
      <c r="N127" s="68"/>
    </row>
    <row r="128" spans="1:14" ht="18" customHeight="1" x14ac:dyDescent="0.25">
      <c r="A128" s="247"/>
      <c r="B128" s="247"/>
      <c r="C128" s="246"/>
      <c r="D128" s="295"/>
      <c r="E128" s="295"/>
      <c r="M128" s="68"/>
      <c r="N128" s="68"/>
    </row>
    <row r="129" spans="1:14" ht="18" customHeight="1" x14ac:dyDescent="0.25">
      <c r="A129" s="247"/>
      <c r="B129" s="247"/>
      <c r="C129" s="246"/>
      <c r="D129" s="295"/>
      <c r="E129" s="295"/>
      <c r="M129" s="68"/>
      <c r="N129" s="68"/>
    </row>
    <row r="130" spans="1:14" ht="18" customHeight="1" thickBot="1" x14ac:dyDescent="0.3">
      <c r="A130" s="249"/>
      <c r="B130" s="249"/>
      <c r="C130" s="248"/>
      <c r="D130" s="299"/>
      <c r="E130" s="299"/>
      <c r="M130" s="68"/>
      <c r="N130" s="68"/>
    </row>
    <row r="131" spans="1:14" ht="18" customHeight="1" x14ac:dyDescent="0.25"/>
  </sheetData>
  <sheetProtection algorithmName="SHA-512" hashValue="9TlYwmS7fZTMndSZK0iooraoqThUdR+qMUFs5ZOz5c+cSY1gZl6EQxpndgZ96IwRmCNqB1QgnGXNGxkwAAJHfQ==" saltValue="p0rxhOKzIvJDYCmHa6MW9Q==" spinCount="100000" sheet="1" objects="1" scenarios="1"/>
  <mergeCells count="50">
    <mergeCell ref="F66:L67"/>
    <mergeCell ref="A92:E92"/>
    <mergeCell ref="A97:E97"/>
    <mergeCell ref="A102:E102"/>
    <mergeCell ref="A107:E107"/>
    <mergeCell ref="A66:E66"/>
    <mergeCell ref="A68:E68"/>
    <mergeCell ref="A73:E73"/>
    <mergeCell ref="A82:E82"/>
    <mergeCell ref="A87:E87"/>
    <mergeCell ref="A23:E23"/>
    <mergeCell ref="A42:E42"/>
    <mergeCell ref="A49:E49"/>
    <mergeCell ref="A56:E56"/>
    <mergeCell ref="A63:E63"/>
    <mergeCell ref="A28:E28"/>
    <mergeCell ref="A25:E25"/>
    <mergeCell ref="A24:E24"/>
    <mergeCell ref="A36:E36"/>
    <mergeCell ref="A35:E35"/>
    <mergeCell ref="A38:E38"/>
    <mergeCell ref="A39:E39"/>
    <mergeCell ref="A40:B40"/>
    <mergeCell ref="E40:E41"/>
    <mergeCell ref="D40:D41"/>
    <mergeCell ref="C40:C41"/>
    <mergeCell ref="B15:D15"/>
    <mergeCell ref="B11:D11"/>
    <mergeCell ref="B12:D12"/>
    <mergeCell ref="B17:D17"/>
    <mergeCell ref="B20:D20"/>
    <mergeCell ref="B19:D19"/>
    <mergeCell ref="B14:D14"/>
    <mergeCell ref="B16:D16"/>
    <mergeCell ref="A2:E2"/>
    <mergeCell ref="A1:E1"/>
    <mergeCell ref="A26:B26"/>
    <mergeCell ref="C26:C27"/>
    <mergeCell ref="D26:D27"/>
    <mergeCell ref="E26:E27"/>
    <mergeCell ref="B3:D3"/>
    <mergeCell ref="B6:D6"/>
    <mergeCell ref="B5:D5"/>
    <mergeCell ref="B4:D4"/>
    <mergeCell ref="B9:D9"/>
    <mergeCell ref="B8:D8"/>
    <mergeCell ref="B7:D7"/>
    <mergeCell ref="B21:D21"/>
    <mergeCell ref="B10:D10"/>
    <mergeCell ref="B18:D18"/>
  </mergeCells>
  <conditionalFormatting sqref="A16:E21">
    <cfRule type="expression" dxfId="279" priority="58">
      <formula>AND($J$15=TRUE,$K$15=TRUE)</formula>
    </cfRule>
  </conditionalFormatting>
  <conditionalFormatting sqref="A43:E106">
    <cfRule type="expression" dxfId="278" priority="3">
      <formula>$A43=0</formula>
    </cfRule>
  </conditionalFormatting>
  <conditionalFormatting sqref="A108:E130">
    <cfRule type="expression" dxfId="277" priority="20">
      <formula>AND(NOT(ISBLANK($A108)),ISBLANK(A108))</formula>
    </cfRule>
  </conditionalFormatting>
  <conditionalFormatting sqref="B29:B34">
    <cfRule type="expression" dxfId="276" priority="66">
      <formula>AND(NOT(ISBLANK(A29)),ISBLANK(B29))</formula>
    </cfRule>
  </conditionalFormatting>
  <conditionalFormatting sqref="C29:C34">
    <cfRule type="expression" dxfId="275" priority="62">
      <formula>AND(NOT(ISBLANK(A29)),NOT(ISBLANK(B29)),ISBLANK(C29))</formula>
    </cfRule>
    <cfRule type="expression" dxfId="274" priority="65">
      <formula>C29&gt;99999999</formula>
    </cfRule>
  </conditionalFormatting>
  <conditionalFormatting sqref="C43:C130">
    <cfRule type="expression" dxfId="273" priority="80">
      <formula>C43&gt;99999999</formula>
    </cfRule>
  </conditionalFormatting>
  <conditionalFormatting sqref="D29:D34">
    <cfRule type="expression" dxfId="272" priority="64">
      <formula>AND(NOT(ISBLANK(A29)),NOT(ISBLANK(B29)),NOT(ISBLANK(C29)),ISBLANK(D29))</formula>
    </cfRule>
  </conditionalFormatting>
  <conditionalFormatting sqref="D43:D106">
    <cfRule type="expression" dxfId="271" priority="31">
      <formula>AND($A43&gt;0,ISBLANK($D43))</formula>
    </cfRule>
  </conditionalFormatting>
  <conditionalFormatting sqref="E3:E6">
    <cfRule type="expression" dxfId="270" priority="61">
      <formula>ISBLANK($E3)</formula>
    </cfRule>
  </conditionalFormatting>
  <conditionalFormatting sqref="E13">
    <cfRule type="expression" dxfId="269" priority="1">
      <formula>AND($J$12=TRUE,$K$12=TRUE)</formula>
    </cfRule>
    <cfRule type="expression" dxfId="268" priority="2">
      <formula>AND($I$12=TRUE,$K$12=TRUE,ISBLANK($E$13))</formula>
    </cfRule>
  </conditionalFormatting>
  <conditionalFormatting sqref="E14:E15 E7:E12">
    <cfRule type="expression" dxfId="267" priority="38">
      <formula>AND($J7=TRUE,$K7=TRUE)</formula>
    </cfRule>
  </conditionalFormatting>
  <conditionalFormatting sqref="E15">
    <cfRule type="expression" dxfId="266" priority="19">
      <formula>AND($I$15=TRUE,$K$15=TRUE)</formula>
    </cfRule>
  </conditionalFormatting>
  <conditionalFormatting sqref="E16:E21">
    <cfRule type="expression" dxfId="265" priority="6">
      <formula>AND($J16=TRUE,$K16=TRUE)</formula>
    </cfRule>
  </conditionalFormatting>
  <conditionalFormatting sqref="E17:E21 E7:E12 E14:E15">
    <cfRule type="expression" dxfId="264" priority="60">
      <formula>AND($I7=TRUE,$K7=TRUE,ISBLANK($E7))</formula>
    </cfRule>
  </conditionalFormatting>
  <conditionalFormatting sqref="E29:E34">
    <cfRule type="expression" dxfId="263" priority="63">
      <formula>AND(NOT(ISBLANK(A29)),NOT(ISBLANK(B29)),NOT(ISBLANK(C29)),NOT(ISBLANK(D29)),ISBLANK(E29))</formula>
    </cfRule>
  </conditionalFormatting>
  <conditionalFormatting sqref="E43:E106">
    <cfRule type="expression" dxfId="262" priority="46">
      <formula>AND($A43&gt;0,ISBLANK($E43))</formula>
    </cfRule>
  </conditionalFormatting>
  <conditionalFormatting sqref="F7:F21">
    <cfRule type="expression" dxfId="261" priority="7">
      <formula>AND($I7=TRUE,$J7=TRUE)</formula>
    </cfRule>
  </conditionalFormatting>
  <conditionalFormatting sqref="F66:L67">
    <cfRule type="expression" dxfId="260" priority="4">
      <formula>NOT($F$66="")</formula>
    </cfRule>
  </conditionalFormatting>
  <dataValidations count="7">
    <dataValidation type="list" allowBlank="1" showInputMessage="1" showErrorMessage="1" errorTitle="Invalid Entry" error="Select an entry from the list." promptTitle="Haul Road Type" prompt="Select what type of roads your facility has." sqref="E6" xr:uid="{00000000-0002-0000-0300-000000000000}">
      <formula1>$O$3:$O$5</formula1>
    </dataValidation>
    <dataValidation type="list" allowBlank="1" showInputMessage="1" showErrorMessage="1" errorTitle="Invalid Entry" error="Select a number from the list." promptTitle="Enter Number" prompt="Select a number from the list." sqref="E3:E5" xr:uid="{00000000-0002-0000-0300-000001000000}">
      <formula1>$N$3:$N$8</formula1>
    </dataValidation>
    <dataValidation type="list" allowBlank="1" showInputMessage="1" showErrorMessage="1" errorTitle="Invalid Entry" error="Select a number from the list." promptTitle="Enter Number" prompt="Select a number from the list." sqref="E17:E21 E11:E12" xr:uid="{00000000-0002-0000-0300-000002000000}">
      <formula1>$N$3:$N$6</formula1>
    </dataValidation>
    <dataValidation type="list" allowBlank="1" showInputMessage="1" showErrorMessage="1" errorTitle="Invalid Entry" error="Select a receiving type from the list." promptTitle="Select Receiving Type" prompt="Select the type of receiving performed.  If more than one type of receiving is performed, select the predominant activity." sqref="D43:D48" xr:uid="{00000000-0002-0000-0300-000003000000}">
      <formula1>$S$3:$S$5</formula1>
    </dataValidation>
    <dataValidation type="list" allowBlank="1" showInputMessage="1" showErrorMessage="1" errorTitle="Invalid Entry" error="Select a shipping type from the list." promptTitle="Select Shipping Type" prompt="Select the type of shipping performed.  If more than one type of shipping is performed, select the predominant activity." sqref="D57:D62" xr:uid="{00000000-0002-0000-0300-000004000000}">
      <formula1>$S$7:$S$8</formula1>
    </dataValidation>
    <dataValidation type="list" allowBlank="1" showInputMessage="1" showErrorMessage="1" errorTitle="Invalid Entry" error="Select a dryer type from the list." promptTitle="Select Dryer Type" prompt="Select the type of dryer used." sqref="D80 D78 D74 D76" xr:uid="{00000000-0002-0000-0300-000005000000}">
      <formula1>$S$10:$S$11</formula1>
    </dataValidation>
    <dataValidation type="list" allowBlank="1" showInputMessage="1" showErrorMessage="1" errorTitle="Invalid Entry" error="Select a fuel type from the list." promptTitle="Select Fuel" prompt="Select a fuel type from the list." sqref="E13" xr:uid="{00000000-0002-0000-0300-000006000000}">
      <formula1>$O$7:$O$8</formula1>
    </dataValidation>
  </dataValidations>
  <printOptions horizontalCentered="1"/>
  <pageMargins left="0.5" right="0.5" top="0.5" bottom="0.5" header="0.3" footer="0.3"/>
  <pageSetup scale="73" fitToHeight="0" orientation="landscape" r:id="rId1"/>
  <headerFooter>
    <oddFooter>&amp;LRev. 1/2015&amp;C&amp;A&amp;RPage &amp;P</oddFooter>
  </headerFooter>
  <rowBreaks count="2" manualBreakCount="2">
    <brk id="67" max="4" man="1"/>
    <brk id="96" max="4" man="1"/>
  </rowBreaks>
  <ignoredErrors>
    <ignoredError sqref="C78 C80 C76 C75 C77 C81 C79 A75:A81 B75:B80" formula="1"/>
    <ignoredError sqref="E67"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4819" r:id="rId4" name="Check Box 3">
              <controlPr defaultSize="0" autoFill="0" autoLine="0" autoPict="0">
                <anchor moveWithCells="1">
                  <from>
                    <xdr:col>3</xdr:col>
                    <xdr:colOff>2619375</xdr:colOff>
                    <xdr:row>6</xdr:row>
                    <xdr:rowOff>38100</xdr:rowOff>
                  </from>
                  <to>
                    <xdr:col>3</xdr:col>
                    <xdr:colOff>3171825</xdr:colOff>
                    <xdr:row>6</xdr:row>
                    <xdr:rowOff>171450</xdr:rowOff>
                  </to>
                </anchor>
              </controlPr>
            </control>
          </mc:Choice>
        </mc:AlternateContent>
        <mc:AlternateContent xmlns:mc="http://schemas.openxmlformats.org/markup-compatibility/2006">
          <mc:Choice Requires="x14">
            <control shapeId="34820" r:id="rId5" name="Check Box 4">
              <controlPr defaultSize="0" autoFill="0" autoLine="0" autoPict="0">
                <anchor moveWithCells="1">
                  <from>
                    <xdr:col>3</xdr:col>
                    <xdr:colOff>3190875</xdr:colOff>
                    <xdr:row>6</xdr:row>
                    <xdr:rowOff>38100</xdr:rowOff>
                  </from>
                  <to>
                    <xdr:col>3</xdr:col>
                    <xdr:colOff>3810000</xdr:colOff>
                    <xdr:row>6</xdr:row>
                    <xdr:rowOff>171450</xdr:rowOff>
                  </to>
                </anchor>
              </controlPr>
            </control>
          </mc:Choice>
        </mc:AlternateContent>
        <mc:AlternateContent xmlns:mc="http://schemas.openxmlformats.org/markup-compatibility/2006">
          <mc:Choice Requires="x14">
            <control shapeId="34821" r:id="rId6" name="Check Box 5">
              <controlPr defaultSize="0" autoFill="0" autoLine="0" autoPict="0">
                <anchor moveWithCells="1">
                  <from>
                    <xdr:col>3</xdr:col>
                    <xdr:colOff>2619375</xdr:colOff>
                    <xdr:row>7</xdr:row>
                    <xdr:rowOff>38100</xdr:rowOff>
                  </from>
                  <to>
                    <xdr:col>3</xdr:col>
                    <xdr:colOff>3171825</xdr:colOff>
                    <xdr:row>7</xdr:row>
                    <xdr:rowOff>171450</xdr:rowOff>
                  </to>
                </anchor>
              </controlPr>
            </control>
          </mc:Choice>
        </mc:AlternateContent>
        <mc:AlternateContent xmlns:mc="http://schemas.openxmlformats.org/markup-compatibility/2006">
          <mc:Choice Requires="x14">
            <control shapeId="34822" r:id="rId7" name="Check Box 6">
              <controlPr defaultSize="0" autoFill="0" autoLine="0" autoPict="0">
                <anchor moveWithCells="1">
                  <from>
                    <xdr:col>3</xdr:col>
                    <xdr:colOff>3190875</xdr:colOff>
                    <xdr:row>7</xdr:row>
                    <xdr:rowOff>38100</xdr:rowOff>
                  </from>
                  <to>
                    <xdr:col>3</xdr:col>
                    <xdr:colOff>3810000</xdr:colOff>
                    <xdr:row>7</xdr:row>
                    <xdr:rowOff>171450</xdr:rowOff>
                  </to>
                </anchor>
              </controlPr>
            </control>
          </mc:Choice>
        </mc:AlternateContent>
        <mc:AlternateContent xmlns:mc="http://schemas.openxmlformats.org/markup-compatibility/2006">
          <mc:Choice Requires="x14">
            <control shapeId="34823" r:id="rId8" name="Check Box 7">
              <controlPr defaultSize="0" autoFill="0" autoLine="0" autoPict="0">
                <anchor moveWithCells="1">
                  <from>
                    <xdr:col>3</xdr:col>
                    <xdr:colOff>2619375</xdr:colOff>
                    <xdr:row>8</xdr:row>
                    <xdr:rowOff>38100</xdr:rowOff>
                  </from>
                  <to>
                    <xdr:col>3</xdr:col>
                    <xdr:colOff>3171825</xdr:colOff>
                    <xdr:row>8</xdr:row>
                    <xdr:rowOff>171450</xdr:rowOff>
                  </to>
                </anchor>
              </controlPr>
            </control>
          </mc:Choice>
        </mc:AlternateContent>
        <mc:AlternateContent xmlns:mc="http://schemas.openxmlformats.org/markup-compatibility/2006">
          <mc:Choice Requires="x14">
            <control shapeId="34824" r:id="rId9" name="Check Box 8">
              <controlPr defaultSize="0" autoFill="0" autoLine="0" autoPict="0">
                <anchor moveWithCells="1">
                  <from>
                    <xdr:col>3</xdr:col>
                    <xdr:colOff>3190875</xdr:colOff>
                    <xdr:row>8</xdr:row>
                    <xdr:rowOff>38100</xdr:rowOff>
                  </from>
                  <to>
                    <xdr:col>3</xdr:col>
                    <xdr:colOff>3810000</xdr:colOff>
                    <xdr:row>8</xdr:row>
                    <xdr:rowOff>171450</xdr:rowOff>
                  </to>
                </anchor>
              </controlPr>
            </control>
          </mc:Choice>
        </mc:AlternateContent>
        <mc:AlternateContent xmlns:mc="http://schemas.openxmlformats.org/markup-compatibility/2006">
          <mc:Choice Requires="x14">
            <control shapeId="34827" r:id="rId10" name="Check Box 11">
              <controlPr defaultSize="0" autoFill="0" autoLine="0" autoPict="0">
                <anchor moveWithCells="1">
                  <from>
                    <xdr:col>3</xdr:col>
                    <xdr:colOff>2619375</xdr:colOff>
                    <xdr:row>9</xdr:row>
                    <xdr:rowOff>38100</xdr:rowOff>
                  </from>
                  <to>
                    <xdr:col>3</xdr:col>
                    <xdr:colOff>3171825</xdr:colOff>
                    <xdr:row>9</xdr:row>
                    <xdr:rowOff>171450</xdr:rowOff>
                  </to>
                </anchor>
              </controlPr>
            </control>
          </mc:Choice>
        </mc:AlternateContent>
        <mc:AlternateContent xmlns:mc="http://schemas.openxmlformats.org/markup-compatibility/2006">
          <mc:Choice Requires="x14">
            <control shapeId="34828" r:id="rId11" name="Check Box 12">
              <controlPr defaultSize="0" autoFill="0" autoLine="0" autoPict="0">
                <anchor moveWithCells="1">
                  <from>
                    <xdr:col>3</xdr:col>
                    <xdr:colOff>3190875</xdr:colOff>
                    <xdr:row>9</xdr:row>
                    <xdr:rowOff>38100</xdr:rowOff>
                  </from>
                  <to>
                    <xdr:col>3</xdr:col>
                    <xdr:colOff>3810000</xdr:colOff>
                    <xdr:row>9</xdr:row>
                    <xdr:rowOff>171450</xdr:rowOff>
                  </to>
                </anchor>
              </controlPr>
            </control>
          </mc:Choice>
        </mc:AlternateContent>
        <mc:AlternateContent xmlns:mc="http://schemas.openxmlformats.org/markup-compatibility/2006">
          <mc:Choice Requires="x14">
            <control shapeId="34829" r:id="rId12" name="Check Box 13">
              <controlPr defaultSize="0" autoFill="0" autoLine="0" autoPict="0">
                <anchor moveWithCells="1">
                  <from>
                    <xdr:col>3</xdr:col>
                    <xdr:colOff>2619375</xdr:colOff>
                    <xdr:row>10</xdr:row>
                    <xdr:rowOff>38100</xdr:rowOff>
                  </from>
                  <to>
                    <xdr:col>3</xdr:col>
                    <xdr:colOff>3171825</xdr:colOff>
                    <xdr:row>10</xdr:row>
                    <xdr:rowOff>171450</xdr:rowOff>
                  </to>
                </anchor>
              </controlPr>
            </control>
          </mc:Choice>
        </mc:AlternateContent>
        <mc:AlternateContent xmlns:mc="http://schemas.openxmlformats.org/markup-compatibility/2006">
          <mc:Choice Requires="x14">
            <control shapeId="34830" r:id="rId13" name="Check Box 14">
              <controlPr defaultSize="0" autoFill="0" autoLine="0" autoPict="0">
                <anchor moveWithCells="1">
                  <from>
                    <xdr:col>3</xdr:col>
                    <xdr:colOff>3190875</xdr:colOff>
                    <xdr:row>10</xdr:row>
                    <xdr:rowOff>38100</xdr:rowOff>
                  </from>
                  <to>
                    <xdr:col>3</xdr:col>
                    <xdr:colOff>3810000</xdr:colOff>
                    <xdr:row>10</xdr:row>
                    <xdr:rowOff>171450</xdr:rowOff>
                  </to>
                </anchor>
              </controlPr>
            </control>
          </mc:Choice>
        </mc:AlternateContent>
        <mc:AlternateContent xmlns:mc="http://schemas.openxmlformats.org/markup-compatibility/2006">
          <mc:Choice Requires="x14">
            <control shapeId="34831" r:id="rId14" name="Check Box 15">
              <controlPr defaultSize="0" autoFill="0" autoLine="0" autoPict="0">
                <anchor moveWithCells="1">
                  <from>
                    <xdr:col>3</xdr:col>
                    <xdr:colOff>2619375</xdr:colOff>
                    <xdr:row>11</xdr:row>
                    <xdr:rowOff>38100</xdr:rowOff>
                  </from>
                  <to>
                    <xdr:col>3</xdr:col>
                    <xdr:colOff>3171825</xdr:colOff>
                    <xdr:row>11</xdr:row>
                    <xdr:rowOff>171450</xdr:rowOff>
                  </to>
                </anchor>
              </controlPr>
            </control>
          </mc:Choice>
        </mc:AlternateContent>
        <mc:AlternateContent xmlns:mc="http://schemas.openxmlformats.org/markup-compatibility/2006">
          <mc:Choice Requires="x14">
            <control shapeId="34832" r:id="rId15" name="Check Box 16">
              <controlPr defaultSize="0" autoFill="0" autoLine="0" autoPict="0">
                <anchor moveWithCells="1">
                  <from>
                    <xdr:col>3</xdr:col>
                    <xdr:colOff>3190875</xdr:colOff>
                    <xdr:row>11</xdr:row>
                    <xdr:rowOff>38100</xdr:rowOff>
                  </from>
                  <to>
                    <xdr:col>3</xdr:col>
                    <xdr:colOff>3810000</xdr:colOff>
                    <xdr:row>11</xdr:row>
                    <xdr:rowOff>171450</xdr:rowOff>
                  </to>
                </anchor>
              </controlPr>
            </control>
          </mc:Choice>
        </mc:AlternateContent>
        <mc:AlternateContent xmlns:mc="http://schemas.openxmlformats.org/markup-compatibility/2006">
          <mc:Choice Requires="x14">
            <control shapeId="34833" r:id="rId16" name="Check Box 17">
              <controlPr defaultSize="0" autoFill="0" autoLine="0" autoPict="0">
                <anchor moveWithCells="1">
                  <from>
                    <xdr:col>3</xdr:col>
                    <xdr:colOff>2619375</xdr:colOff>
                    <xdr:row>14</xdr:row>
                    <xdr:rowOff>38100</xdr:rowOff>
                  </from>
                  <to>
                    <xdr:col>3</xdr:col>
                    <xdr:colOff>3171825</xdr:colOff>
                    <xdr:row>14</xdr:row>
                    <xdr:rowOff>171450</xdr:rowOff>
                  </to>
                </anchor>
              </controlPr>
            </control>
          </mc:Choice>
        </mc:AlternateContent>
        <mc:AlternateContent xmlns:mc="http://schemas.openxmlformats.org/markup-compatibility/2006">
          <mc:Choice Requires="x14">
            <control shapeId="34834" r:id="rId17" name="Check Box 18">
              <controlPr defaultSize="0" autoFill="0" autoLine="0" autoPict="0">
                <anchor moveWithCells="1">
                  <from>
                    <xdr:col>3</xdr:col>
                    <xdr:colOff>3190875</xdr:colOff>
                    <xdr:row>14</xdr:row>
                    <xdr:rowOff>38100</xdr:rowOff>
                  </from>
                  <to>
                    <xdr:col>3</xdr:col>
                    <xdr:colOff>3810000</xdr:colOff>
                    <xdr:row>14</xdr:row>
                    <xdr:rowOff>171450</xdr:rowOff>
                  </to>
                </anchor>
              </controlPr>
            </control>
          </mc:Choice>
        </mc:AlternateContent>
        <mc:AlternateContent xmlns:mc="http://schemas.openxmlformats.org/markup-compatibility/2006">
          <mc:Choice Requires="x14">
            <control shapeId="34835" r:id="rId18" name="Check Box 19">
              <controlPr defaultSize="0" autoFill="0" autoLine="0" autoPict="0">
                <anchor moveWithCells="1">
                  <from>
                    <xdr:col>3</xdr:col>
                    <xdr:colOff>2619375</xdr:colOff>
                    <xdr:row>16</xdr:row>
                    <xdr:rowOff>38100</xdr:rowOff>
                  </from>
                  <to>
                    <xdr:col>3</xdr:col>
                    <xdr:colOff>3171825</xdr:colOff>
                    <xdr:row>16</xdr:row>
                    <xdr:rowOff>171450</xdr:rowOff>
                  </to>
                </anchor>
              </controlPr>
            </control>
          </mc:Choice>
        </mc:AlternateContent>
        <mc:AlternateContent xmlns:mc="http://schemas.openxmlformats.org/markup-compatibility/2006">
          <mc:Choice Requires="x14">
            <control shapeId="34836" r:id="rId19" name="Check Box 20">
              <controlPr defaultSize="0" autoFill="0" autoLine="0" autoPict="0">
                <anchor moveWithCells="1">
                  <from>
                    <xdr:col>3</xdr:col>
                    <xdr:colOff>3190875</xdr:colOff>
                    <xdr:row>16</xdr:row>
                    <xdr:rowOff>38100</xdr:rowOff>
                  </from>
                  <to>
                    <xdr:col>3</xdr:col>
                    <xdr:colOff>3810000</xdr:colOff>
                    <xdr:row>16</xdr:row>
                    <xdr:rowOff>171450</xdr:rowOff>
                  </to>
                </anchor>
              </controlPr>
            </control>
          </mc:Choice>
        </mc:AlternateContent>
        <mc:AlternateContent xmlns:mc="http://schemas.openxmlformats.org/markup-compatibility/2006">
          <mc:Choice Requires="x14">
            <control shapeId="34837" r:id="rId20" name="Check Box 21">
              <controlPr defaultSize="0" autoFill="0" autoLine="0" autoPict="0">
                <anchor moveWithCells="1">
                  <from>
                    <xdr:col>3</xdr:col>
                    <xdr:colOff>2619375</xdr:colOff>
                    <xdr:row>17</xdr:row>
                    <xdr:rowOff>38100</xdr:rowOff>
                  </from>
                  <to>
                    <xdr:col>3</xdr:col>
                    <xdr:colOff>3171825</xdr:colOff>
                    <xdr:row>17</xdr:row>
                    <xdr:rowOff>171450</xdr:rowOff>
                  </to>
                </anchor>
              </controlPr>
            </control>
          </mc:Choice>
        </mc:AlternateContent>
        <mc:AlternateContent xmlns:mc="http://schemas.openxmlformats.org/markup-compatibility/2006">
          <mc:Choice Requires="x14">
            <control shapeId="34838" r:id="rId21" name="Check Box 22">
              <controlPr defaultSize="0" autoFill="0" autoLine="0" autoPict="0">
                <anchor moveWithCells="1">
                  <from>
                    <xdr:col>3</xdr:col>
                    <xdr:colOff>3190875</xdr:colOff>
                    <xdr:row>17</xdr:row>
                    <xdr:rowOff>38100</xdr:rowOff>
                  </from>
                  <to>
                    <xdr:col>3</xdr:col>
                    <xdr:colOff>3810000</xdr:colOff>
                    <xdr:row>17</xdr:row>
                    <xdr:rowOff>171450</xdr:rowOff>
                  </to>
                </anchor>
              </controlPr>
            </control>
          </mc:Choice>
        </mc:AlternateContent>
        <mc:AlternateContent xmlns:mc="http://schemas.openxmlformats.org/markup-compatibility/2006">
          <mc:Choice Requires="x14">
            <control shapeId="34839" r:id="rId22" name="Check Box 23">
              <controlPr defaultSize="0" autoFill="0" autoLine="0" autoPict="0">
                <anchor moveWithCells="1">
                  <from>
                    <xdr:col>3</xdr:col>
                    <xdr:colOff>2619375</xdr:colOff>
                    <xdr:row>18</xdr:row>
                    <xdr:rowOff>38100</xdr:rowOff>
                  </from>
                  <to>
                    <xdr:col>3</xdr:col>
                    <xdr:colOff>3171825</xdr:colOff>
                    <xdr:row>18</xdr:row>
                    <xdr:rowOff>171450</xdr:rowOff>
                  </to>
                </anchor>
              </controlPr>
            </control>
          </mc:Choice>
        </mc:AlternateContent>
        <mc:AlternateContent xmlns:mc="http://schemas.openxmlformats.org/markup-compatibility/2006">
          <mc:Choice Requires="x14">
            <control shapeId="34840" r:id="rId23" name="Check Box 24">
              <controlPr defaultSize="0" autoFill="0" autoLine="0" autoPict="0">
                <anchor moveWithCells="1">
                  <from>
                    <xdr:col>3</xdr:col>
                    <xdr:colOff>3190875</xdr:colOff>
                    <xdr:row>18</xdr:row>
                    <xdr:rowOff>38100</xdr:rowOff>
                  </from>
                  <to>
                    <xdr:col>3</xdr:col>
                    <xdr:colOff>3810000</xdr:colOff>
                    <xdr:row>18</xdr:row>
                    <xdr:rowOff>171450</xdr:rowOff>
                  </to>
                </anchor>
              </controlPr>
            </control>
          </mc:Choice>
        </mc:AlternateContent>
        <mc:AlternateContent xmlns:mc="http://schemas.openxmlformats.org/markup-compatibility/2006">
          <mc:Choice Requires="x14">
            <control shapeId="34841" r:id="rId24" name="Check Box 25">
              <controlPr defaultSize="0" autoFill="0" autoLine="0" autoPict="0">
                <anchor moveWithCells="1">
                  <from>
                    <xdr:col>3</xdr:col>
                    <xdr:colOff>2619375</xdr:colOff>
                    <xdr:row>19</xdr:row>
                    <xdr:rowOff>38100</xdr:rowOff>
                  </from>
                  <to>
                    <xdr:col>3</xdr:col>
                    <xdr:colOff>3171825</xdr:colOff>
                    <xdr:row>19</xdr:row>
                    <xdr:rowOff>171450</xdr:rowOff>
                  </to>
                </anchor>
              </controlPr>
            </control>
          </mc:Choice>
        </mc:AlternateContent>
        <mc:AlternateContent xmlns:mc="http://schemas.openxmlformats.org/markup-compatibility/2006">
          <mc:Choice Requires="x14">
            <control shapeId="34842" r:id="rId25" name="Check Box 26">
              <controlPr defaultSize="0" autoFill="0" autoLine="0" autoPict="0">
                <anchor moveWithCells="1">
                  <from>
                    <xdr:col>3</xdr:col>
                    <xdr:colOff>3190875</xdr:colOff>
                    <xdr:row>19</xdr:row>
                    <xdr:rowOff>38100</xdr:rowOff>
                  </from>
                  <to>
                    <xdr:col>3</xdr:col>
                    <xdr:colOff>3810000</xdr:colOff>
                    <xdr:row>19</xdr:row>
                    <xdr:rowOff>171450</xdr:rowOff>
                  </to>
                </anchor>
              </controlPr>
            </control>
          </mc:Choice>
        </mc:AlternateContent>
        <mc:AlternateContent xmlns:mc="http://schemas.openxmlformats.org/markup-compatibility/2006">
          <mc:Choice Requires="x14">
            <control shapeId="34843" r:id="rId26" name="Check Box 27">
              <controlPr defaultSize="0" autoFill="0" autoLine="0" autoPict="0">
                <anchor moveWithCells="1">
                  <from>
                    <xdr:col>3</xdr:col>
                    <xdr:colOff>2619375</xdr:colOff>
                    <xdr:row>20</xdr:row>
                    <xdr:rowOff>38100</xdr:rowOff>
                  </from>
                  <to>
                    <xdr:col>3</xdr:col>
                    <xdr:colOff>3171825</xdr:colOff>
                    <xdr:row>20</xdr:row>
                    <xdr:rowOff>171450</xdr:rowOff>
                  </to>
                </anchor>
              </controlPr>
            </control>
          </mc:Choice>
        </mc:AlternateContent>
        <mc:AlternateContent xmlns:mc="http://schemas.openxmlformats.org/markup-compatibility/2006">
          <mc:Choice Requires="x14">
            <control shapeId="34844" r:id="rId27" name="Check Box 28">
              <controlPr defaultSize="0" autoFill="0" autoLine="0" autoPict="0">
                <anchor moveWithCells="1">
                  <from>
                    <xdr:col>3</xdr:col>
                    <xdr:colOff>3190875</xdr:colOff>
                    <xdr:row>20</xdr:row>
                    <xdr:rowOff>38100</xdr:rowOff>
                  </from>
                  <to>
                    <xdr:col>3</xdr:col>
                    <xdr:colOff>3810000</xdr:colOff>
                    <xdr:row>20</xdr:row>
                    <xdr:rowOff>171450</xdr:rowOff>
                  </to>
                </anchor>
              </controlPr>
            </control>
          </mc:Choice>
        </mc:AlternateContent>
        <mc:AlternateContent xmlns:mc="http://schemas.openxmlformats.org/markup-compatibility/2006">
          <mc:Choice Requires="x14">
            <control shapeId="34897" r:id="rId28" name="Check Box 81">
              <controlPr defaultSize="0" autoFill="0" autoLine="0" autoPict="0">
                <anchor moveWithCells="1">
                  <from>
                    <xdr:col>3</xdr:col>
                    <xdr:colOff>2619375</xdr:colOff>
                    <xdr:row>13</xdr:row>
                    <xdr:rowOff>228600</xdr:rowOff>
                  </from>
                  <to>
                    <xdr:col>3</xdr:col>
                    <xdr:colOff>3171825</xdr:colOff>
                    <xdr:row>13</xdr:row>
                    <xdr:rowOff>361950</xdr:rowOff>
                  </to>
                </anchor>
              </controlPr>
            </control>
          </mc:Choice>
        </mc:AlternateContent>
        <mc:AlternateContent xmlns:mc="http://schemas.openxmlformats.org/markup-compatibility/2006">
          <mc:Choice Requires="x14">
            <control shapeId="34898" r:id="rId29" name="Check Box 82">
              <controlPr defaultSize="0" autoFill="0" autoLine="0" autoPict="0">
                <anchor moveWithCells="1">
                  <from>
                    <xdr:col>3</xdr:col>
                    <xdr:colOff>3190875</xdr:colOff>
                    <xdr:row>13</xdr:row>
                    <xdr:rowOff>228600</xdr:rowOff>
                  </from>
                  <to>
                    <xdr:col>3</xdr:col>
                    <xdr:colOff>3810000</xdr:colOff>
                    <xdr:row>13</xdr:row>
                    <xdr:rowOff>361950</xdr:rowOff>
                  </to>
                </anchor>
              </controlPr>
            </control>
          </mc:Choice>
        </mc:AlternateContent>
        <mc:AlternateContent xmlns:mc="http://schemas.openxmlformats.org/markup-compatibility/2006">
          <mc:Choice Requires="x14">
            <control shapeId="34899" r:id="rId30" name="Check Box 83">
              <controlPr defaultSize="0" autoFill="0" autoLine="0" autoPict="0">
                <anchor moveWithCells="1">
                  <from>
                    <xdr:col>3</xdr:col>
                    <xdr:colOff>2619375</xdr:colOff>
                    <xdr:row>15</xdr:row>
                    <xdr:rowOff>38100</xdr:rowOff>
                  </from>
                  <to>
                    <xdr:col>3</xdr:col>
                    <xdr:colOff>3171825</xdr:colOff>
                    <xdr:row>15</xdr:row>
                    <xdr:rowOff>171450</xdr:rowOff>
                  </to>
                </anchor>
              </controlPr>
            </control>
          </mc:Choice>
        </mc:AlternateContent>
        <mc:AlternateContent xmlns:mc="http://schemas.openxmlformats.org/markup-compatibility/2006">
          <mc:Choice Requires="x14">
            <control shapeId="34900" r:id="rId31" name="Check Box 84">
              <controlPr defaultSize="0" autoFill="0" autoLine="0" autoPict="0">
                <anchor moveWithCells="1">
                  <from>
                    <xdr:col>3</xdr:col>
                    <xdr:colOff>3190875</xdr:colOff>
                    <xdr:row>15</xdr:row>
                    <xdr:rowOff>38100</xdr:rowOff>
                  </from>
                  <to>
                    <xdr:col>3</xdr:col>
                    <xdr:colOff>3810000</xdr:colOff>
                    <xdr:row>15</xdr:row>
                    <xdr:rowOff>171450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002060"/>
    <pageSetUpPr fitToPage="1"/>
  </sheetPr>
  <dimension ref="A1:AG99"/>
  <sheetViews>
    <sheetView showGridLines="0" zoomScaleNormal="100" zoomScalePageLayoutView="85" workbookViewId="0">
      <selection sqref="A1:L1"/>
    </sheetView>
  </sheetViews>
  <sheetFormatPr defaultColWidth="5.28515625" defaultRowHeight="14.25" x14ac:dyDescent="0.25"/>
  <cols>
    <col min="1" max="1" width="10.42578125" style="124" customWidth="1"/>
    <col min="2" max="2" width="29.85546875" style="124" customWidth="1"/>
    <col min="3" max="4" width="13.7109375" style="184" customWidth="1"/>
    <col min="5" max="10" width="13.7109375" style="185" customWidth="1"/>
    <col min="11" max="12" width="11.7109375" style="185" customWidth="1"/>
    <col min="13" max="13" width="4" style="48" customWidth="1"/>
    <col min="14" max="14" width="47.85546875" style="48" customWidth="1"/>
    <col min="15" max="31" width="5.28515625" style="48"/>
    <col min="32" max="32" width="13.28515625" style="48" customWidth="1"/>
    <col min="33" max="33" width="15" style="48" customWidth="1"/>
    <col min="34" max="16384" width="5.28515625" style="48"/>
  </cols>
  <sheetData>
    <row r="1" spans="1:33" s="69" customFormat="1" ht="26.25" customHeight="1" thickBot="1" x14ac:dyDescent="0.3">
      <c r="A1" s="1122" t="s">
        <v>2092</v>
      </c>
      <c r="B1" s="1122"/>
      <c r="C1" s="1122"/>
      <c r="D1" s="1122"/>
      <c r="E1" s="1122"/>
      <c r="F1" s="1122"/>
      <c r="G1" s="1122"/>
      <c r="H1" s="1122"/>
      <c r="I1" s="1122"/>
      <c r="J1" s="1122"/>
      <c r="K1" s="1122"/>
      <c r="L1" s="1122"/>
    </row>
    <row r="2" spans="1:33" s="68" customFormat="1" ht="54.95" customHeight="1" x14ac:dyDescent="0.25">
      <c r="A2" s="1065" t="s">
        <v>1968</v>
      </c>
      <c r="B2" s="1065"/>
      <c r="C2" s="1065"/>
      <c r="D2" s="1065"/>
      <c r="E2" s="1065"/>
      <c r="F2" s="1065"/>
      <c r="G2" s="1065"/>
      <c r="H2" s="1065"/>
      <c r="I2" s="1065"/>
      <c r="J2" s="1065"/>
      <c r="K2" s="1065"/>
      <c r="L2" s="1065"/>
    </row>
    <row r="3" spans="1:33" s="164" customFormat="1" ht="50.1" customHeight="1" x14ac:dyDescent="0.25">
      <c r="A3" s="1077" t="s">
        <v>1969</v>
      </c>
      <c r="B3" s="1077"/>
      <c r="C3" s="1077"/>
      <c r="D3" s="1077"/>
      <c r="E3" s="1077"/>
      <c r="F3" s="1077"/>
      <c r="G3" s="1077"/>
      <c r="H3" s="1077"/>
      <c r="I3" s="1077"/>
      <c r="J3" s="1077"/>
      <c r="K3" s="1077"/>
      <c r="L3" s="1077"/>
    </row>
    <row r="4" spans="1:33" s="164" customFormat="1" ht="35.1" customHeight="1" x14ac:dyDescent="0.25">
      <c r="A4" s="170">
        <v>1</v>
      </c>
      <c r="B4" s="1077" t="s">
        <v>1700</v>
      </c>
      <c r="C4" s="1077"/>
      <c r="D4" s="1077"/>
      <c r="E4" s="1077"/>
      <c r="F4" s="1077"/>
      <c r="G4" s="1077"/>
      <c r="H4" s="1077"/>
      <c r="I4" s="1077"/>
      <c r="J4" s="1077"/>
      <c r="K4" s="1077"/>
      <c r="L4" s="1077"/>
    </row>
    <row r="5" spans="1:33" s="164" customFormat="1" ht="20.100000000000001" customHeight="1" x14ac:dyDescent="0.25">
      <c r="A5" s="170">
        <v>2</v>
      </c>
      <c r="B5" s="1077" t="s">
        <v>1701</v>
      </c>
      <c r="C5" s="1077"/>
      <c r="D5" s="1077"/>
      <c r="E5" s="1077"/>
      <c r="F5" s="1077"/>
      <c r="G5" s="1077"/>
      <c r="H5" s="1077"/>
      <c r="I5" s="1077"/>
      <c r="J5" s="1077"/>
      <c r="K5" s="1077"/>
      <c r="L5" s="1077"/>
    </row>
    <row r="6" spans="1:33" s="164" customFormat="1" ht="35.1" customHeight="1" x14ac:dyDescent="0.25">
      <c r="A6" s="170">
        <v>3</v>
      </c>
      <c r="B6" s="1077" t="s">
        <v>1802</v>
      </c>
      <c r="C6" s="1077"/>
      <c r="D6" s="1077"/>
      <c r="E6" s="1077"/>
      <c r="F6" s="1077"/>
      <c r="G6" s="1077"/>
      <c r="H6" s="1077"/>
      <c r="I6" s="1077"/>
      <c r="J6" s="1077"/>
      <c r="K6" s="1077"/>
      <c r="L6" s="1077"/>
    </row>
    <row r="7" spans="1:33" s="164" customFormat="1" ht="35.1" customHeight="1" x14ac:dyDescent="0.25">
      <c r="A7" s="170">
        <v>4</v>
      </c>
      <c r="B7" s="1077" t="s">
        <v>1697</v>
      </c>
      <c r="C7" s="1077"/>
      <c r="D7" s="1077"/>
      <c r="E7" s="1077"/>
      <c r="F7" s="1077"/>
      <c r="G7" s="1077"/>
      <c r="H7" s="1077"/>
      <c r="I7" s="1077"/>
      <c r="J7" s="1077"/>
      <c r="K7" s="1077"/>
      <c r="L7" s="1077"/>
    </row>
    <row r="8" spans="1:33" s="164" customFormat="1" ht="35.1" customHeight="1" x14ac:dyDescent="0.25">
      <c r="A8" s="170">
        <v>5</v>
      </c>
      <c r="B8" s="1077" t="s">
        <v>1698</v>
      </c>
      <c r="C8" s="1077"/>
      <c r="D8" s="1077"/>
      <c r="E8" s="1077"/>
      <c r="F8" s="1077"/>
      <c r="G8" s="1077"/>
      <c r="H8" s="1077"/>
      <c r="I8" s="1077"/>
      <c r="J8" s="1077"/>
      <c r="K8" s="1077"/>
      <c r="L8" s="1077"/>
    </row>
    <row r="9" spans="1:33" s="164" customFormat="1" ht="50.1" customHeight="1" x14ac:dyDescent="0.25">
      <c r="A9" s="170">
        <v>6</v>
      </c>
      <c r="B9" s="1077" t="s">
        <v>1702</v>
      </c>
      <c r="C9" s="1077"/>
      <c r="D9" s="1077"/>
      <c r="E9" s="1077"/>
      <c r="F9" s="1077"/>
      <c r="G9" s="1077"/>
      <c r="H9" s="1077"/>
      <c r="I9" s="1077"/>
      <c r="J9" s="1077"/>
      <c r="K9" s="1077"/>
      <c r="L9" s="1077"/>
    </row>
    <row r="10" spans="1:33" s="172" customFormat="1" ht="20.100000000000001" customHeight="1" x14ac:dyDescent="0.25">
      <c r="A10" s="171">
        <v>7</v>
      </c>
      <c r="B10" s="1098" t="s">
        <v>1699</v>
      </c>
      <c r="C10" s="1098"/>
      <c r="D10" s="1098"/>
      <c r="E10" s="1098"/>
      <c r="F10" s="1098"/>
      <c r="G10" s="1098"/>
      <c r="H10" s="1098"/>
      <c r="I10" s="1098"/>
      <c r="J10" s="1098"/>
      <c r="K10" s="1098"/>
      <c r="L10" s="1098"/>
    </row>
    <row r="11" spans="1:33" s="68" customFormat="1" ht="9" customHeight="1" thickBot="1" x14ac:dyDescent="0.3">
      <c r="A11" s="78"/>
      <c r="B11" s="78"/>
      <c r="C11" s="78"/>
      <c r="D11" s="78"/>
      <c r="E11" s="78"/>
      <c r="F11" s="78"/>
      <c r="G11" s="78"/>
      <c r="H11" s="78"/>
      <c r="I11" s="78"/>
      <c r="J11" s="78"/>
      <c r="K11" s="78"/>
      <c r="L11" s="78"/>
    </row>
    <row r="12" spans="1:33" ht="30" customHeight="1" x14ac:dyDescent="0.25">
      <c r="A12" s="1123" t="s">
        <v>1433</v>
      </c>
      <c r="B12" s="1125" t="s">
        <v>1436</v>
      </c>
      <c r="C12" s="71" t="s">
        <v>272</v>
      </c>
      <c r="D12" s="72" t="s">
        <v>273</v>
      </c>
      <c r="E12" s="73" t="s">
        <v>274</v>
      </c>
      <c r="F12" s="73" t="s">
        <v>275</v>
      </c>
      <c r="G12" s="73" t="s">
        <v>276</v>
      </c>
      <c r="H12" s="73" t="s">
        <v>288</v>
      </c>
      <c r="I12" s="73" t="s">
        <v>277</v>
      </c>
      <c r="J12" s="73" t="s">
        <v>278</v>
      </c>
      <c r="K12" s="1127" t="s">
        <v>1438</v>
      </c>
      <c r="L12" s="1129" t="s">
        <v>286</v>
      </c>
      <c r="AF12" s="68"/>
      <c r="AG12" s="68"/>
    </row>
    <row r="13" spans="1:33" ht="18" customHeight="1" thickBot="1" x14ac:dyDescent="0.3">
      <c r="A13" s="1124"/>
      <c r="B13" s="1126"/>
      <c r="C13" s="74" t="s">
        <v>287</v>
      </c>
      <c r="D13" s="74" t="s">
        <v>287</v>
      </c>
      <c r="E13" s="75" t="s">
        <v>279</v>
      </c>
      <c r="F13" s="75" t="s">
        <v>280</v>
      </c>
      <c r="G13" s="75" t="s">
        <v>280</v>
      </c>
      <c r="H13" s="75" t="s">
        <v>281</v>
      </c>
      <c r="I13" s="76" t="s">
        <v>282</v>
      </c>
      <c r="J13" s="77" t="s">
        <v>283</v>
      </c>
      <c r="K13" s="1128"/>
      <c r="L13" s="1130"/>
      <c r="AF13" s="48" t="s">
        <v>284</v>
      </c>
      <c r="AG13" s="48" t="s">
        <v>75</v>
      </c>
    </row>
    <row r="14" spans="1:33" ht="18" customHeight="1" x14ac:dyDescent="0.25">
      <c r="A14" s="1135" t="s">
        <v>1948</v>
      </c>
      <c r="B14" s="1136"/>
      <c r="C14" s="1136"/>
      <c r="D14" s="1136"/>
      <c r="E14" s="1136"/>
      <c r="F14" s="1136"/>
      <c r="G14" s="1136"/>
      <c r="H14" s="1136"/>
      <c r="I14" s="1136"/>
      <c r="J14" s="1136"/>
      <c r="K14" s="1136"/>
      <c r="L14" s="1137"/>
      <c r="AF14" s="48" t="s">
        <v>285</v>
      </c>
      <c r="AG14" s="48" t="s">
        <v>73</v>
      </c>
    </row>
    <row r="15" spans="1:33" ht="18" customHeight="1" x14ac:dyDescent="0.25">
      <c r="A15" s="569" t="str">
        <f>IF(ISBLANK('Table 3-A| Emission Units'!A28),"",'Table 3-A| Emission Units'!A28&amp;"-"&amp;'Table 3-A| Emission Units'!B28)</f>
        <v>Miscellaneous Emission Units-</v>
      </c>
      <c r="B15" s="570" t="str">
        <f>IF(ISBLANK('Table 3-A| Emission Units'!D28),"",'Table 3-A| Emission Units'!D28)</f>
        <v/>
      </c>
      <c r="C15" s="571">
        <v>40.686886000000001</v>
      </c>
      <c r="D15" s="572">
        <v>96.571197999999995</v>
      </c>
      <c r="E15" s="573">
        <v>1500</v>
      </c>
      <c r="F15" s="573">
        <v>15</v>
      </c>
      <c r="G15" s="573">
        <v>3</v>
      </c>
      <c r="H15" s="573">
        <v>300</v>
      </c>
      <c r="I15" s="573">
        <v>20</v>
      </c>
      <c r="J15" s="574">
        <f t="shared" ref="J15:J21" si="0">IFERROR(IF(ISBLANK(G15),"",(3.14159*((0.5*G15)^2))*I15),"Invalid Data")</f>
        <v>141.37155000000001</v>
      </c>
      <c r="K15" s="574" t="s">
        <v>284</v>
      </c>
      <c r="L15" s="575" t="s">
        <v>73</v>
      </c>
      <c r="AF15" s="48" t="s">
        <v>285</v>
      </c>
      <c r="AG15" s="48" t="s">
        <v>73</v>
      </c>
    </row>
    <row r="16" spans="1:33" ht="18" customHeight="1" x14ac:dyDescent="0.25">
      <c r="A16" s="263" t="str">
        <f>IF(ISBLANK('Table 3-A| Emission Units'!A29),"",'Table 3-A| Emission Units'!A29&amp;"-"&amp;'Table 3-A| Emission Units'!B29)</f>
        <v>8-1</v>
      </c>
      <c r="B16" s="264" t="str">
        <f>IF(ISBLANK('Table 3-A| Emission Units'!D29),"",'Table 3-A| Emission Units'!D29)</f>
        <v>200 horsepower Emergency Generator</v>
      </c>
      <c r="C16" s="265">
        <v>40.686886000000001</v>
      </c>
      <c r="D16" s="266">
        <v>96.571197999999995</v>
      </c>
      <c r="E16" s="267">
        <v>1500</v>
      </c>
      <c r="F16" s="267">
        <v>15</v>
      </c>
      <c r="G16" s="267">
        <v>3</v>
      </c>
      <c r="H16" s="267">
        <v>300</v>
      </c>
      <c r="I16" s="267">
        <v>20</v>
      </c>
      <c r="J16" s="268">
        <f t="shared" si="0"/>
        <v>141.37155000000001</v>
      </c>
      <c r="K16" s="268" t="s">
        <v>284</v>
      </c>
      <c r="L16" s="269" t="s">
        <v>73</v>
      </c>
      <c r="O16" s="67"/>
      <c r="P16" s="67"/>
      <c r="Q16" s="67"/>
      <c r="R16" s="67"/>
      <c r="S16" s="67"/>
      <c r="T16" s="67"/>
      <c r="U16" s="67"/>
      <c r="V16" s="67"/>
    </row>
    <row r="17" spans="1:22" ht="18" customHeight="1" x14ac:dyDescent="0.25">
      <c r="A17" s="263" t="str">
        <f>IF(ISBLANK('Table 3-A| Emission Units'!A30),"",'Table 3-A| Emission Units'!A30&amp;"-"&amp;'Table 3-A| Emission Units'!B30)</f>
        <v>9-1</v>
      </c>
      <c r="B17" s="264" t="str">
        <f>IF(ISBLANK('Table 3-A| Emission Units'!D30),"",'Table 3-A| Emission Units'!D30)</f>
        <v>20.5 MMBtu/hr Boiler</v>
      </c>
      <c r="C17" s="265">
        <v>40.86889</v>
      </c>
      <c r="D17" s="266">
        <v>96.571200000000005</v>
      </c>
      <c r="E17" s="267">
        <v>1500</v>
      </c>
      <c r="F17" s="267">
        <v>35</v>
      </c>
      <c r="G17" s="267">
        <v>4</v>
      </c>
      <c r="H17" s="267">
        <v>250</v>
      </c>
      <c r="I17" s="267">
        <v>15</v>
      </c>
      <c r="J17" s="268">
        <f t="shared" si="0"/>
        <v>188.49539999999999</v>
      </c>
      <c r="K17" s="268" t="s">
        <v>284</v>
      </c>
      <c r="L17" s="269" t="s">
        <v>75</v>
      </c>
      <c r="O17" s="67"/>
      <c r="P17" s="67"/>
      <c r="Q17" s="67"/>
      <c r="R17" s="67"/>
      <c r="S17" s="67"/>
      <c r="T17" s="67"/>
      <c r="U17" s="67"/>
      <c r="V17" s="67"/>
    </row>
    <row r="18" spans="1:22" ht="18" customHeight="1" x14ac:dyDescent="0.25">
      <c r="A18" s="263" t="str">
        <f>IF(ISBLANK('Table 3-A| Emission Units'!A31),"",'Table 3-A| Emission Units'!A31&amp;"-"&amp;'Table 3-A| Emission Units'!B31)</f>
        <v>9-2</v>
      </c>
      <c r="B18" s="264" t="str">
        <f>IF(ISBLANK('Table 3-A| Emission Units'!D31),"",'Table 3-A| Emission Units'!D31)</f>
        <v>20.5 MMBtu/hr Boiler</v>
      </c>
      <c r="C18" s="265">
        <v>40.86889</v>
      </c>
      <c r="D18" s="266">
        <v>96.571200000000005</v>
      </c>
      <c r="E18" s="267">
        <v>1500</v>
      </c>
      <c r="F18" s="267">
        <v>35</v>
      </c>
      <c r="G18" s="267">
        <v>4</v>
      </c>
      <c r="H18" s="267">
        <v>250</v>
      </c>
      <c r="I18" s="267">
        <v>15</v>
      </c>
      <c r="J18" s="268">
        <f t="shared" si="0"/>
        <v>188.49539999999999</v>
      </c>
      <c r="K18" s="268" t="s">
        <v>284</v>
      </c>
      <c r="L18" s="269" t="s">
        <v>75</v>
      </c>
    </row>
    <row r="19" spans="1:22" ht="18" customHeight="1" x14ac:dyDescent="0.25">
      <c r="A19" s="263" t="str">
        <f>IF(ISBLANK('Table 3-A| Emission Units'!A32),"",'Table 3-A| Emission Units'!A32&amp;"-"&amp;'Table 3-A| Emission Units'!B32)</f>
        <v>10-1</v>
      </c>
      <c r="B19" s="264" t="str">
        <f>IF(ISBLANK('Table 3-A| Emission Units'!D32),"",'Table 3-A| Emission Units'!D32)</f>
        <v>Fixed-Roof Gasoline Storage Tanks</v>
      </c>
      <c r="C19" s="265"/>
      <c r="D19" s="266"/>
      <c r="E19" s="267"/>
      <c r="F19" s="267"/>
      <c r="G19" s="267"/>
      <c r="H19" s="267"/>
      <c r="I19" s="267"/>
      <c r="J19" s="268" t="str">
        <f t="shared" si="0"/>
        <v/>
      </c>
      <c r="K19" s="268" t="s">
        <v>1437</v>
      </c>
      <c r="L19" s="269"/>
    </row>
    <row r="20" spans="1:22" ht="18" customHeight="1" x14ac:dyDescent="0.25">
      <c r="A20" s="263" t="str">
        <f>IF(ISBLANK('Table 3-A| Emission Units'!A33),"",'Table 3-A| Emission Units'!A33&amp;"-"&amp;'Table 3-A| Emission Units'!B33)</f>
        <v>10-2</v>
      </c>
      <c r="B20" s="264" t="str">
        <f>IF(ISBLANK('Table 3-A| Emission Units'!D33),"",'Table 3-A| Emission Units'!D33)</f>
        <v>Fixed-Roof Gasoline Storage Tanks</v>
      </c>
      <c r="C20" s="265"/>
      <c r="D20" s="266"/>
      <c r="E20" s="267"/>
      <c r="F20" s="267"/>
      <c r="G20" s="267"/>
      <c r="H20" s="267"/>
      <c r="I20" s="267"/>
      <c r="J20" s="268" t="str">
        <f t="shared" si="0"/>
        <v/>
      </c>
      <c r="K20" s="268" t="s">
        <v>1437</v>
      </c>
      <c r="L20" s="269"/>
    </row>
    <row r="21" spans="1:22" ht="18" customHeight="1" thickBot="1" x14ac:dyDescent="0.3">
      <c r="A21" s="270" t="str">
        <f>IF(ISBLANK('Table 3-A| Emission Units'!A34),"",'Table 3-A| Emission Units'!A34&amp;"-"&amp;'Table 3-A| Emission Units'!B34)</f>
        <v/>
      </c>
      <c r="B21" s="271" t="str">
        <f>IF(ISBLANK('Table 3-A| Emission Units'!D34),"",'Table 3-A| Emission Units'!D34)</f>
        <v/>
      </c>
      <c r="C21" s="272"/>
      <c r="D21" s="273"/>
      <c r="E21" s="274"/>
      <c r="F21" s="274"/>
      <c r="G21" s="274"/>
      <c r="H21" s="274"/>
      <c r="I21" s="274"/>
      <c r="J21" s="275" t="str">
        <f t="shared" si="0"/>
        <v/>
      </c>
      <c r="K21" s="275" t="s">
        <v>1437</v>
      </c>
      <c r="L21" s="276"/>
    </row>
    <row r="22" spans="1:22" s="68" customFormat="1" ht="27.75" customHeight="1" thickBot="1" x14ac:dyDescent="0.3">
      <c r="A22" s="1140" t="s">
        <v>1470</v>
      </c>
      <c r="B22" s="1087"/>
      <c r="C22" s="1087"/>
      <c r="D22" s="1087"/>
      <c r="E22" s="1087"/>
      <c r="F22" s="1087"/>
      <c r="G22" s="1087"/>
      <c r="H22" s="1087"/>
      <c r="I22" s="1087"/>
      <c r="J22" s="1087"/>
      <c r="K22" s="1087"/>
      <c r="L22" s="1141"/>
    </row>
    <row r="23" spans="1:22" s="68" customFormat="1" ht="9" customHeight="1" thickBot="1" x14ac:dyDescent="0.3">
      <c r="A23" s="78"/>
      <c r="B23" s="78"/>
      <c r="C23" s="78"/>
      <c r="D23" s="78"/>
      <c r="E23" s="78"/>
      <c r="F23" s="78"/>
      <c r="G23" s="78"/>
      <c r="H23" s="78"/>
      <c r="I23" s="78"/>
      <c r="J23" s="78"/>
      <c r="K23" s="78"/>
      <c r="L23" s="78"/>
    </row>
    <row r="24" spans="1:22" s="68" customFormat="1" ht="18" customHeight="1" thickBot="1" x14ac:dyDescent="0.3">
      <c r="A24" s="1100" t="s">
        <v>1451</v>
      </c>
      <c r="B24" s="1101"/>
      <c r="C24" s="93"/>
      <c r="D24" s="78" t="s">
        <v>1455</v>
      </c>
      <c r="E24" s="96"/>
      <c r="F24" s="78" t="s">
        <v>1456</v>
      </c>
      <c r="G24" s="97"/>
      <c r="H24" s="78" t="s">
        <v>1457</v>
      </c>
      <c r="I24" s="1100" t="s">
        <v>1458</v>
      </c>
      <c r="J24" s="1101"/>
      <c r="K24" s="1138">
        <f>C24+(E24/60)+(G24/3600)</f>
        <v>0</v>
      </c>
      <c r="L24" s="1139"/>
    </row>
    <row r="25" spans="1:22" s="68" customFormat="1" ht="18" customHeight="1" thickBot="1" x14ac:dyDescent="0.3">
      <c r="A25" s="1100" t="s">
        <v>1452</v>
      </c>
      <c r="B25" s="1101"/>
      <c r="C25" s="93"/>
      <c r="D25" s="78" t="s">
        <v>1459</v>
      </c>
      <c r="E25" s="96"/>
      <c r="F25" s="78" t="s">
        <v>1456</v>
      </c>
      <c r="G25" s="97"/>
      <c r="H25" s="78" t="s">
        <v>1457</v>
      </c>
      <c r="I25" s="1100" t="s">
        <v>1458</v>
      </c>
      <c r="J25" s="1101"/>
      <c r="K25" s="1138">
        <f>C25+(E25/60)+(G25/3600)</f>
        <v>0</v>
      </c>
      <c r="L25" s="1139"/>
    </row>
    <row r="26" spans="1:22" s="68" customFormat="1" ht="18" customHeight="1" thickBot="1" x14ac:dyDescent="0.3">
      <c r="A26" s="1100" t="s">
        <v>1453</v>
      </c>
      <c r="B26" s="1101"/>
      <c r="C26" s="94"/>
      <c r="D26" s="78" t="s">
        <v>1460</v>
      </c>
      <c r="E26" s="78"/>
      <c r="F26" s="78"/>
      <c r="G26" s="78"/>
      <c r="H26" s="78"/>
      <c r="I26" s="1100" t="s">
        <v>1461</v>
      </c>
      <c r="J26" s="1101"/>
      <c r="K26" s="1142">
        <f>CONVERT(C26,"m","ft")</f>
        <v>0</v>
      </c>
      <c r="L26" s="1143"/>
    </row>
    <row r="27" spans="1:22" s="68" customFormat="1" ht="18" customHeight="1" thickBot="1" x14ac:dyDescent="0.3">
      <c r="A27" s="1100" t="s">
        <v>1463</v>
      </c>
      <c r="B27" s="1101"/>
      <c r="C27" s="94"/>
      <c r="D27" s="78" t="s">
        <v>1462</v>
      </c>
      <c r="E27" s="94"/>
      <c r="F27" s="78" t="s">
        <v>1803</v>
      </c>
      <c r="G27" s="78"/>
      <c r="H27" s="78"/>
      <c r="I27" s="1100" t="s">
        <v>1466</v>
      </c>
      <c r="J27" s="1101"/>
      <c r="K27" s="1142">
        <f>SQRT((4*C27*E27)/PI())</f>
        <v>0</v>
      </c>
      <c r="L27" s="1143"/>
    </row>
    <row r="28" spans="1:22" s="68" customFormat="1" ht="18" customHeight="1" thickBot="1" x14ac:dyDescent="0.3">
      <c r="A28" s="1100" t="s">
        <v>1662</v>
      </c>
      <c r="B28" s="1101"/>
      <c r="C28" s="94"/>
      <c r="D28" s="1146" t="s">
        <v>1804</v>
      </c>
      <c r="E28" s="1073"/>
      <c r="F28" s="78"/>
      <c r="G28" s="78"/>
      <c r="H28" s="78"/>
      <c r="I28" s="1100" t="s">
        <v>1464</v>
      </c>
      <c r="J28" s="1101"/>
      <c r="K28" s="1144" t="str">
        <f>IF(ISBLANK(C28),"0",CONVERT(C28,"C","F"))</f>
        <v>0</v>
      </c>
      <c r="L28" s="1145"/>
    </row>
    <row r="29" spans="1:22" s="68" customFormat="1" ht="18" customHeight="1" thickBot="1" x14ac:dyDescent="0.3">
      <c r="A29" s="1102" t="s">
        <v>1454</v>
      </c>
      <c r="B29" s="1103"/>
      <c r="C29" s="95"/>
      <c r="D29" s="1146" t="s">
        <v>1467</v>
      </c>
      <c r="E29" s="1073"/>
      <c r="F29" s="1110"/>
      <c r="G29" s="1075" t="s">
        <v>1469</v>
      </c>
      <c r="H29" s="1075"/>
      <c r="I29" s="1102" t="s">
        <v>1465</v>
      </c>
      <c r="J29" s="1103"/>
      <c r="K29" s="1106">
        <f>IFERROR(IF(AND(NOT(ISBLANK(C29)),NOT(ISBLANK(C30))),"Enter only CFS or CFM",IF(ISBLANK(C29),((C30/60)/(PI()*(0.5*F29)^2)),(C29/(PI()*(0.5*F29)^2)))),0)</f>
        <v>0</v>
      </c>
      <c r="L29" s="1107"/>
    </row>
    <row r="30" spans="1:22" s="68" customFormat="1" ht="18" customHeight="1" thickBot="1" x14ac:dyDescent="0.3">
      <c r="A30" s="1104"/>
      <c r="B30" s="1105"/>
      <c r="C30" s="94"/>
      <c r="D30" s="78" t="s">
        <v>1468</v>
      </c>
      <c r="E30" s="78"/>
      <c r="F30" s="1111"/>
      <c r="G30" s="1075"/>
      <c r="H30" s="1075"/>
      <c r="I30" s="1104"/>
      <c r="J30" s="1105"/>
      <c r="K30" s="1108"/>
      <c r="L30" s="1109"/>
    </row>
    <row r="31" spans="1:22" s="68" customFormat="1" ht="36.75" customHeight="1" thickBot="1" x14ac:dyDescent="0.3">
      <c r="A31" s="1099" t="s">
        <v>1450</v>
      </c>
      <c r="B31" s="1099"/>
      <c r="C31" s="1099"/>
      <c r="D31" s="1099"/>
      <c r="E31" s="1099"/>
      <c r="F31" s="1099"/>
      <c r="G31" s="1099"/>
      <c r="H31" s="1099"/>
      <c r="I31" s="1099"/>
      <c r="J31" s="1099"/>
      <c r="K31" s="1099"/>
      <c r="L31" s="1099"/>
    </row>
    <row r="32" spans="1:22" s="70" customFormat="1" ht="19.5" thickBot="1" x14ac:dyDescent="0.3">
      <c r="A32" s="1087" t="s">
        <v>1449</v>
      </c>
      <c r="B32" s="1087"/>
      <c r="C32" s="1087"/>
      <c r="D32" s="1087"/>
      <c r="E32" s="1087"/>
      <c r="F32" s="1087"/>
      <c r="G32" s="1087"/>
      <c r="H32" s="1087"/>
      <c r="I32" s="1087"/>
      <c r="J32" s="1087"/>
      <c r="K32" s="1087"/>
      <c r="L32" s="1087"/>
    </row>
    <row r="33" spans="1:33" ht="60" customHeight="1" x14ac:dyDescent="0.25">
      <c r="A33" s="30"/>
      <c r="B33" s="30"/>
      <c r="C33" s="32"/>
      <c r="D33" s="32"/>
      <c r="E33" s="31"/>
      <c r="F33" s="31"/>
      <c r="G33" s="31"/>
      <c r="H33" s="31"/>
      <c r="I33" s="31"/>
      <c r="J33" s="31"/>
      <c r="K33" s="31"/>
      <c r="L33" s="31"/>
    </row>
    <row r="34" spans="1:33" ht="24.95" customHeight="1" x14ac:dyDescent="0.25">
      <c r="A34" s="1089" t="s">
        <v>1824</v>
      </c>
      <c r="B34" s="1089"/>
      <c r="C34" s="1089"/>
      <c r="D34" s="1089"/>
      <c r="E34" s="1089"/>
      <c r="F34" s="1089"/>
      <c r="G34" s="1089"/>
      <c r="H34" s="1089"/>
      <c r="I34" s="1089"/>
      <c r="J34" s="1089"/>
      <c r="K34" s="1089"/>
      <c r="L34" s="1089"/>
    </row>
    <row r="35" spans="1:33" ht="24.95" customHeight="1" x14ac:dyDescent="0.25">
      <c r="A35" s="884" t="s">
        <v>1825</v>
      </c>
      <c r="B35" s="884"/>
      <c r="C35" s="884"/>
      <c r="D35" s="884"/>
      <c r="E35" s="884"/>
      <c r="F35" s="884"/>
      <c r="G35" s="884"/>
      <c r="H35" s="884"/>
      <c r="I35" s="884"/>
      <c r="J35" s="884"/>
      <c r="K35" s="884"/>
      <c r="L35" s="884"/>
    </row>
    <row r="36" spans="1:33" ht="42" customHeight="1" x14ac:dyDescent="0.25">
      <c r="A36" s="1134" t="s">
        <v>1967</v>
      </c>
      <c r="B36" s="1134"/>
      <c r="C36" s="1134"/>
      <c r="D36" s="1134"/>
      <c r="E36" s="1134"/>
      <c r="F36" s="1134"/>
      <c r="G36" s="1134"/>
      <c r="H36" s="1134"/>
      <c r="I36" s="1134"/>
      <c r="J36" s="1134"/>
      <c r="K36" s="1134"/>
      <c r="L36" s="1134"/>
    </row>
    <row r="37" spans="1:33" ht="15" thickBot="1" x14ac:dyDescent="0.3">
      <c r="A37" s="1113"/>
      <c r="B37" s="1113"/>
      <c r="C37" s="1113"/>
      <c r="D37" s="1113"/>
      <c r="E37" s="1113"/>
      <c r="F37" s="1113"/>
      <c r="G37" s="1113"/>
      <c r="H37" s="1113"/>
      <c r="I37" s="1113"/>
      <c r="J37" s="1113"/>
      <c r="K37" s="1113"/>
      <c r="L37" s="1113"/>
      <c r="AF37" s="1112" t="s">
        <v>1438</v>
      </c>
      <c r="AG37" s="1112" t="s">
        <v>286</v>
      </c>
    </row>
    <row r="38" spans="1:33" ht="30" customHeight="1" x14ac:dyDescent="0.25">
      <c r="A38" s="1116" t="s">
        <v>1433</v>
      </c>
      <c r="B38" s="1114" t="s">
        <v>1436</v>
      </c>
      <c r="C38" s="711" t="s">
        <v>272</v>
      </c>
      <c r="D38" s="712" t="s">
        <v>273</v>
      </c>
      <c r="E38" s="713" t="s">
        <v>274</v>
      </c>
      <c r="F38" s="713" t="s">
        <v>275</v>
      </c>
      <c r="G38" s="713" t="s">
        <v>276</v>
      </c>
      <c r="H38" s="713" t="s">
        <v>288</v>
      </c>
      <c r="I38" s="713" t="s">
        <v>277</v>
      </c>
      <c r="J38" s="713" t="s">
        <v>278</v>
      </c>
      <c r="K38" s="1118" t="s">
        <v>1438</v>
      </c>
      <c r="L38" s="1120" t="s">
        <v>286</v>
      </c>
      <c r="AF38" s="1112"/>
      <c r="AG38" s="1112"/>
    </row>
    <row r="39" spans="1:33" ht="18" customHeight="1" thickBot="1" x14ac:dyDescent="0.3">
      <c r="A39" s="1117"/>
      <c r="B39" s="1115"/>
      <c r="C39" s="714" t="s">
        <v>287</v>
      </c>
      <c r="D39" s="714" t="s">
        <v>287</v>
      </c>
      <c r="E39" s="715" t="s">
        <v>279</v>
      </c>
      <c r="F39" s="715" t="s">
        <v>280</v>
      </c>
      <c r="G39" s="715" t="s">
        <v>280</v>
      </c>
      <c r="H39" s="715" t="s">
        <v>281</v>
      </c>
      <c r="I39" s="716" t="s">
        <v>282</v>
      </c>
      <c r="J39" s="717" t="s">
        <v>283</v>
      </c>
      <c r="K39" s="1119"/>
      <c r="L39" s="1121"/>
      <c r="AF39" s="48" t="s">
        <v>284</v>
      </c>
      <c r="AG39" s="48" t="s">
        <v>75</v>
      </c>
    </row>
    <row r="40" spans="1:33" ht="18" customHeight="1" x14ac:dyDescent="0.25">
      <c r="A40" s="1131" t="s">
        <v>1948</v>
      </c>
      <c r="B40" s="1132"/>
      <c r="C40" s="1132"/>
      <c r="D40" s="1132"/>
      <c r="E40" s="1132"/>
      <c r="F40" s="1132"/>
      <c r="G40" s="1132"/>
      <c r="H40" s="1132"/>
      <c r="I40" s="1132"/>
      <c r="J40" s="1132"/>
      <c r="K40" s="1132"/>
      <c r="L40" s="1133"/>
      <c r="AF40" s="48" t="s">
        <v>285</v>
      </c>
      <c r="AG40" s="48" t="s">
        <v>73</v>
      </c>
    </row>
    <row r="41" spans="1:33" ht="18" customHeight="1" x14ac:dyDescent="0.25">
      <c r="A41" s="277" t="str">
        <f>IF(ISBLANK('Table 3-A| Emission Units'!A108),"",'Table 3-A| Emission Units'!A108&amp;"-"&amp;'Table 3-A| Emission Units'!B108)</f>
        <v/>
      </c>
      <c r="B41" s="278" t="str">
        <f>IF(ISBLANK('Table 3-A| Emission Units'!D108),"",IF(LEN('Table 3-A| Emission Units'!D108)&gt;25,LEFT('Table 3-A| Emission Units'!D108,25)&amp;"…",'Table 3-A| Emission Units'!D108))</f>
        <v/>
      </c>
      <c r="C41" s="279"/>
      <c r="D41" s="280"/>
      <c r="E41" s="281"/>
      <c r="F41" s="281"/>
      <c r="G41" s="281"/>
      <c r="H41" s="281"/>
      <c r="I41" s="281"/>
      <c r="J41" s="282" t="str">
        <f t="shared" ref="J41:J57" si="1">IFERROR(IF(ISBLANK(G41),"",(3.14159*((0.5*G41)^2))*I41),"Invalid Data")</f>
        <v/>
      </c>
      <c r="K41" s="283"/>
      <c r="L41" s="284"/>
      <c r="AF41" s="48" t="s">
        <v>1437</v>
      </c>
    </row>
    <row r="42" spans="1:33" ht="18" customHeight="1" x14ac:dyDescent="0.25">
      <c r="A42" s="277" t="str">
        <f>IF(ISBLANK('Table 3-A| Emission Units'!A109),"",'Table 3-A| Emission Units'!A109&amp;"-"&amp;'Table 3-A| Emission Units'!B109)</f>
        <v/>
      </c>
      <c r="B42" s="278" t="str">
        <f>IF(ISBLANK('Table 3-A| Emission Units'!D109),"",IF(LEN('Table 3-A| Emission Units'!D109)&gt;25,LEFT('Table 3-A| Emission Units'!D109,25)&amp;"…",'Table 3-A| Emission Units'!D109))</f>
        <v/>
      </c>
      <c r="C42" s="279"/>
      <c r="D42" s="280"/>
      <c r="E42" s="281"/>
      <c r="F42" s="281"/>
      <c r="G42" s="281"/>
      <c r="H42" s="281"/>
      <c r="I42" s="281"/>
      <c r="J42" s="282" t="str">
        <f t="shared" si="1"/>
        <v/>
      </c>
      <c r="K42" s="283"/>
      <c r="L42" s="284"/>
    </row>
    <row r="43" spans="1:33" ht="18" customHeight="1" x14ac:dyDescent="0.25">
      <c r="A43" s="277" t="str">
        <f>IF(ISBLANK('Table 3-A| Emission Units'!A110),"",'Table 3-A| Emission Units'!A110&amp;"-"&amp;'Table 3-A| Emission Units'!B110)</f>
        <v/>
      </c>
      <c r="B43" s="278" t="str">
        <f>IF(ISBLANK('Table 3-A| Emission Units'!D110),"",IF(LEN('Table 3-A| Emission Units'!D110)&gt;25,LEFT('Table 3-A| Emission Units'!D110,25)&amp;"…",'Table 3-A| Emission Units'!D110))</f>
        <v/>
      </c>
      <c r="C43" s="279"/>
      <c r="D43" s="280"/>
      <c r="E43" s="281"/>
      <c r="F43" s="281"/>
      <c r="G43" s="281"/>
      <c r="H43" s="281"/>
      <c r="I43" s="281"/>
      <c r="J43" s="282" t="str">
        <f t="shared" si="1"/>
        <v/>
      </c>
      <c r="K43" s="283"/>
      <c r="L43" s="284"/>
    </row>
    <row r="44" spans="1:33" ht="18" customHeight="1" x14ac:dyDescent="0.25">
      <c r="A44" s="277" t="str">
        <f>IF(ISBLANK('Table 3-A| Emission Units'!A111),"",'Table 3-A| Emission Units'!A111&amp;"-"&amp;'Table 3-A| Emission Units'!B111)</f>
        <v/>
      </c>
      <c r="B44" s="278" t="str">
        <f>IF(ISBLANK('Table 3-A| Emission Units'!D111),"",IF(LEN('Table 3-A| Emission Units'!D111)&gt;25,LEFT('Table 3-A| Emission Units'!D111,25)&amp;"…",'Table 3-A| Emission Units'!D111))</f>
        <v/>
      </c>
      <c r="C44" s="279"/>
      <c r="D44" s="280"/>
      <c r="E44" s="281"/>
      <c r="F44" s="281"/>
      <c r="G44" s="281"/>
      <c r="H44" s="281"/>
      <c r="I44" s="281"/>
      <c r="J44" s="282" t="str">
        <f t="shared" si="1"/>
        <v/>
      </c>
      <c r="K44" s="283"/>
      <c r="L44" s="284"/>
    </row>
    <row r="45" spans="1:33" ht="18" customHeight="1" x14ac:dyDescent="0.25">
      <c r="A45" s="277" t="str">
        <f>IF(ISBLANK('Table 3-A| Emission Units'!A112),"",'Table 3-A| Emission Units'!A112&amp;"-"&amp;'Table 3-A| Emission Units'!B112)</f>
        <v/>
      </c>
      <c r="B45" s="278" t="str">
        <f>IF(ISBLANK('Table 3-A| Emission Units'!D112),"",IF(LEN('Table 3-A| Emission Units'!D112)&gt;25,LEFT('Table 3-A| Emission Units'!D112,25)&amp;"…",'Table 3-A| Emission Units'!D112))</f>
        <v/>
      </c>
      <c r="C45" s="279"/>
      <c r="D45" s="280"/>
      <c r="E45" s="281"/>
      <c r="F45" s="281"/>
      <c r="G45" s="281"/>
      <c r="H45" s="281"/>
      <c r="I45" s="281"/>
      <c r="J45" s="282" t="str">
        <f t="shared" si="1"/>
        <v/>
      </c>
      <c r="K45" s="283"/>
      <c r="L45" s="284"/>
    </row>
    <row r="46" spans="1:33" ht="18" customHeight="1" x14ac:dyDescent="0.25">
      <c r="A46" s="277" t="str">
        <f>IF(ISBLANK('Table 3-A| Emission Units'!A113),"",'Table 3-A| Emission Units'!A113&amp;"-"&amp;'Table 3-A| Emission Units'!B113)</f>
        <v/>
      </c>
      <c r="B46" s="278" t="str">
        <f>IF(ISBLANK('Table 3-A| Emission Units'!D113),"",IF(LEN('Table 3-A| Emission Units'!D113)&gt;25,LEFT('Table 3-A| Emission Units'!D113,25)&amp;"…",'Table 3-A| Emission Units'!D113))</f>
        <v/>
      </c>
      <c r="C46" s="279"/>
      <c r="D46" s="280"/>
      <c r="E46" s="281"/>
      <c r="F46" s="281"/>
      <c r="G46" s="281"/>
      <c r="H46" s="281"/>
      <c r="I46" s="281"/>
      <c r="J46" s="282" t="str">
        <f t="shared" si="1"/>
        <v/>
      </c>
      <c r="K46" s="283"/>
      <c r="L46" s="284"/>
    </row>
    <row r="47" spans="1:33" ht="18" customHeight="1" x14ac:dyDescent="0.25">
      <c r="A47" s="277" t="str">
        <f>IF(ISBLANK('Table 3-A| Emission Units'!A114),"",'Table 3-A| Emission Units'!A114&amp;"-"&amp;'Table 3-A| Emission Units'!B114)</f>
        <v/>
      </c>
      <c r="B47" s="278" t="str">
        <f>IF(ISBLANK('Table 3-A| Emission Units'!D114),"",IF(LEN('Table 3-A| Emission Units'!D114)&gt;25,LEFT('Table 3-A| Emission Units'!D114,25)&amp;"…",'Table 3-A| Emission Units'!D114))</f>
        <v/>
      </c>
      <c r="C47" s="279"/>
      <c r="D47" s="280"/>
      <c r="E47" s="281"/>
      <c r="F47" s="281"/>
      <c r="G47" s="281"/>
      <c r="H47" s="281"/>
      <c r="I47" s="281"/>
      <c r="J47" s="282" t="str">
        <f t="shared" si="1"/>
        <v/>
      </c>
      <c r="K47" s="283"/>
      <c r="L47" s="284"/>
    </row>
    <row r="48" spans="1:33" ht="18" customHeight="1" x14ac:dyDescent="0.25">
      <c r="A48" s="277" t="str">
        <f>IF(ISBLANK('Table 3-A| Emission Units'!A115),"",'Table 3-A| Emission Units'!A115&amp;"-"&amp;'Table 3-A| Emission Units'!B115)</f>
        <v/>
      </c>
      <c r="B48" s="278" t="str">
        <f>IF(ISBLANK('Table 3-A| Emission Units'!D115),"",IF(LEN('Table 3-A| Emission Units'!D115)&gt;25,LEFT('Table 3-A| Emission Units'!D115,25)&amp;"…",'Table 3-A| Emission Units'!D115))</f>
        <v/>
      </c>
      <c r="C48" s="279"/>
      <c r="D48" s="280"/>
      <c r="E48" s="281"/>
      <c r="F48" s="281"/>
      <c r="G48" s="281"/>
      <c r="H48" s="281"/>
      <c r="I48" s="281"/>
      <c r="J48" s="282" t="str">
        <f t="shared" si="1"/>
        <v/>
      </c>
      <c r="K48" s="283"/>
      <c r="L48" s="284"/>
    </row>
    <row r="49" spans="1:12" ht="18" customHeight="1" x14ac:dyDescent="0.25">
      <c r="A49" s="277" t="str">
        <f>IF(ISBLANK('Table 3-A| Emission Units'!A116),"",'Table 3-A| Emission Units'!A116&amp;"-"&amp;'Table 3-A| Emission Units'!B116)</f>
        <v/>
      </c>
      <c r="B49" s="278" t="str">
        <f>IF(ISBLANK('Table 3-A| Emission Units'!D116),"",IF(LEN('Table 3-A| Emission Units'!D116)&gt;25,LEFT('Table 3-A| Emission Units'!D116,25)&amp;"…",'Table 3-A| Emission Units'!D116))</f>
        <v/>
      </c>
      <c r="C49" s="279"/>
      <c r="D49" s="280"/>
      <c r="E49" s="281"/>
      <c r="F49" s="281"/>
      <c r="G49" s="281"/>
      <c r="H49" s="281"/>
      <c r="I49" s="281"/>
      <c r="J49" s="282" t="str">
        <f t="shared" si="1"/>
        <v/>
      </c>
      <c r="K49" s="283"/>
      <c r="L49" s="284"/>
    </row>
    <row r="50" spans="1:12" ht="18" customHeight="1" x14ac:dyDescent="0.25">
      <c r="A50" s="277" t="str">
        <f>IF(ISBLANK('Table 3-A| Emission Units'!A117),"",'Table 3-A| Emission Units'!A117&amp;"-"&amp;'Table 3-A| Emission Units'!B117)</f>
        <v/>
      </c>
      <c r="B50" s="278" t="str">
        <f>IF(ISBLANK('Table 3-A| Emission Units'!D117),"",IF(LEN('Table 3-A| Emission Units'!D117)&gt;25,LEFT('Table 3-A| Emission Units'!D117,25)&amp;"…",'Table 3-A| Emission Units'!D117))</f>
        <v/>
      </c>
      <c r="C50" s="279"/>
      <c r="D50" s="280"/>
      <c r="E50" s="281"/>
      <c r="F50" s="281"/>
      <c r="G50" s="281"/>
      <c r="H50" s="281"/>
      <c r="I50" s="281"/>
      <c r="J50" s="282" t="str">
        <f t="shared" si="1"/>
        <v/>
      </c>
      <c r="K50" s="283"/>
      <c r="L50" s="284"/>
    </row>
    <row r="51" spans="1:12" ht="18" customHeight="1" x14ac:dyDescent="0.25">
      <c r="A51" s="277" t="str">
        <f>IF(ISBLANK('Table 3-A| Emission Units'!A118),"",'Table 3-A| Emission Units'!A118&amp;"-"&amp;'Table 3-A| Emission Units'!B118)</f>
        <v/>
      </c>
      <c r="B51" s="278" t="str">
        <f>IF(ISBLANK('Table 3-A| Emission Units'!D118),"",IF(LEN('Table 3-A| Emission Units'!D118)&gt;25,LEFT('Table 3-A| Emission Units'!D118,25)&amp;"…",'Table 3-A| Emission Units'!D118))</f>
        <v/>
      </c>
      <c r="C51" s="279"/>
      <c r="D51" s="280"/>
      <c r="E51" s="281"/>
      <c r="F51" s="281"/>
      <c r="G51" s="281"/>
      <c r="H51" s="281"/>
      <c r="I51" s="281"/>
      <c r="J51" s="282" t="str">
        <f t="shared" si="1"/>
        <v/>
      </c>
      <c r="K51" s="283"/>
      <c r="L51" s="284"/>
    </row>
    <row r="52" spans="1:12" ht="18" customHeight="1" x14ac:dyDescent="0.25">
      <c r="A52" s="277" t="str">
        <f>IF(ISBLANK('Table 3-A| Emission Units'!A119),"",'Table 3-A| Emission Units'!A119&amp;"-"&amp;'Table 3-A| Emission Units'!B119)</f>
        <v/>
      </c>
      <c r="B52" s="278" t="str">
        <f>IF(ISBLANK('Table 3-A| Emission Units'!D119),"",IF(LEN('Table 3-A| Emission Units'!D119)&gt;25,LEFT('Table 3-A| Emission Units'!D119,25)&amp;"…",'Table 3-A| Emission Units'!D119))</f>
        <v/>
      </c>
      <c r="C52" s="279"/>
      <c r="D52" s="280"/>
      <c r="E52" s="281"/>
      <c r="F52" s="281"/>
      <c r="G52" s="281"/>
      <c r="H52" s="281"/>
      <c r="I52" s="281"/>
      <c r="J52" s="282" t="str">
        <f t="shared" si="1"/>
        <v/>
      </c>
      <c r="K52" s="283"/>
      <c r="L52" s="284"/>
    </row>
    <row r="53" spans="1:12" ht="18" customHeight="1" x14ac:dyDescent="0.25">
      <c r="A53" s="277" t="str">
        <f>IF(ISBLANK('Table 3-A| Emission Units'!A120),"",'Table 3-A| Emission Units'!A120&amp;"-"&amp;'Table 3-A| Emission Units'!B120)</f>
        <v/>
      </c>
      <c r="B53" s="278" t="str">
        <f>IF(ISBLANK('Table 3-A| Emission Units'!D120),"",IF(LEN('Table 3-A| Emission Units'!D120)&gt;25,LEFT('Table 3-A| Emission Units'!D120,25)&amp;"…",'Table 3-A| Emission Units'!D120))</f>
        <v/>
      </c>
      <c r="C53" s="279"/>
      <c r="D53" s="280"/>
      <c r="E53" s="281"/>
      <c r="F53" s="281"/>
      <c r="G53" s="281"/>
      <c r="H53" s="281"/>
      <c r="I53" s="281"/>
      <c r="J53" s="282" t="str">
        <f t="shared" si="1"/>
        <v/>
      </c>
      <c r="K53" s="283"/>
      <c r="L53" s="284"/>
    </row>
    <row r="54" spans="1:12" ht="18" customHeight="1" x14ac:dyDescent="0.25">
      <c r="A54" s="277" t="str">
        <f>IF(ISBLANK('Table 3-A| Emission Units'!A121),"",'Table 3-A| Emission Units'!A121&amp;"-"&amp;'Table 3-A| Emission Units'!B121)</f>
        <v/>
      </c>
      <c r="B54" s="278" t="str">
        <f>IF(ISBLANK('Table 3-A| Emission Units'!D121),"",IF(LEN('Table 3-A| Emission Units'!D121)&gt;25,LEFT('Table 3-A| Emission Units'!D121,25)&amp;"…",'Table 3-A| Emission Units'!D121))</f>
        <v/>
      </c>
      <c r="C54" s="279"/>
      <c r="D54" s="280"/>
      <c r="E54" s="281"/>
      <c r="F54" s="281"/>
      <c r="G54" s="281"/>
      <c r="H54" s="281"/>
      <c r="I54" s="281"/>
      <c r="J54" s="282" t="str">
        <f t="shared" si="1"/>
        <v/>
      </c>
      <c r="K54" s="283"/>
      <c r="L54" s="284"/>
    </row>
    <row r="55" spans="1:12" ht="18" customHeight="1" x14ac:dyDescent="0.25">
      <c r="A55" s="277" t="str">
        <f>IF(ISBLANK('Table 3-A| Emission Units'!A122),"",'Table 3-A| Emission Units'!A122&amp;"-"&amp;'Table 3-A| Emission Units'!B122)</f>
        <v/>
      </c>
      <c r="B55" s="278" t="str">
        <f>IF(ISBLANK('Table 3-A| Emission Units'!D122),"",IF(LEN('Table 3-A| Emission Units'!D122)&gt;25,LEFT('Table 3-A| Emission Units'!D122,25)&amp;"…",'Table 3-A| Emission Units'!D122))</f>
        <v/>
      </c>
      <c r="C55" s="279"/>
      <c r="D55" s="280"/>
      <c r="E55" s="281"/>
      <c r="F55" s="281"/>
      <c r="G55" s="281"/>
      <c r="H55" s="281"/>
      <c r="I55" s="281"/>
      <c r="J55" s="282" t="str">
        <f t="shared" si="1"/>
        <v/>
      </c>
      <c r="K55" s="283"/>
      <c r="L55" s="284"/>
    </row>
    <row r="56" spans="1:12" ht="18" customHeight="1" x14ac:dyDescent="0.25">
      <c r="A56" s="277" t="str">
        <f>IF(ISBLANK('Table 3-A| Emission Units'!A123),"",'Table 3-A| Emission Units'!A123&amp;"-"&amp;'Table 3-A| Emission Units'!B123)</f>
        <v/>
      </c>
      <c r="B56" s="278" t="str">
        <f>IF(ISBLANK('Table 3-A| Emission Units'!D123),"",IF(LEN('Table 3-A| Emission Units'!D123)&gt;25,LEFT('Table 3-A| Emission Units'!D123,25)&amp;"…",'Table 3-A| Emission Units'!D123))</f>
        <v/>
      </c>
      <c r="C56" s="279"/>
      <c r="D56" s="280"/>
      <c r="E56" s="281"/>
      <c r="F56" s="281"/>
      <c r="G56" s="281"/>
      <c r="H56" s="281"/>
      <c r="I56" s="281"/>
      <c r="J56" s="282" t="str">
        <f t="shared" si="1"/>
        <v/>
      </c>
      <c r="K56" s="283"/>
      <c r="L56" s="284"/>
    </row>
    <row r="57" spans="1:12" ht="18" customHeight="1" x14ac:dyDescent="0.25">
      <c r="A57" s="277" t="str">
        <f>IF(ISBLANK('Table 3-A| Emission Units'!A124),"",'Table 3-A| Emission Units'!A124&amp;"-"&amp;'Table 3-A| Emission Units'!B124)</f>
        <v/>
      </c>
      <c r="B57" s="278" t="str">
        <f>IF(ISBLANK('Table 3-A| Emission Units'!D124),"",IF(LEN('Table 3-A| Emission Units'!D124)&gt;25,LEFT('Table 3-A| Emission Units'!D124,25)&amp;"…",'Table 3-A| Emission Units'!D124))</f>
        <v/>
      </c>
      <c r="C57" s="279"/>
      <c r="D57" s="280"/>
      <c r="E57" s="281"/>
      <c r="F57" s="281"/>
      <c r="G57" s="281"/>
      <c r="H57" s="281"/>
      <c r="I57" s="281"/>
      <c r="J57" s="282" t="str">
        <f t="shared" si="1"/>
        <v/>
      </c>
      <c r="K57" s="283"/>
      <c r="L57" s="284"/>
    </row>
    <row r="58" spans="1:12" ht="18" customHeight="1" x14ac:dyDescent="0.25">
      <c r="A58" s="277" t="str">
        <f>IF(ISBLANK('Table 3-A| Emission Units'!A125),"",'Table 3-A| Emission Units'!A125&amp;"-"&amp;'Table 3-A| Emission Units'!B125)</f>
        <v/>
      </c>
      <c r="B58" s="278" t="str">
        <f>IF(ISBLANK('Table 3-A| Emission Units'!D125),"",IF(LEN('Table 3-A| Emission Units'!D125)&gt;25,LEFT('Table 3-A| Emission Units'!D125,25)&amp;"…",'Table 3-A| Emission Units'!D125))</f>
        <v/>
      </c>
      <c r="C58" s="279"/>
      <c r="D58" s="280"/>
      <c r="E58" s="281"/>
      <c r="F58" s="281"/>
      <c r="G58" s="281"/>
      <c r="H58" s="281"/>
      <c r="I58" s="281"/>
      <c r="J58" s="282" t="str">
        <f t="shared" ref="J58:J63" si="2">IFERROR(IF(ISBLANK(G58),"",(3.14159*((0.5*G58)^2))*I58),"Invalid Data")</f>
        <v/>
      </c>
      <c r="K58" s="283"/>
      <c r="L58" s="284"/>
    </row>
    <row r="59" spans="1:12" ht="18" customHeight="1" x14ac:dyDescent="0.25">
      <c r="A59" s="277" t="str">
        <f>IF(ISBLANK('Table 3-A| Emission Units'!A126),"",'Table 3-A| Emission Units'!A126&amp;"-"&amp;'Table 3-A| Emission Units'!B126)</f>
        <v/>
      </c>
      <c r="B59" s="278" t="str">
        <f>IF(ISBLANK('Table 3-A| Emission Units'!D126),"",IF(LEN('Table 3-A| Emission Units'!D126)&gt;25,LEFT('Table 3-A| Emission Units'!D126,25)&amp;"…",'Table 3-A| Emission Units'!D126))</f>
        <v/>
      </c>
      <c r="C59" s="279"/>
      <c r="D59" s="280"/>
      <c r="E59" s="281"/>
      <c r="F59" s="281"/>
      <c r="G59" s="281"/>
      <c r="H59" s="281"/>
      <c r="I59" s="281"/>
      <c r="J59" s="282" t="str">
        <f t="shared" si="2"/>
        <v/>
      </c>
      <c r="K59" s="283"/>
      <c r="L59" s="284"/>
    </row>
    <row r="60" spans="1:12" ht="18" customHeight="1" x14ac:dyDescent="0.25">
      <c r="A60" s="277" t="str">
        <f>IF(ISBLANK('Table 3-A| Emission Units'!A127),"",'Table 3-A| Emission Units'!A127&amp;"-"&amp;'Table 3-A| Emission Units'!B127)</f>
        <v/>
      </c>
      <c r="B60" s="278" t="str">
        <f>IF(ISBLANK('Table 3-A| Emission Units'!D127),"",IF(LEN('Table 3-A| Emission Units'!D127)&gt;25,LEFT('Table 3-A| Emission Units'!D127,25)&amp;"…",'Table 3-A| Emission Units'!D127))</f>
        <v/>
      </c>
      <c r="C60" s="279"/>
      <c r="D60" s="280"/>
      <c r="E60" s="281"/>
      <c r="F60" s="281"/>
      <c r="G60" s="281"/>
      <c r="H60" s="281"/>
      <c r="I60" s="281"/>
      <c r="J60" s="282" t="str">
        <f t="shared" si="2"/>
        <v/>
      </c>
      <c r="K60" s="283"/>
      <c r="L60" s="284"/>
    </row>
    <row r="61" spans="1:12" ht="18" customHeight="1" x14ac:dyDescent="0.25">
      <c r="A61" s="277" t="str">
        <f>IF(ISBLANK('Table 3-A| Emission Units'!A128),"",'Table 3-A| Emission Units'!A128&amp;"-"&amp;'Table 3-A| Emission Units'!B128)</f>
        <v/>
      </c>
      <c r="B61" s="278" t="str">
        <f>IF(ISBLANK('Table 3-A| Emission Units'!D128),"",IF(LEN('Table 3-A| Emission Units'!D128)&gt;25,LEFT('Table 3-A| Emission Units'!D128,25)&amp;"…",'Table 3-A| Emission Units'!D128))</f>
        <v/>
      </c>
      <c r="C61" s="279"/>
      <c r="D61" s="280"/>
      <c r="E61" s="281"/>
      <c r="F61" s="281"/>
      <c r="G61" s="281"/>
      <c r="H61" s="281"/>
      <c r="I61" s="281"/>
      <c r="J61" s="282" t="str">
        <f t="shared" si="2"/>
        <v/>
      </c>
      <c r="K61" s="283"/>
      <c r="L61" s="284"/>
    </row>
    <row r="62" spans="1:12" ht="18" customHeight="1" x14ac:dyDescent="0.25">
      <c r="A62" s="277" t="str">
        <f>IF(ISBLANK('Table 3-A| Emission Units'!A129),"",'Table 3-A| Emission Units'!A129&amp;"-"&amp;'Table 3-A| Emission Units'!B129)</f>
        <v/>
      </c>
      <c r="B62" s="278" t="str">
        <f>IF(ISBLANK('Table 3-A| Emission Units'!D129),"",IF(LEN('Table 3-A| Emission Units'!D129)&gt;25,LEFT('Table 3-A| Emission Units'!D129,25)&amp;"…",'Table 3-A| Emission Units'!D129))</f>
        <v/>
      </c>
      <c r="C62" s="279"/>
      <c r="D62" s="280"/>
      <c r="E62" s="281"/>
      <c r="F62" s="281"/>
      <c r="G62" s="281"/>
      <c r="H62" s="281"/>
      <c r="I62" s="281"/>
      <c r="J62" s="282" t="str">
        <f t="shared" si="2"/>
        <v/>
      </c>
      <c r="K62" s="283"/>
      <c r="L62" s="284"/>
    </row>
    <row r="63" spans="1:12" ht="18" customHeight="1" thickBot="1" x14ac:dyDescent="0.3">
      <c r="A63" s="285" t="str">
        <f>IF(ISBLANK('Table 3-A| Emission Units'!A130),"",'Table 3-A| Emission Units'!A130&amp;"-"&amp;'Table 3-A| Emission Units'!B130)</f>
        <v/>
      </c>
      <c r="B63" s="286" t="str">
        <f>IF(ISBLANK('Table 3-A| Emission Units'!D130),"",IF(LEN('Table 3-A| Emission Units'!D130)&gt;25,LEFT('Table 3-A| Emission Units'!D130,25)&amp;"…",'Table 3-A| Emission Units'!D130))</f>
        <v/>
      </c>
      <c r="C63" s="287"/>
      <c r="D63" s="288"/>
      <c r="E63" s="289"/>
      <c r="F63" s="289"/>
      <c r="G63" s="289"/>
      <c r="H63" s="289"/>
      <c r="I63" s="289"/>
      <c r="J63" s="290" t="str">
        <f t="shared" si="2"/>
        <v/>
      </c>
      <c r="K63" s="291"/>
      <c r="L63" s="292"/>
    </row>
    <row r="64" spans="1:12" ht="18" customHeight="1" x14ac:dyDescent="0.25"/>
    <row r="65" ht="18" customHeight="1" x14ac:dyDescent="0.25"/>
    <row r="66" ht="18" customHeight="1" x14ac:dyDescent="0.25"/>
    <row r="67" ht="18" customHeight="1" x14ac:dyDescent="0.25"/>
    <row r="68" ht="18" customHeight="1" x14ac:dyDescent="0.25"/>
    <row r="69" ht="18" customHeight="1" x14ac:dyDescent="0.25"/>
    <row r="70" ht="18" customHeight="1" x14ac:dyDescent="0.25"/>
    <row r="71" ht="18" customHeight="1" x14ac:dyDescent="0.25"/>
    <row r="72" ht="18" customHeight="1" x14ac:dyDescent="0.25"/>
    <row r="73" ht="18" customHeight="1" x14ac:dyDescent="0.25"/>
    <row r="74" ht="18" customHeight="1" x14ac:dyDescent="0.25"/>
    <row r="75" ht="18" customHeight="1" x14ac:dyDescent="0.25"/>
    <row r="76" ht="18" customHeight="1" x14ac:dyDescent="0.25"/>
    <row r="77" ht="18" customHeight="1" x14ac:dyDescent="0.25"/>
    <row r="78" ht="18" customHeight="1" x14ac:dyDescent="0.25"/>
    <row r="79" ht="18" customHeight="1" x14ac:dyDescent="0.25"/>
    <row r="80" ht="18" customHeight="1" x14ac:dyDescent="0.25"/>
    <row r="81" ht="18" customHeight="1" x14ac:dyDescent="0.25"/>
    <row r="82" ht="18" customHeight="1" x14ac:dyDescent="0.25"/>
    <row r="83" ht="18" customHeight="1" x14ac:dyDescent="0.25"/>
    <row r="84" ht="18" customHeight="1" x14ac:dyDescent="0.25"/>
    <row r="85" ht="18" customHeight="1" x14ac:dyDescent="0.25"/>
    <row r="86" ht="18" customHeight="1" x14ac:dyDescent="0.25"/>
    <row r="87" ht="18" customHeight="1" x14ac:dyDescent="0.25"/>
    <row r="88" ht="18" customHeight="1" x14ac:dyDescent="0.25"/>
    <row r="89" ht="18" customHeight="1" x14ac:dyDescent="0.25"/>
    <row r="90" ht="18" customHeight="1" x14ac:dyDescent="0.25"/>
    <row r="91" ht="18" customHeight="1" x14ac:dyDescent="0.25"/>
    <row r="92" ht="18" customHeight="1" x14ac:dyDescent="0.25"/>
    <row r="93" ht="18" customHeight="1" x14ac:dyDescent="0.25"/>
    <row r="94" ht="18" customHeight="1" x14ac:dyDescent="0.25"/>
    <row r="95" ht="18" customHeight="1" x14ac:dyDescent="0.25"/>
    <row r="96" ht="18" customHeight="1" x14ac:dyDescent="0.25"/>
    <row r="97" ht="18" customHeight="1" x14ac:dyDescent="0.25"/>
    <row r="98" ht="18" customHeight="1" x14ac:dyDescent="0.25"/>
    <row r="99" ht="18" customHeight="1" x14ac:dyDescent="0.25"/>
  </sheetData>
  <sheetProtection algorithmName="SHA-512" hashValue="rarnHWj9uZS32dbX7tWhXLc/8Id6wWagKhxbnII1nDQ6jPdf+5hconG3TgfN0RMTxYlH3E8/D6BQQA4Qz9VtzA==" saltValue="hu04asC91d/o3oqdBErWPg==" spinCount="100000" sheet="1" objects="1" scenarios="1"/>
  <mergeCells count="51">
    <mergeCell ref="A40:L40"/>
    <mergeCell ref="A36:L36"/>
    <mergeCell ref="A14:L14"/>
    <mergeCell ref="K24:L24"/>
    <mergeCell ref="A22:L22"/>
    <mergeCell ref="A29:B30"/>
    <mergeCell ref="I25:J25"/>
    <mergeCell ref="K25:L25"/>
    <mergeCell ref="K26:L26"/>
    <mergeCell ref="I26:J26"/>
    <mergeCell ref="K27:L27"/>
    <mergeCell ref="I27:J27"/>
    <mergeCell ref="K28:L28"/>
    <mergeCell ref="I28:J28"/>
    <mergeCell ref="D28:E28"/>
    <mergeCell ref="D29:E29"/>
    <mergeCell ref="A1:L1"/>
    <mergeCell ref="A3:L3"/>
    <mergeCell ref="A2:L2"/>
    <mergeCell ref="A12:A13"/>
    <mergeCell ref="B12:B13"/>
    <mergeCell ref="K12:K13"/>
    <mergeCell ref="L12:L13"/>
    <mergeCell ref="B5:L5"/>
    <mergeCell ref="B4:L4"/>
    <mergeCell ref="B6:L6"/>
    <mergeCell ref="AG37:AG38"/>
    <mergeCell ref="A34:L34"/>
    <mergeCell ref="A35:L35"/>
    <mergeCell ref="A37:L37"/>
    <mergeCell ref="B38:B39"/>
    <mergeCell ref="A38:A39"/>
    <mergeCell ref="K38:K39"/>
    <mergeCell ref="AF37:AF38"/>
    <mergeCell ref="L38:L39"/>
    <mergeCell ref="A32:L32"/>
    <mergeCell ref="B10:L10"/>
    <mergeCell ref="B9:L9"/>
    <mergeCell ref="B8:L8"/>
    <mergeCell ref="B7:L7"/>
    <mergeCell ref="A31:L31"/>
    <mergeCell ref="A25:B25"/>
    <mergeCell ref="A24:B24"/>
    <mergeCell ref="G29:H30"/>
    <mergeCell ref="I29:J30"/>
    <mergeCell ref="A28:B28"/>
    <mergeCell ref="A27:B27"/>
    <mergeCell ref="A26:B26"/>
    <mergeCell ref="K29:L30"/>
    <mergeCell ref="F29:F30"/>
    <mergeCell ref="I24:J24"/>
  </mergeCells>
  <conditionalFormatting sqref="B15:B21">
    <cfRule type="expression" dxfId="259" priority="32">
      <formula>AND(NOT(ISBLANK(A15)),ISBLANK(B15))</formula>
    </cfRule>
  </conditionalFormatting>
  <conditionalFormatting sqref="C15:C21">
    <cfRule type="expression" dxfId="258" priority="13">
      <formula>AND(NOT(ISBLANK(A15)),NOT(ISBLANK(B15)),ISBLANK(C15))</formula>
    </cfRule>
  </conditionalFormatting>
  <conditionalFormatting sqref="C41:C63">
    <cfRule type="expression" dxfId="257" priority="2">
      <formula>AND(NOT(ISBLANK(C41)),OR(C41&gt;41.05,C41&lt;40.52))</formula>
    </cfRule>
  </conditionalFormatting>
  <conditionalFormatting sqref="C41:D63">
    <cfRule type="expression" dxfId="256" priority="4">
      <formula>AND(NOT($A41=""),ISBLANK(C41))</formula>
    </cfRule>
    <cfRule type="expression" dxfId="255" priority="5">
      <formula>ISTEXT(C41)</formula>
    </cfRule>
  </conditionalFormatting>
  <conditionalFormatting sqref="C17:E21">
    <cfRule type="expression" dxfId="254" priority="14">
      <formula>AND(NOT(ISNUMBER(C17)),NOT(ISBLANK(C17)))</formula>
    </cfRule>
  </conditionalFormatting>
  <conditionalFormatting sqref="C15:H16">
    <cfRule type="expression" dxfId="253" priority="42">
      <formula>AND(NOT(ISNUMBER(C15)),NOT(ISBLANK(C15)))</formula>
    </cfRule>
  </conditionalFormatting>
  <conditionalFormatting sqref="C15:J21 L15:L21 L41:L63">
    <cfRule type="expression" dxfId="252" priority="6" stopIfTrue="1">
      <formula>$K15="Fugitive"</formula>
    </cfRule>
  </conditionalFormatting>
  <conditionalFormatting sqref="C41:J63">
    <cfRule type="expression" dxfId="251" priority="1" stopIfTrue="1">
      <formula>$K41="Fugitive"</formula>
    </cfRule>
  </conditionalFormatting>
  <conditionalFormatting sqref="D15:D21">
    <cfRule type="expression" dxfId="250" priority="12">
      <formula>AND(NOT(ISBLANK(A15)),NOT(ISBLANK(B15)),NOT(ISBLANK(C15)),ISBLANK(D15))</formula>
    </cfRule>
  </conditionalFormatting>
  <conditionalFormatting sqref="D41:D63">
    <cfRule type="expression" dxfId="249" priority="3">
      <formula>AND(NOT(ISBLANK(D41)),OR(D41&gt;96.92,D41&lt;96.46))</formula>
    </cfRule>
  </conditionalFormatting>
  <conditionalFormatting sqref="E15:E21">
    <cfRule type="expression" dxfId="248" priority="11">
      <formula>AND(NOT(ISBLANK(A15)),NOT(ISBLANK(B15)),NOT(ISBLANK(C15)),NOT(ISBLANK(D15)),ISBLANK(E15))</formula>
    </cfRule>
  </conditionalFormatting>
  <conditionalFormatting sqref="E41:I63">
    <cfRule type="expression" dxfId="247" priority="81">
      <formula>ISTEXT(E41)</formula>
    </cfRule>
  </conditionalFormatting>
  <conditionalFormatting sqref="E41:L63">
    <cfRule type="expression" dxfId="246" priority="80">
      <formula>AND(NOT($A41=""),ISBLANK(E41))</formula>
    </cfRule>
  </conditionalFormatting>
  <conditionalFormatting sqref="F15:F21">
    <cfRule type="expression" dxfId="245" priority="22">
      <formula>AND(NOT(ISBLANK(A15)),NOT(ISBLANK(B15)),NOT(ISBLANK(C15)),NOT(ISBLANK(D15)),NOT(ISBLANK(E15)),ISBLANK(F15))</formula>
    </cfRule>
  </conditionalFormatting>
  <conditionalFormatting sqref="F17:H21">
    <cfRule type="expression" dxfId="244" priority="26">
      <formula>AND(NOT(ISNUMBER(F17)),NOT(ISBLANK(F17)))</formula>
    </cfRule>
  </conditionalFormatting>
  <conditionalFormatting sqref="G15:G21">
    <cfRule type="expression" dxfId="243" priority="19">
      <formula>AND(NOT(ISBLANK(A15)),NOT(ISBLANK(B15)),NOT(ISBLANK(C15)),NOT(ISBLANK(D15)),NOT(ISBLANK(E15)),NOT(ISBLANK(F15)),ISBLANK(G15))</formula>
    </cfRule>
  </conditionalFormatting>
  <conditionalFormatting sqref="H15:H21">
    <cfRule type="expression" dxfId="242" priority="21">
      <formula>AND(NOT(ISBLANK(A15)),NOT(ISBLANK(B15)),NOT(ISBLANK(C15)),NOT(ISBLANK(D15)),NOT(ISBLANK(E15)),NOT(ISBLANK(F15)),NOT(ISBLANK(G15)),ISBLANK(H15))</formula>
    </cfRule>
  </conditionalFormatting>
  <conditionalFormatting sqref="I15:I21">
    <cfRule type="expression" dxfId="241" priority="20">
      <formula>AND(NOT(ISBLANK(A15)),NOT(ISBLANK(B15)),NOT(ISBLANK(C15)),NOT(ISBLANK(D15)),NOT(ISBLANK(E15)),NOT(ISBLANK(F15)),NOT(ISBLANK(H15)),ISBLANK(I15))</formula>
    </cfRule>
  </conditionalFormatting>
  <conditionalFormatting sqref="K15:K21">
    <cfRule type="expression" dxfId="240" priority="18">
      <formula>AND(NOT(ISBLANK(A15)),NOT(ISBLANK(B15)),NOT(ISBLANK(C15)),NOT(ISBLANK(D15)),NOT(ISBLANK(E15)),NOT(ISBLANK(F15)),NOT(ISBLANK(H15)),NOT(ISBLANK(I15)),ISBLANK(K15))</formula>
    </cfRule>
  </conditionalFormatting>
  <conditionalFormatting sqref="L15:L21">
    <cfRule type="expression" dxfId="239" priority="17">
      <formula>AND(NOT(ISBLANK(A15)),NOT(ISBLANK(B15)),NOT(ISBLANK(C15)),NOT(ISBLANK(D15)),NOT(ISBLANK(E15)),NOT(ISBLANK(F15)),NOT(ISBLANK(H15)),NOT(ISBLANK(I15)),NOT(ISBLANK(K15)),ISBLANK(L15))</formula>
    </cfRule>
  </conditionalFormatting>
  <dataValidations disablePrompts="1" count="6">
    <dataValidation type="list" errorStyle="warning" showInputMessage="1" showErrorMessage="1" errorTitle="Error" error="Must select either Vertical, Horizontal, or Fugitive!" promptTitle="Select One" prompt="Please indicate whether the stack or release point is oriented vertically or horizontally, or if emissions are fugitive." sqref="K41:K63" xr:uid="{00000000-0002-0000-0400-000000000000}">
      <formula1>$AF$39:$AF$41</formula1>
    </dataValidation>
    <dataValidation type="list" errorStyle="warning" showInputMessage="1" showErrorMessage="1" errorTitle="Error" error="Must select either Yes or No!" promptTitle="Select One" prompt="Indicate whether or not this stack is equipped with a raincap." sqref="L41:L63" xr:uid="{00000000-0002-0000-0400-000001000000}">
      <formula1>$AG$39:$AG$40</formula1>
    </dataValidation>
    <dataValidation type="list" showInputMessage="1" showErrorMessage="1" errorTitle="Error" error="Must select either Vertical or Horizontal!" promptTitle="Select One" prompt="Please indicate whether the stack or release point is oriented vertically or horizontally." sqref="K15:K21" xr:uid="{00000000-0002-0000-0400-000002000000}">
      <formula1>$AF$39:$AF$39</formula1>
    </dataValidation>
    <dataValidation type="list" showInputMessage="1" showErrorMessage="1" errorTitle="Error" error="Must select either Yes or No!" promptTitle="Select One" prompt="Indicate whether or not this stack is equipped with a raincap." sqref="L15:L21" xr:uid="{00000000-0002-0000-0400-000003000000}">
      <formula1>$AG$39:$AG$39</formula1>
    </dataValidation>
    <dataValidation type="decimal" allowBlank="1" showInputMessage="1" showErrorMessage="1" errorTitle="Invalid Entry" error="Coordinates are outside of Lancaster County." sqref="D41:D63" xr:uid="{00000000-0002-0000-0400-000004000000}">
      <formula1>96.46</formula1>
      <formula2>96.92</formula2>
    </dataValidation>
    <dataValidation type="decimal" allowBlank="1" showInputMessage="1" showErrorMessage="1" errorTitle="Invalid Entry" error="Coordinates are outside of Lancaster County." sqref="C41:C63" xr:uid="{00000000-0002-0000-0400-000005000000}">
      <formula1>40.52</formula1>
      <formula2>41.05</formula2>
    </dataValidation>
  </dataValidations>
  <printOptions horizontalCentered="1"/>
  <pageMargins left="0.5" right="0.5" top="0.5" bottom="0.5" header="0.3" footer="0.3"/>
  <pageSetup scale="73" fitToHeight="0" orientation="landscape" r:id="rId1"/>
  <headerFooter>
    <oddFooter>&amp;L&amp;12Rev. 1/2015&amp;C&amp;A&amp;R&amp;10Page &amp;P</oddFooter>
  </headerFooter>
  <ignoredErrors>
    <ignoredError sqref="J41:J6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rgb="FFC00000"/>
    <pageSetUpPr fitToPage="1"/>
  </sheetPr>
  <dimension ref="A1:R69"/>
  <sheetViews>
    <sheetView zoomScaleNormal="100" workbookViewId="0">
      <selection sqref="A1:R1"/>
    </sheetView>
  </sheetViews>
  <sheetFormatPr defaultRowHeight="20.100000000000001" customHeight="1" x14ac:dyDescent="0.25"/>
  <cols>
    <col min="1" max="1" width="9.140625" style="92" customWidth="1"/>
    <col min="2" max="16384" width="9.140625" style="92"/>
  </cols>
  <sheetData>
    <row r="1" spans="1:18" s="91" customFormat="1" ht="30" customHeight="1" thickBot="1" x14ac:dyDescent="0.3">
      <c r="A1" s="1148" t="s">
        <v>1738</v>
      </c>
      <c r="B1" s="1148"/>
      <c r="C1" s="1148"/>
      <c r="D1" s="1148"/>
      <c r="E1" s="1148"/>
      <c r="F1" s="1148"/>
      <c r="G1" s="1148"/>
      <c r="H1" s="1148"/>
      <c r="I1" s="1148"/>
      <c r="J1" s="1148"/>
      <c r="K1" s="1148"/>
      <c r="L1" s="1148"/>
      <c r="M1" s="1148"/>
      <c r="N1" s="1148"/>
      <c r="O1" s="1148"/>
      <c r="P1" s="1148"/>
      <c r="Q1" s="1148"/>
      <c r="R1" s="1148"/>
    </row>
    <row r="2" spans="1:18" ht="39.950000000000003" customHeight="1" x14ac:dyDescent="0.25">
      <c r="A2" s="1147" t="s">
        <v>1892</v>
      </c>
      <c r="B2" s="1147"/>
      <c r="C2" s="1147"/>
      <c r="D2" s="1147"/>
      <c r="E2" s="1147"/>
      <c r="F2" s="1147"/>
      <c r="G2" s="1147"/>
      <c r="H2" s="1147"/>
      <c r="I2" s="1147"/>
      <c r="J2" s="1147"/>
      <c r="K2" s="1147"/>
      <c r="L2" s="1147"/>
      <c r="M2" s="1147"/>
      <c r="N2" s="1147"/>
      <c r="O2" s="1147"/>
      <c r="P2" s="1147"/>
      <c r="Q2" s="1147"/>
      <c r="R2" s="1147"/>
    </row>
    <row r="3" spans="1:18" ht="60" customHeight="1" thickBot="1" x14ac:dyDescent="0.3">
      <c r="A3" s="1147" t="s">
        <v>1805</v>
      </c>
      <c r="B3" s="1147"/>
      <c r="C3" s="1147"/>
      <c r="D3" s="1147"/>
      <c r="E3" s="1147"/>
      <c r="F3" s="1147"/>
      <c r="G3" s="1147"/>
      <c r="H3" s="1147"/>
      <c r="I3" s="1147"/>
      <c r="J3" s="1147"/>
      <c r="K3" s="1147"/>
      <c r="L3" s="1147"/>
      <c r="M3" s="1147"/>
      <c r="N3" s="1147"/>
      <c r="O3" s="1147"/>
      <c r="P3" s="1147"/>
      <c r="Q3" s="1147"/>
      <c r="R3" s="1147"/>
    </row>
    <row r="4" spans="1:18" s="495" customFormat="1" ht="20.100000000000001" customHeight="1" thickBot="1" x14ac:dyDescent="0.3">
      <c r="A4" s="1153" t="s">
        <v>1521</v>
      </c>
      <c r="B4" s="1154"/>
      <c r="C4" s="1154"/>
      <c r="D4" s="1154"/>
      <c r="E4" s="1154"/>
      <c r="F4" s="1154"/>
      <c r="G4" s="1154"/>
      <c r="H4" s="1154"/>
      <c r="I4" s="1154"/>
      <c r="J4" s="1154"/>
      <c r="K4" s="1154"/>
      <c r="L4" s="1154"/>
      <c r="M4" s="1154"/>
      <c r="N4" s="1154"/>
      <c r="O4" s="1154"/>
      <c r="P4" s="1154"/>
      <c r="Q4" s="1154"/>
      <c r="R4" s="1154"/>
    </row>
    <row r="5" spans="1:18" ht="60" customHeight="1" x14ac:dyDescent="0.25">
      <c r="A5" s="1147" t="s">
        <v>1472</v>
      </c>
      <c r="B5" s="1147"/>
      <c r="C5" s="1147"/>
      <c r="D5" s="1147"/>
      <c r="E5" s="1147"/>
      <c r="F5" s="1147"/>
      <c r="G5" s="1147"/>
      <c r="H5" s="1147"/>
      <c r="I5" s="1147"/>
      <c r="J5" s="1147"/>
      <c r="K5" s="1147"/>
      <c r="L5" s="1147"/>
      <c r="M5" s="1147"/>
      <c r="N5" s="1147"/>
      <c r="O5" s="1147"/>
      <c r="P5" s="1147"/>
      <c r="Q5" s="1147"/>
      <c r="R5" s="1147"/>
    </row>
    <row r="6" spans="1:18" ht="80.099999999999994" customHeight="1" x14ac:dyDescent="0.25">
      <c r="A6" s="1147" t="s">
        <v>1806</v>
      </c>
      <c r="B6" s="1147"/>
      <c r="C6" s="1147"/>
      <c r="D6" s="1147"/>
      <c r="E6" s="1147"/>
      <c r="F6" s="1147"/>
      <c r="G6" s="1147"/>
      <c r="H6" s="1147"/>
      <c r="I6" s="1147"/>
      <c r="J6" s="1147"/>
      <c r="K6" s="1147"/>
      <c r="L6" s="1147"/>
      <c r="M6" s="1147"/>
      <c r="N6" s="1147"/>
      <c r="O6" s="1147"/>
      <c r="P6" s="1147"/>
      <c r="Q6" s="1147"/>
      <c r="R6" s="1147"/>
    </row>
    <row r="7" spans="1:18" ht="19.5" customHeight="1" thickBot="1" x14ac:dyDescent="0.3">
      <c r="A7" s="1156" t="s">
        <v>1471</v>
      </c>
      <c r="B7" s="1156"/>
      <c r="C7" s="1156"/>
      <c r="D7" s="1156"/>
      <c r="E7" s="1156"/>
      <c r="F7" s="1156"/>
      <c r="G7" s="1156"/>
      <c r="H7" s="1156"/>
      <c r="I7" s="1156"/>
      <c r="J7" s="1156"/>
      <c r="K7" s="1156"/>
      <c r="L7" s="1156"/>
      <c r="M7" s="1156"/>
      <c r="N7" s="1156"/>
      <c r="O7" s="1156"/>
      <c r="P7" s="1156"/>
      <c r="Q7" s="1156"/>
      <c r="R7" s="1156"/>
    </row>
    <row r="8" spans="1:18" s="495" customFormat="1" ht="20.100000000000001" customHeight="1" thickBot="1" x14ac:dyDescent="0.3">
      <c r="A8" s="1153" t="s">
        <v>1520</v>
      </c>
      <c r="B8" s="1154"/>
      <c r="C8" s="1154"/>
      <c r="D8" s="1154"/>
      <c r="E8" s="1154"/>
      <c r="F8" s="1154"/>
      <c r="G8" s="1154"/>
      <c r="H8" s="1154"/>
      <c r="I8" s="1154"/>
      <c r="J8" s="1154"/>
      <c r="K8" s="1154"/>
      <c r="L8" s="1154"/>
      <c r="M8" s="1154"/>
      <c r="N8" s="1154"/>
      <c r="O8" s="1154"/>
      <c r="P8" s="1154"/>
      <c r="Q8" s="1154"/>
      <c r="R8" s="1154"/>
    </row>
    <row r="9" spans="1:18" ht="39.950000000000003" customHeight="1" x14ac:dyDescent="0.25">
      <c r="A9" s="1155" t="s">
        <v>1888</v>
      </c>
      <c r="B9" s="1155"/>
      <c r="C9" s="1155"/>
      <c r="D9" s="1155"/>
      <c r="E9" s="1155"/>
      <c r="F9" s="1155"/>
      <c r="G9" s="1155"/>
      <c r="H9" s="1155"/>
      <c r="I9" s="1155"/>
      <c r="J9" s="1155"/>
      <c r="K9" s="1155"/>
      <c r="L9" s="1155"/>
      <c r="M9" s="1155"/>
      <c r="N9" s="1155"/>
      <c r="O9" s="1155"/>
      <c r="P9" s="1155"/>
      <c r="Q9" s="1155"/>
      <c r="R9" s="1155"/>
    </row>
    <row r="10" spans="1:18" ht="95.1" customHeight="1" thickBot="1" x14ac:dyDescent="0.3">
      <c r="A10" s="1147" t="s">
        <v>1889</v>
      </c>
      <c r="B10" s="1147"/>
      <c r="C10" s="1147"/>
      <c r="D10" s="1147"/>
      <c r="E10" s="1147"/>
      <c r="F10" s="1147"/>
      <c r="G10" s="1147"/>
      <c r="H10" s="1147"/>
      <c r="I10" s="1147"/>
      <c r="J10" s="1147"/>
      <c r="K10" s="1147"/>
      <c r="L10" s="1147"/>
      <c r="M10" s="1147"/>
      <c r="N10" s="1147"/>
      <c r="O10" s="1147"/>
      <c r="P10" s="1147"/>
      <c r="Q10" s="1147"/>
      <c r="R10" s="1147"/>
    </row>
    <row r="11" spans="1:18" s="496" customFormat="1" ht="20.100000000000001" customHeight="1" thickBot="1" x14ac:dyDescent="0.3">
      <c r="A11" s="1157" t="s">
        <v>1518</v>
      </c>
      <c r="B11" s="1158"/>
      <c r="C11" s="1158"/>
      <c r="D11" s="1158"/>
      <c r="E11" s="1158"/>
      <c r="F11" s="1158"/>
      <c r="G11" s="1158"/>
      <c r="H11" s="1158"/>
      <c r="I11" s="1158"/>
      <c r="J11" s="1158"/>
      <c r="K11" s="1158"/>
      <c r="L11" s="1158"/>
      <c r="M11" s="1158"/>
      <c r="N11" s="1158"/>
      <c r="O11" s="1158"/>
      <c r="P11" s="1158"/>
      <c r="Q11" s="1158"/>
      <c r="R11" s="1158"/>
    </row>
    <row r="12" spans="1:18" ht="50.1" customHeight="1" x14ac:dyDescent="0.25">
      <c r="A12" s="1147" t="s">
        <v>1886</v>
      </c>
      <c r="B12" s="1147"/>
      <c r="C12" s="1147"/>
      <c r="D12" s="1147"/>
      <c r="E12" s="1147"/>
      <c r="F12" s="1147"/>
      <c r="G12" s="1147"/>
      <c r="H12" s="1147"/>
      <c r="I12" s="1147"/>
      <c r="J12" s="1147"/>
      <c r="K12" s="1147"/>
      <c r="L12" s="1147"/>
      <c r="M12" s="1147"/>
      <c r="N12" s="1147"/>
      <c r="O12" s="1147"/>
      <c r="P12" s="1147"/>
      <c r="Q12" s="1147"/>
      <c r="R12" s="1147"/>
    </row>
    <row r="13" spans="1:18" s="492" customFormat="1" ht="39.950000000000003" customHeight="1" x14ac:dyDescent="0.25">
      <c r="A13" s="171">
        <v>1</v>
      </c>
      <c r="B13" s="1152" t="s">
        <v>1511</v>
      </c>
      <c r="C13" s="1152"/>
      <c r="D13" s="1152"/>
      <c r="E13" s="1152"/>
      <c r="F13" s="1152"/>
      <c r="G13" s="1152"/>
      <c r="H13" s="1152"/>
      <c r="I13" s="1152"/>
      <c r="J13" s="1152"/>
      <c r="K13" s="1152"/>
      <c r="L13" s="1152"/>
      <c r="M13" s="1152"/>
      <c r="N13" s="1152"/>
      <c r="O13" s="1152"/>
      <c r="P13" s="1152"/>
      <c r="Q13" s="1152"/>
      <c r="R13" s="1152"/>
    </row>
    <row r="14" spans="1:18" s="492" customFormat="1" ht="20.100000000000001" customHeight="1" x14ac:dyDescent="0.25">
      <c r="A14" s="171">
        <v>2</v>
      </c>
      <c r="B14" s="1152" t="s">
        <v>1473</v>
      </c>
      <c r="C14" s="1152"/>
      <c r="D14" s="1152"/>
      <c r="E14" s="1152"/>
      <c r="F14" s="1152"/>
      <c r="G14" s="1152"/>
      <c r="H14" s="1152"/>
      <c r="I14" s="1152"/>
      <c r="J14" s="1152"/>
      <c r="K14" s="1152"/>
      <c r="L14" s="1152"/>
      <c r="M14" s="1152"/>
      <c r="N14" s="1152"/>
      <c r="O14" s="1152"/>
      <c r="P14" s="1152"/>
      <c r="Q14" s="1152"/>
      <c r="R14" s="1152"/>
    </row>
    <row r="15" spans="1:18" s="492" customFormat="1" ht="39.950000000000003" customHeight="1" x14ac:dyDescent="0.25">
      <c r="A15" s="171">
        <v>3</v>
      </c>
      <c r="B15" s="1152" t="s">
        <v>1474</v>
      </c>
      <c r="C15" s="1152"/>
      <c r="D15" s="1152"/>
      <c r="E15" s="1152"/>
      <c r="F15" s="1152"/>
      <c r="G15" s="1152"/>
      <c r="H15" s="1152"/>
      <c r="I15" s="1152"/>
      <c r="J15" s="1152"/>
      <c r="K15" s="1152"/>
      <c r="L15" s="1152"/>
      <c r="M15" s="1152"/>
      <c r="N15" s="1152"/>
      <c r="O15" s="1152"/>
      <c r="P15" s="1152"/>
      <c r="Q15" s="1152"/>
      <c r="R15" s="1152"/>
    </row>
    <row r="16" spans="1:18" s="492" customFormat="1" ht="20.100000000000001" customHeight="1" x14ac:dyDescent="0.25">
      <c r="A16" s="171">
        <v>4</v>
      </c>
      <c r="B16" s="1152" t="s">
        <v>1475</v>
      </c>
      <c r="C16" s="1152"/>
      <c r="D16" s="1152"/>
      <c r="E16" s="1152"/>
      <c r="F16" s="1152"/>
      <c r="G16" s="1152"/>
      <c r="H16" s="1152"/>
      <c r="I16" s="1152"/>
      <c r="J16" s="1152"/>
      <c r="K16" s="1152"/>
      <c r="L16" s="1152"/>
      <c r="M16" s="1152"/>
      <c r="N16" s="1152"/>
      <c r="O16" s="1152"/>
      <c r="P16" s="1152"/>
      <c r="Q16" s="1152"/>
      <c r="R16" s="1152"/>
    </row>
    <row r="17" spans="1:18" s="492" customFormat="1" ht="20.100000000000001" customHeight="1" x14ac:dyDescent="0.25">
      <c r="A17" s="171">
        <v>5</v>
      </c>
      <c r="B17" s="1152" t="s">
        <v>1476</v>
      </c>
      <c r="C17" s="1152"/>
      <c r="D17" s="1152"/>
      <c r="E17" s="1152"/>
      <c r="F17" s="1152"/>
      <c r="G17" s="1152"/>
      <c r="H17" s="1152"/>
      <c r="I17" s="1152"/>
      <c r="J17" s="1152"/>
      <c r="K17" s="1152"/>
      <c r="L17" s="1152"/>
      <c r="M17" s="1152"/>
      <c r="N17" s="1152"/>
      <c r="O17" s="1152"/>
      <c r="P17" s="1152"/>
      <c r="Q17" s="1152"/>
      <c r="R17" s="1152"/>
    </row>
    <row r="18" spans="1:18" s="492" customFormat="1" ht="20.100000000000001" customHeight="1" x14ac:dyDescent="0.25">
      <c r="A18" s="171">
        <v>6</v>
      </c>
      <c r="B18" s="1152" t="s">
        <v>1477</v>
      </c>
      <c r="C18" s="1152"/>
      <c r="D18" s="1152"/>
      <c r="E18" s="1152"/>
      <c r="F18" s="1152"/>
      <c r="G18" s="1152"/>
      <c r="H18" s="1152"/>
      <c r="I18" s="1152"/>
      <c r="J18" s="1152"/>
      <c r="K18" s="1152"/>
      <c r="L18" s="1152"/>
      <c r="M18" s="1152"/>
      <c r="N18" s="1152"/>
      <c r="O18" s="1152"/>
      <c r="P18" s="1152"/>
      <c r="Q18" s="1152"/>
      <c r="R18" s="1152"/>
    </row>
    <row r="19" spans="1:18" s="492" customFormat="1" ht="20.100000000000001" customHeight="1" x14ac:dyDescent="0.25">
      <c r="A19" s="171">
        <v>7</v>
      </c>
      <c r="B19" s="1152" t="s">
        <v>1478</v>
      </c>
      <c r="C19" s="1152"/>
      <c r="D19" s="1152"/>
      <c r="E19" s="1152"/>
      <c r="F19" s="1152"/>
      <c r="G19" s="1152"/>
      <c r="H19" s="1152"/>
      <c r="I19" s="1152"/>
      <c r="J19" s="1152"/>
      <c r="K19" s="1152"/>
      <c r="L19" s="1152"/>
      <c r="M19" s="1152"/>
      <c r="N19" s="1152"/>
      <c r="O19" s="1152"/>
      <c r="P19" s="1152"/>
      <c r="Q19" s="1152"/>
      <c r="R19" s="1152"/>
    </row>
    <row r="20" spans="1:18" s="492" customFormat="1" ht="20.100000000000001" customHeight="1" x14ac:dyDescent="0.25">
      <c r="A20" s="171">
        <v>8</v>
      </c>
      <c r="B20" s="1152" t="s">
        <v>1479</v>
      </c>
      <c r="C20" s="1152"/>
      <c r="D20" s="1152"/>
      <c r="E20" s="1152"/>
      <c r="F20" s="1152"/>
      <c r="G20" s="1152"/>
      <c r="H20" s="1152"/>
      <c r="I20" s="1152"/>
      <c r="J20" s="1152"/>
      <c r="K20" s="1152"/>
      <c r="L20" s="1152"/>
      <c r="M20" s="1152"/>
      <c r="N20" s="1152"/>
      <c r="O20" s="1152"/>
      <c r="P20" s="1152"/>
      <c r="Q20" s="1152"/>
      <c r="R20" s="1152"/>
    </row>
    <row r="21" spans="1:18" s="492" customFormat="1" ht="20.100000000000001" customHeight="1" x14ac:dyDescent="0.25">
      <c r="A21" s="171">
        <v>9</v>
      </c>
      <c r="B21" s="1152" t="s">
        <v>1480</v>
      </c>
      <c r="C21" s="1152"/>
      <c r="D21" s="1152"/>
      <c r="E21" s="1152"/>
      <c r="F21" s="1152"/>
      <c r="G21" s="1152"/>
      <c r="H21" s="1152"/>
      <c r="I21" s="1152"/>
      <c r="J21" s="1152"/>
      <c r="K21" s="1152"/>
      <c r="L21" s="1152"/>
      <c r="M21" s="1152"/>
      <c r="N21" s="1152"/>
      <c r="O21" s="1152"/>
      <c r="P21" s="1152"/>
      <c r="Q21" s="1152"/>
      <c r="R21" s="1152"/>
    </row>
    <row r="22" spans="1:18" s="492" customFormat="1" ht="20.100000000000001" customHeight="1" x14ac:dyDescent="0.25">
      <c r="A22" s="171">
        <v>10</v>
      </c>
      <c r="B22" s="1152" t="s">
        <v>1485</v>
      </c>
      <c r="C22" s="1152"/>
      <c r="D22" s="1152"/>
      <c r="E22" s="1152"/>
      <c r="F22" s="1152"/>
      <c r="G22" s="1152"/>
      <c r="H22" s="1152"/>
      <c r="I22" s="1152"/>
      <c r="J22" s="1152"/>
      <c r="K22" s="1152"/>
      <c r="L22" s="1152"/>
      <c r="M22" s="1152"/>
      <c r="N22" s="1152"/>
      <c r="O22" s="1152"/>
      <c r="P22" s="1152"/>
      <c r="Q22" s="1152"/>
      <c r="R22" s="1152"/>
    </row>
    <row r="23" spans="1:18" s="492" customFormat="1" ht="39.950000000000003" customHeight="1" x14ac:dyDescent="0.25">
      <c r="A23" s="171">
        <v>11</v>
      </c>
      <c r="B23" s="1152" t="s">
        <v>1486</v>
      </c>
      <c r="C23" s="1152"/>
      <c r="D23" s="1152"/>
      <c r="E23" s="1152"/>
      <c r="F23" s="1152"/>
      <c r="G23" s="1152"/>
      <c r="H23" s="1152"/>
      <c r="I23" s="1152"/>
      <c r="J23" s="1152"/>
      <c r="K23" s="1152"/>
      <c r="L23" s="1152"/>
      <c r="M23" s="1152"/>
      <c r="N23" s="1152"/>
      <c r="O23" s="1152"/>
      <c r="P23" s="1152"/>
      <c r="Q23" s="1152"/>
      <c r="R23" s="1152"/>
    </row>
    <row r="24" spans="1:18" s="492" customFormat="1" ht="20.100000000000001" customHeight="1" x14ac:dyDescent="0.25">
      <c r="A24" s="171">
        <v>12</v>
      </c>
      <c r="B24" s="1152" t="s">
        <v>1487</v>
      </c>
      <c r="C24" s="1152"/>
      <c r="D24" s="1152"/>
      <c r="E24" s="1152"/>
      <c r="F24" s="1152"/>
      <c r="G24" s="1152"/>
      <c r="H24" s="1152"/>
      <c r="I24" s="1152"/>
      <c r="J24" s="1152"/>
      <c r="K24" s="1152"/>
      <c r="L24" s="1152"/>
      <c r="M24" s="1152"/>
      <c r="N24" s="1152"/>
      <c r="O24" s="1152"/>
      <c r="P24" s="1152"/>
      <c r="Q24" s="1152"/>
      <c r="R24" s="1152"/>
    </row>
    <row r="25" spans="1:18" s="492" customFormat="1" ht="20.100000000000001" customHeight="1" x14ac:dyDescent="0.25">
      <c r="A25" s="171">
        <v>13</v>
      </c>
      <c r="B25" s="1152" t="s">
        <v>1488</v>
      </c>
      <c r="C25" s="1152"/>
      <c r="D25" s="1152"/>
      <c r="E25" s="1152"/>
      <c r="F25" s="1152"/>
      <c r="G25" s="1152"/>
      <c r="H25" s="1152"/>
      <c r="I25" s="1152"/>
      <c r="J25" s="1152"/>
      <c r="K25" s="1152"/>
      <c r="L25" s="1152"/>
      <c r="M25" s="1152"/>
      <c r="N25" s="1152"/>
      <c r="O25" s="1152"/>
      <c r="P25" s="1152"/>
      <c r="Q25" s="1152"/>
      <c r="R25" s="1152"/>
    </row>
    <row r="26" spans="1:18" s="492" customFormat="1" ht="20.100000000000001" customHeight="1" x14ac:dyDescent="0.25">
      <c r="A26" s="171">
        <v>14</v>
      </c>
      <c r="B26" s="1152" t="s">
        <v>1489</v>
      </c>
      <c r="C26" s="1152"/>
      <c r="D26" s="1152"/>
      <c r="E26" s="1152"/>
      <c r="F26" s="1152"/>
      <c r="G26" s="1152"/>
      <c r="H26" s="1152"/>
      <c r="I26" s="1152"/>
      <c r="J26" s="1152"/>
      <c r="K26" s="1152"/>
      <c r="L26" s="1152"/>
      <c r="M26" s="1152"/>
      <c r="N26" s="1152"/>
      <c r="O26" s="1152"/>
      <c r="P26" s="1152"/>
      <c r="Q26" s="1152"/>
      <c r="R26" s="1152"/>
    </row>
    <row r="27" spans="1:18" s="492" customFormat="1" ht="39.950000000000003" customHeight="1" x14ac:dyDescent="0.25">
      <c r="A27" s="171">
        <v>15</v>
      </c>
      <c r="B27" s="1152" t="s">
        <v>1491</v>
      </c>
      <c r="C27" s="1152"/>
      <c r="D27" s="1152"/>
      <c r="E27" s="1152"/>
      <c r="F27" s="1152"/>
      <c r="G27" s="1152"/>
      <c r="H27" s="1152"/>
      <c r="I27" s="1152"/>
      <c r="J27" s="1152"/>
      <c r="K27" s="1152"/>
      <c r="L27" s="1152"/>
      <c r="M27" s="1152"/>
      <c r="N27" s="1152"/>
      <c r="O27" s="1152"/>
      <c r="P27" s="1152"/>
      <c r="Q27" s="1152"/>
      <c r="R27" s="1152"/>
    </row>
    <row r="28" spans="1:18" s="492" customFormat="1" ht="20.100000000000001" customHeight="1" x14ac:dyDescent="0.25">
      <c r="A28" s="171">
        <v>16</v>
      </c>
      <c r="B28" s="1152" t="s">
        <v>1492</v>
      </c>
      <c r="C28" s="1152"/>
      <c r="D28" s="1152"/>
      <c r="E28" s="1152"/>
      <c r="F28" s="1152"/>
      <c r="G28" s="1152"/>
      <c r="H28" s="1152"/>
      <c r="I28" s="1152"/>
      <c r="J28" s="1152"/>
      <c r="K28" s="1152"/>
      <c r="L28" s="1152"/>
      <c r="M28" s="1152"/>
      <c r="N28" s="1152"/>
      <c r="O28" s="1152"/>
      <c r="P28" s="1152"/>
      <c r="Q28" s="1152"/>
      <c r="R28" s="1152"/>
    </row>
    <row r="29" spans="1:18" s="492" customFormat="1" ht="20.100000000000001" customHeight="1" x14ac:dyDescent="0.25">
      <c r="A29" s="171">
        <v>17</v>
      </c>
      <c r="B29" s="1152" t="s">
        <v>1494</v>
      </c>
      <c r="C29" s="1152"/>
      <c r="D29" s="1152"/>
      <c r="E29" s="1152"/>
      <c r="F29" s="1152"/>
      <c r="G29" s="1152"/>
      <c r="H29" s="1152"/>
      <c r="I29" s="1152"/>
      <c r="J29" s="1152"/>
      <c r="K29" s="1152"/>
      <c r="L29" s="1152"/>
      <c r="M29" s="1152"/>
      <c r="N29" s="1152"/>
      <c r="O29" s="1152"/>
      <c r="P29" s="1152"/>
      <c r="Q29" s="1152"/>
      <c r="R29" s="1152"/>
    </row>
    <row r="30" spans="1:18" s="492" customFormat="1" ht="20.100000000000001" customHeight="1" x14ac:dyDescent="0.25">
      <c r="A30" s="171">
        <v>18</v>
      </c>
      <c r="B30" s="1152" t="s">
        <v>1495</v>
      </c>
      <c r="C30" s="1152"/>
      <c r="D30" s="1152"/>
      <c r="E30" s="1152"/>
      <c r="F30" s="1152"/>
      <c r="G30" s="1152"/>
      <c r="H30" s="1152"/>
      <c r="I30" s="1152"/>
      <c r="J30" s="1152"/>
      <c r="K30" s="1152"/>
      <c r="L30" s="1152"/>
      <c r="M30" s="1152"/>
      <c r="N30" s="1152"/>
      <c r="O30" s="1152"/>
      <c r="P30" s="1152"/>
      <c r="Q30" s="1152"/>
      <c r="R30" s="1152"/>
    </row>
    <row r="31" spans="1:18" s="492" customFormat="1" ht="20.100000000000001" customHeight="1" x14ac:dyDescent="0.25">
      <c r="A31" s="171">
        <v>19</v>
      </c>
      <c r="B31" s="1152" t="s">
        <v>1496</v>
      </c>
      <c r="C31" s="1152"/>
      <c r="D31" s="1152"/>
      <c r="E31" s="1152"/>
      <c r="F31" s="1152"/>
      <c r="G31" s="1152"/>
      <c r="H31" s="1152"/>
      <c r="I31" s="1152"/>
      <c r="J31" s="1152"/>
      <c r="K31" s="1152"/>
      <c r="L31" s="1152"/>
      <c r="M31" s="1152"/>
      <c r="N31" s="1152"/>
      <c r="O31" s="1152"/>
      <c r="P31" s="1152"/>
      <c r="Q31" s="1152"/>
      <c r="R31" s="1152"/>
    </row>
    <row r="32" spans="1:18" s="492" customFormat="1" ht="20.100000000000001" customHeight="1" x14ac:dyDescent="0.25">
      <c r="A32" s="171">
        <v>20</v>
      </c>
      <c r="B32" s="1152" t="s">
        <v>1497</v>
      </c>
      <c r="C32" s="1152"/>
      <c r="D32" s="1152"/>
      <c r="E32" s="1152"/>
      <c r="F32" s="1152"/>
      <c r="G32" s="1152"/>
      <c r="H32" s="1152"/>
      <c r="I32" s="1152"/>
      <c r="J32" s="1152"/>
      <c r="K32" s="1152"/>
      <c r="L32" s="1152"/>
      <c r="M32" s="1152"/>
      <c r="N32" s="1152"/>
      <c r="O32" s="1152"/>
      <c r="P32" s="1152"/>
      <c r="Q32" s="1152"/>
      <c r="R32" s="1152"/>
    </row>
    <row r="33" spans="1:18" s="492" customFormat="1" ht="20.100000000000001" customHeight="1" x14ac:dyDescent="0.25">
      <c r="A33" s="171">
        <v>21</v>
      </c>
      <c r="B33" s="1152" t="s">
        <v>1498</v>
      </c>
      <c r="C33" s="1152"/>
      <c r="D33" s="1152"/>
      <c r="E33" s="1152"/>
      <c r="F33" s="1152"/>
      <c r="G33" s="1152"/>
      <c r="H33" s="1152"/>
      <c r="I33" s="1152"/>
      <c r="J33" s="1152"/>
      <c r="K33" s="1152"/>
      <c r="L33" s="1152"/>
      <c r="M33" s="1152"/>
      <c r="N33" s="1152"/>
      <c r="O33" s="1152"/>
      <c r="P33" s="1152"/>
      <c r="Q33" s="1152"/>
      <c r="R33" s="1152"/>
    </row>
    <row r="34" spans="1:18" s="492" customFormat="1" ht="20.100000000000001" customHeight="1" x14ac:dyDescent="0.25">
      <c r="A34" s="171">
        <v>22</v>
      </c>
      <c r="B34" s="1152" t="s">
        <v>1499</v>
      </c>
      <c r="C34" s="1152"/>
      <c r="D34" s="1152"/>
      <c r="E34" s="1152"/>
      <c r="F34" s="1152"/>
      <c r="G34" s="1152"/>
      <c r="H34" s="1152"/>
      <c r="I34" s="1152"/>
      <c r="J34" s="1152"/>
      <c r="K34" s="1152"/>
      <c r="L34" s="1152"/>
      <c r="M34" s="1152"/>
      <c r="N34" s="1152"/>
      <c r="O34" s="1152"/>
      <c r="P34" s="1152"/>
      <c r="Q34" s="1152"/>
      <c r="R34" s="1152"/>
    </row>
    <row r="35" spans="1:18" s="492" customFormat="1" ht="39.950000000000003" customHeight="1" x14ac:dyDescent="0.25">
      <c r="A35" s="171">
        <v>23</v>
      </c>
      <c r="B35" s="1152" t="s">
        <v>1500</v>
      </c>
      <c r="C35" s="1152"/>
      <c r="D35" s="1152"/>
      <c r="E35" s="1152"/>
      <c r="F35" s="1152"/>
      <c r="G35" s="1152"/>
      <c r="H35" s="1152"/>
      <c r="I35" s="1152"/>
      <c r="J35" s="1152"/>
      <c r="K35" s="1152"/>
      <c r="L35" s="1152"/>
      <c r="M35" s="1152"/>
      <c r="N35" s="1152"/>
      <c r="O35" s="1152"/>
      <c r="P35" s="1152"/>
      <c r="Q35" s="1152"/>
      <c r="R35" s="1152"/>
    </row>
    <row r="36" spans="1:18" s="492" customFormat="1" ht="20.100000000000001" customHeight="1" x14ac:dyDescent="0.25">
      <c r="A36" s="171">
        <v>24</v>
      </c>
      <c r="B36" s="1152" t="s">
        <v>1501</v>
      </c>
      <c r="C36" s="1152"/>
      <c r="D36" s="1152"/>
      <c r="E36" s="1152"/>
      <c r="F36" s="1152"/>
      <c r="G36" s="1152"/>
      <c r="H36" s="1152"/>
      <c r="I36" s="1152"/>
      <c r="J36" s="1152"/>
      <c r="K36" s="1152"/>
      <c r="L36" s="1152"/>
      <c r="M36" s="1152"/>
      <c r="N36" s="1152"/>
      <c r="O36" s="1152"/>
      <c r="P36" s="1152"/>
      <c r="Q36" s="1152"/>
      <c r="R36" s="1152"/>
    </row>
    <row r="37" spans="1:18" s="492" customFormat="1" ht="20.100000000000001" customHeight="1" x14ac:dyDescent="0.25">
      <c r="A37" s="171">
        <v>25</v>
      </c>
      <c r="B37" s="1152" t="s">
        <v>1502</v>
      </c>
      <c r="C37" s="1152"/>
      <c r="D37" s="1152"/>
      <c r="E37" s="1152"/>
      <c r="F37" s="1152"/>
      <c r="G37" s="1152"/>
      <c r="H37" s="1152"/>
      <c r="I37" s="1152"/>
      <c r="J37" s="1152"/>
      <c r="K37" s="1152"/>
      <c r="L37" s="1152"/>
      <c r="M37" s="1152"/>
      <c r="N37" s="1152"/>
      <c r="O37" s="1152"/>
      <c r="P37" s="1152"/>
      <c r="Q37" s="1152"/>
      <c r="R37" s="1152"/>
    </row>
    <row r="38" spans="1:18" s="492" customFormat="1" ht="20.100000000000001" customHeight="1" x14ac:dyDescent="0.25">
      <c r="A38" s="171">
        <v>26</v>
      </c>
      <c r="B38" s="1152" t="s">
        <v>1503</v>
      </c>
      <c r="C38" s="1152"/>
      <c r="D38" s="1152"/>
      <c r="E38" s="1152"/>
      <c r="F38" s="1152"/>
      <c r="G38" s="1152"/>
      <c r="H38" s="1152"/>
      <c r="I38" s="1152"/>
      <c r="J38" s="1152"/>
      <c r="K38" s="1152"/>
      <c r="L38" s="1152"/>
      <c r="M38" s="1152"/>
      <c r="N38" s="1152"/>
      <c r="O38" s="1152"/>
      <c r="P38" s="1152"/>
      <c r="Q38" s="1152"/>
      <c r="R38" s="1152"/>
    </row>
    <row r="39" spans="1:18" s="492" customFormat="1" ht="20.100000000000001" customHeight="1" x14ac:dyDescent="0.25">
      <c r="A39" s="171">
        <v>27</v>
      </c>
      <c r="B39" s="1152" t="s">
        <v>1504</v>
      </c>
      <c r="C39" s="1152"/>
      <c r="D39" s="1152"/>
      <c r="E39" s="1152"/>
      <c r="F39" s="1152"/>
      <c r="G39" s="1152"/>
      <c r="H39" s="1152"/>
      <c r="I39" s="1152"/>
      <c r="J39" s="1152"/>
      <c r="K39" s="1152"/>
      <c r="L39" s="1152"/>
      <c r="M39" s="1152"/>
      <c r="N39" s="1152"/>
      <c r="O39" s="1152"/>
      <c r="P39" s="1152"/>
      <c r="Q39" s="1152"/>
      <c r="R39" s="1152"/>
    </row>
    <row r="40" spans="1:18" s="492" customFormat="1" ht="20.100000000000001" customHeight="1" x14ac:dyDescent="0.25">
      <c r="A40" s="171">
        <v>28</v>
      </c>
      <c r="B40" s="1152" t="s">
        <v>1878</v>
      </c>
      <c r="C40" s="1152"/>
      <c r="D40" s="1152"/>
      <c r="E40" s="1152"/>
      <c r="F40" s="1152"/>
      <c r="G40" s="1152"/>
      <c r="H40" s="1152"/>
      <c r="I40" s="1152"/>
      <c r="J40" s="1152"/>
      <c r="K40" s="1152"/>
      <c r="L40" s="1152"/>
      <c r="M40" s="1152"/>
      <c r="N40" s="1152"/>
      <c r="O40" s="1152"/>
      <c r="P40" s="1152"/>
      <c r="Q40" s="1152"/>
      <c r="R40" s="1152"/>
    </row>
    <row r="41" spans="1:18" s="492" customFormat="1" ht="20.100000000000001" customHeight="1" x14ac:dyDescent="0.25">
      <c r="A41" s="171">
        <v>29</v>
      </c>
      <c r="B41" s="1152" t="s">
        <v>1505</v>
      </c>
      <c r="C41" s="1152"/>
      <c r="D41" s="1152"/>
      <c r="E41" s="1152"/>
      <c r="F41" s="1152"/>
      <c r="G41" s="1152"/>
      <c r="H41" s="1152"/>
      <c r="I41" s="1152"/>
      <c r="J41" s="1152"/>
      <c r="K41" s="1152"/>
      <c r="L41" s="1152"/>
      <c r="M41" s="1152"/>
      <c r="N41" s="1152"/>
      <c r="O41" s="1152"/>
      <c r="P41" s="1152"/>
      <c r="Q41" s="1152"/>
      <c r="R41" s="1152"/>
    </row>
    <row r="42" spans="1:18" s="492" customFormat="1" ht="20.100000000000001" customHeight="1" x14ac:dyDescent="0.25">
      <c r="A42" s="171">
        <v>30</v>
      </c>
      <c r="B42" s="1152" t="s">
        <v>1506</v>
      </c>
      <c r="C42" s="1152"/>
      <c r="D42" s="1152"/>
      <c r="E42" s="1152"/>
      <c r="F42" s="1152"/>
      <c r="G42" s="1152"/>
      <c r="H42" s="1152"/>
      <c r="I42" s="1152"/>
      <c r="J42" s="1152"/>
      <c r="K42" s="1152"/>
      <c r="L42" s="1152"/>
      <c r="M42" s="1152"/>
      <c r="N42" s="1152"/>
      <c r="O42" s="1152"/>
      <c r="P42" s="1152"/>
      <c r="Q42" s="1152"/>
      <c r="R42" s="1152"/>
    </row>
    <row r="43" spans="1:18" s="492" customFormat="1" ht="20.100000000000001" customHeight="1" x14ac:dyDescent="0.25">
      <c r="A43" s="171">
        <v>31</v>
      </c>
      <c r="B43" s="1152" t="s">
        <v>1507</v>
      </c>
      <c r="C43" s="1152"/>
      <c r="D43" s="1152"/>
      <c r="E43" s="1152"/>
      <c r="F43" s="1152"/>
      <c r="G43" s="1152"/>
      <c r="H43" s="1152"/>
      <c r="I43" s="1152"/>
      <c r="J43" s="1152"/>
      <c r="K43" s="1152"/>
      <c r="L43" s="1152"/>
      <c r="M43" s="1152"/>
      <c r="N43" s="1152"/>
      <c r="O43" s="1152"/>
      <c r="P43" s="1152"/>
      <c r="Q43" s="1152"/>
      <c r="R43" s="1152"/>
    </row>
    <row r="44" spans="1:18" s="492" customFormat="1" ht="20.100000000000001" customHeight="1" x14ac:dyDescent="0.25">
      <c r="A44" s="171">
        <v>32</v>
      </c>
      <c r="B44" s="1152" t="s">
        <v>1508</v>
      </c>
      <c r="C44" s="1152"/>
      <c r="D44" s="1152"/>
      <c r="E44" s="1152"/>
      <c r="F44" s="1152"/>
      <c r="G44" s="1152"/>
      <c r="H44" s="1152"/>
      <c r="I44" s="1152"/>
      <c r="J44" s="1152"/>
      <c r="K44" s="1152"/>
      <c r="L44" s="1152"/>
      <c r="M44" s="1152"/>
      <c r="N44" s="1152"/>
      <c r="O44" s="1152"/>
      <c r="P44" s="1152"/>
      <c r="Q44" s="1152"/>
      <c r="R44" s="1152"/>
    </row>
    <row r="45" spans="1:18" s="492" customFormat="1" ht="20.100000000000001" customHeight="1" x14ac:dyDescent="0.25">
      <c r="A45" s="171">
        <v>33</v>
      </c>
      <c r="B45" s="1152" t="s">
        <v>1509</v>
      </c>
      <c r="C45" s="1152"/>
      <c r="D45" s="1152"/>
      <c r="E45" s="1152"/>
      <c r="F45" s="1152"/>
      <c r="G45" s="1152"/>
      <c r="H45" s="1152"/>
      <c r="I45" s="1152"/>
      <c r="J45" s="1152"/>
      <c r="K45" s="1152"/>
      <c r="L45" s="1152"/>
      <c r="M45" s="1152"/>
      <c r="N45" s="1152"/>
      <c r="O45" s="1152"/>
      <c r="P45" s="1152"/>
      <c r="Q45" s="1152"/>
      <c r="R45" s="1152"/>
    </row>
    <row r="46" spans="1:18" s="492" customFormat="1" ht="20.100000000000001" customHeight="1" x14ac:dyDescent="0.25">
      <c r="A46" s="171">
        <v>34</v>
      </c>
      <c r="B46" s="1152" t="s">
        <v>1510</v>
      </c>
      <c r="C46" s="1152"/>
      <c r="D46" s="1152"/>
      <c r="E46" s="1152"/>
      <c r="F46" s="1152"/>
      <c r="G46" s="1152"/>
      <c r="H46" s="1152"/>
      <c r="I46" s="1152"/>
      <c r="J46" s="1152"/>
      <c r="K46" s="1152"/>
      <c r="L46" s="1152"/>
      <c r="M46" s="1152"/>
      <c r="N46" s="1152"/>
      <c r="O46" s="1152"/>
      <c r="P46" s="1152"/>
      <c r="Q46" s="1152"/>
      <c r="R46" s="1152"/>
    </row>
    <row r="47" spans="1:18" s="492" customFormat="1" ht="20.100000000000001" customHeight="1" x14ac:dyDescent="0.25">
      <c r="A47" s="171">
        <v>35</v>
      </c>
      <c r="B47" s="1152" t="s">
        <v>1512</v>
      </c>
      <c r="C47" s="1152"/>
      <c r="D47" s="1152"/>
      <c r="E47" s="1152"/>
      <c r="F47" s="1152"/>
      <c r="G47" s="1152"/>
      <c r="H47" s="1152"/>
      <c r="I47" s="1152"/>
      <c r="J47" s="1152"/>
      <c r="K47" s="1152"/>
      <c r="L47" s="1152"/>
      <c r="M47" s="1152"/>
      <c r="N47" s="1152"/>
      <c r="O47" s="1152"/>
      <c r="P47" s="1152"/>
      <c r="Q47" s="1152"/>
      <c r="R47" s="1152"/>
    </row>
    <row r="48" spans="1:18" s="494" customFormat="1" ht="20.100000000000001" customHeight="1" thickBot="1" x14ac:dyDescent="0.3">
      <c r="A48" s="493">
        <v>36</v>
      </c>
      <c r="B48" s="1159" t="s">
        <v>1885</v>
      </c>
      <c r="C48" s="1159"/>
      <c r="D48" s="1159"/>
      <c r="E48" s="1159"/>
      <c r="F48" s="1159"/>
      <c r="G48" s="1159"/>
      <c r="H48" s="1159"/>
      <c r="I48" s="1159"/>
      <c r="J48" s="1159"/>
      <c r="K48" s="1159"/>
      <c r="L48" s="1159"/>
      <c r="M48" s="1159"/>
      <c r="N48" s="1159"/>
      <c r="O48" s="1159"/>
      <c r="P48" s="1159"/>
      <c r="Q48" s="1159"/>
      <c r="R48" s="1159"/>
    </row>
    <row r="49" spans="1:18" s="496" customFormat="1" ht="20.100000000000001" customHeight="1" thickBot="1" x14ac:dyDescent="0.3">
      <c r="A49" s="1157" t="s">
        <v>1877</v>
      </c>
      <c r="B49" s="1158"/>
      <c r="C49" s="1158"/>
      <c r="D49" s="1158"/>
      <c r="E49" s="1158"/>
      <c r="F49" s="1158"/>
      <c r="G49" s="1158"/>
      <c r="H49" s="1158"/>
      <c r="I49" s="1158"/>
      <c r="J49" s="1158"/>
      <c r="K49" s="1158"/>
      <c r="L49" s="1158"/>
      <c r="M49" s="1158"/>
      <c r="N49" s="1158"/>
      <c r="O49" s="1158"/>
      <c r="P49" s="1158"/>
      <c r="Q49" s="1158"/>
      <c r="R49" s="1158"/>
    </row>
    <row r="50" spans="1:18" ht="69.95" customHeight="1" x14ac:dyDescent="0.25">
      <c r="A50" s="1147" t="s">
        <v>1887</v>
      </c>
      <c r="B50" s="1147"/>
      <c r="C50" s="1147"/>
      <c r="D50" s="1147"/>
      <c r="E50" s="1147"/>
      <c r="F50" s="1147"/>
      <c r="G50" s="1147"/>
      <c r="H50" s="1147"/>
      <c r="I50" s="1147"/>
      <c r="J50" s="1147"/>
      <c r="K50" s="1147"/>
      <c r="L50" s="1147"/>
      <c r="M50" s="1147"/>
      <c r="N50" s="1147"/>
      <c r="O50" s="1147"/>
      <c r="P50" s="1147"/>
      <c r="Q50" s="1147"/>
      <c r="R50" s="1147"/>
    </row>
    <row r="51" spans="1:18" s="492" customFormat="1" ht="20.100000000000001" customHeight="1" x14ac:dyDescent="0.25">
      <c r="A51" s="171">
        <v>1</v>
      </c>
      <c r="B51" s="1152" t="s">
        <v>1481</v>
      </c>
      <c r="C51" s="1152"/>
      <c r="D51" s="1152"/>
      <c r="E51" s="1152"/>
      <c r="F51" s="1152"/>
      <c r="G51" s="1152"/>
      <c r="H51" s="1152"/>
      <c r="I51" s="1152"/>
      <c r="J51" s="1152"/>
      <c r="K51" s="1152"/>
      <c r="L51" s="1152"/>
      <c r="M51" s="1152"/>
      <c r="N51" s="1152"/>
      <c r="O51" s="1152"/>
      <c r="P51" s="1152"/>
      <c r="Q51" s="1152"/>
      <c r="R51" s="1152"/>
    </row>
    <row r="52" spans="1:18" s="492" customFormat="1" ht="20.100000000000001" customHeight="1" x14ac:dyDescent="0.25">
      <c r="A52" s="171">
        <v>2</v>
      </c>
      <c r="B52" s="1152" t="s">
        <v>1482</v>
      </c>
      <c r="C52" s="1152"/>
      <c r="D52" s="1152"/>
      <c r="E52" s="1152"/>
      <c r="F52" s="1152"/>
      <c r="G52" s="1152"/>
      <c r="H52" s="1152"/>
      <c r="I52" s="1152"/>
      <c r="J52" s="1152"/>
      <c r="K52" s="1152"/>
      <c r="L52" s="1152"/>
      <c r="M52" s="1152"/>
      <c r="N52" s="1152"/>
      <c r="O52" s="1152"/>
      <c r="P52" s="1152"/>
      <c r="Q52" s="1152"/>
      <c r="R52" s="1152"/>
    </row>
    <row r="53" spans="1:18" s="492" customFormat="1" ht="20.100000000000001" customHeight="1" x14ac:dyDescent="0.25">
      <c r="A53" s="171">
        <v>3</v>
      </c>
      <c r="B53" s="1152" t="s">
        <v>1483</v>
      </c>
      <c r="C53" s="1152"/>
      <c r="D53" s="1152"/>
      <c r="E53" s="1152"/>
      <c r="F53" s="1152"/>
      <c r="G53" s="1152"/>
      <c r="H53" s="1152"/>
      <c r="I53" s="1152"/>
      <c r="J53" s="1152"/>
      <c r="K53" s="1152"/>
      <c r="L53" s="1152"/>
      <c r="M53" s="1152"/>
      <c r="N53" s="1152"/>
      <c r="O53" s="1152"/>
      <c r="P53" s="1152"/>
      <c r="Q53" s="1152"/>
      <c r="R53" s="1152"/>
    </row>
    <row r="54" spans="1:18" s="492" customFormat="1" ht="20.100000000000001" customHeight="1" x14ac:dyDescent="0.25">
      <c r="A54" s="171">
        <v>4</v>
      </c>
      <c r="B54" s="1152" t="s">
        <v>1484</v>
      </c>
      <c r="C54" s="1152"/>
      <c r="D54" s="1152"/>
      <c r="E54" s="1152"/>
      <c r="F54" s="1152"/>
      <c r="G54" s="1152"/>
      <c r="H54" s="1152"/>
      <c r="I54" s="1152"/>
      <c r="J54" s="1152"/>
      <c r="K54" s="1152"/>
      <c r="L54" s="1152"/>
      <c r="M54" s="1152"/>
      <c r="N54" s="1152"/>
      <c r="O54" s="1152"/>
      <c r="P54" s="1152"/>
      <c r="Q54" s="1152"/>
      <c r="R54" s="1152"/>
    </row>
    <row r="55" spans="1:18" s="492" customFormat="1" ht="20.100000000000001" customHeight="1" x14ac:dyDescent="0.25">
      <c r="A55" s="171">
        <v>5</v>
      </c>
      <c r="B55" s="1152" t="s">
        <v>1490</v>
      </c>
      <c r="C55" s="1152"/>
      <c r="D55" s="1152"/>
      <c r="E55" s="1152"/>
      <c r="F55" s="1152"/>
      <c r="G55" s="1152"/>
      <c r="H55" s="1152"/>
      <c r="I55" s="1152"/>
      <c r="J55" s="1152"/>
      <c r="K55" s="1152"/>
      <c r="L55" s="1152"/>
      <c r="M55" s="1152"/>
      <c r="N55" s="1152"/>
      <c r="O55" s="1152"/>
      <c r="P55" s="1152"/>
      <c r="Q55" s="1152"/>
      <c r="R55" s="1152"/>
    </row>
    <row r="56" spans="1:18" s="492" customFormat="1" ht="20.100000000000001" customHeight="1" x14ac:dyDescent="0.25">
      <c r="A56" s="171">
        <v>6</v>
      </c>
      <c r="B56" s="1152" t="s">
        <v>1493</v>
      </c>
      <c r="C56" s="1152"/>
      <c r="D56" s="1152"/>
      <c r="E56" s="1152"/>
      <c r="F56" s="1152"/>
      <c r="G56" s="1152"/>
      <c r="H56" s="1152"/>
      <c r="I56" s="1152"/>
      <c r="J56" s="1152"/>
      <c r="K56" s="1152"/>
      <c r="L56" s="1152"/>
      <c r="M56" s="1152"/>
      <c r="N56" s="1152"/>
      <c r="O56" s="1152"/>
      <c r="P56" s="1152"/>
      <c r="Q56" s="1152"/>
      <c r="R56" s="1152"/>
    </row>
    <row r="57" spans="1:18" s="492" customFormat="1" ht="90" customHeight="1" x14ac:dyDescent="0.25">
      <c r="A57" s="171">
        <v>5</v>
      </c>
      <c r="B57" s="1152" t="s">
        <v>1890</v>
      </c>
      <c r="C57" s="1152"/>
      <c r="D57" s="1152"/>
      <c r="E57" s="1152"/>
      <c r="F57" s="1152"/>
      <c r="G57" s="1152"/>
      <c r="H57" s="1152"/>
      <c r="I57" s="1152"/>
      <c r="J57" s="1152"/>
      <c r="K57" s="1152"/>
      <c r="L57" s="1152"/>
      <c r="M57" s="1152"/>
      <c r="N57" s="1152"/>
      <c r="O57" s="1152"/>
      <c r="P57" s="1152"/>
      <c r="Q57" s="1152"/>
      <c r="R57" s="1152"/>
    </row>
    <row r="58" spans="1:18" s="494" customFormat="1" ht="110.1" customHeight="1" thickBot="1" x14ac:dyDescent="0.3">
      <c r="A58" s="493">
        <v>6</v>
      </c>
      <c r="B58" s="1160" t="s">
        <v>1891</v>
      </c>
      <c r="C58" s="1160"/>
      <c r="D58" s="1160"/>
      <c r="E58" s="1160"/>
      <c r="F58" s="1160"/>
      <c r="G58" s="1160"/>
      <c r="H58" s="1160"/>
      <c r="I58" s="1160"/>
      <c r="J58" s="1160"/>
      <c r="K58" s="1160"/>
      <c r="L58" s="1160"/>
      <c r="M58" s="1160"/>
      <c r="N58" s="1160"/>
      <c r="O58" s="1160"/>
      <c r="P58" s="1160"/>
      <c r="Q58" s="1160"/>
      <c r="R58" s="1160"/>
    </row>
    <row r="59" spans="1:18" ht="20.100000000000001" customHeight="1" thickBot="1" x14ac:dyDescent="0.3">
      <c r="C59" s="1149" t="s">
        <v>1513</v>
      </c>
      <c r="D59" s="1150"/>
      <c r="E59" s="1151"/>
      <c r="F59" s="1149" t="s">
        <v>1514</v>
      </c>
      <c r="G59" s="1150"/>
      <c r="H59" s="1150"/>
      <c r="I59" s="1150"/>
      <c r="J59" s="1150"/>
      <c r="K59" s="1151"/>
    </row>
    <row r="60" spans="1:18" ht="20.100000000000001" customHeight="1" x14ac:dyDescent="0.25">
      <c r="C60" s="1162" t="s">
        <v>1435</v>
      </c>
      <c r="D60" s="1163"/>
      <c r="E60" s="1164"/>
      <c r="F60" s="1162" t="s">
        <v>1515</v>
      </c>
      <c r="G60" s="1163"/>
      <c r="H60" s="1163"/>
      <c r="I60" s="1163"/>
      <c r="J60" s="1163"/>
      <c r="K60" s="1164"/>
    </row>
    <row r="61" spans="1:18" ht="20.100000000000001" customHeight="1" thickBot="1" x14ac:dyDescent="0.3">
      <c r="C61" s="1165" t="s">
        <v>1516</v>
      </c>
      <c r="D61" s="1166"/>
      <c r="E61" s="1167"/>
      <c r="F61" s="1165" t="s">
        <v>1517</v>
      </c>
      <c r="G61" s="1166"/>
      <c r="H61" s="1166"/>
      <c r="I61" s="1166"/>
      <c r="J61" s="1166"/>
      <c r="K61" s="1167"/>
    </row>
    <row r="62" spans="1:18" ht="20.100000000000001" customHeight="1" thickBot="1" x14ac:dyDescent="0.3">
      <c r="C62" s="1168" t="s">
        <v>1519</v>
      </c>
      <c r="D62" s="1168"/>
      <c r="E62" s="1168"/>
      <c r="F62" s="1168"/>
      <c r="G62" s="1168"/>
      <c r="H62" s="1168"/>
      <c r="I62" s="1168"/>
      <c r="J62" s="1168"/>
      <c r="K62" s="1168"/>
    </row>
    <row r="63" spans="1:18" s="496" customFormat="1" ht="20.100000000000001" customHeight="1" thickBot="1" x14ac:dyDescent="0.3">
      <c r="A63" s="1157" t="s">
        <v>1879</v>
      </c>
      <c r="B63" s="1158"/>
      <c r="C63" s="1158"/>
      <c r="D63" s="1158"/>
      <c r="E63" s="1158"/>
      <c r="F63" s="1158"/>
      <c r="G63" s="1158"/>
      <c r="H63" s="1158"/>
      <c r="I63" s="1158"/>
      <c r="J63" s="1158"/>
      <c r="K63" s="1158"/>
      <c r="L63" s="1158"/>
      <c r="M63" s="1158"/>
      <c r="N63" s="1158"/>
      <c r="O63" s="1158"/>
      <c r="P63" s="1158"/>
      <c r="Q63" s="1158"/>
      <c r="R63" s="1158"/>
    </row>
    <row r="64" spans="1:18" ht="39.950000000000003" customHeight="1" x14ac:dyDescent="0.25">
      <c r="A64" s="1147" t="s">
        <v>1880</v>
      </c>
      <c r="B64" s="1147"/>
      <c r="C64" s="1147"/>
      <c r="D64" s="1147"/>
      <c r="E64" s="1147"/>
      <c r="F64" s="1147"/>
      <c r="G64" s="1147"/>
      <c r="H64" s="1147"/>
      <c r="I64" s="1147"/>
      <c r="J64" s="1147"/>
      <c r="K64" s="1147"/>
      <c r="L64" s="1147"/>
      <c r="M64" s="1147"/>
      <c r="N64" s="1147"/>
      <c r="O64" s="1147"/>
      <c r="P64" s="1147"/>
      <c r="Q64" s="1147"/>
      <c r="R64" s="1147"/>
    </row>
    <row r="65" spans="1:18" s="492" customFormat="1" ht="20.100000000000001" customHeight="1" x14ac:dyDescent="0.25">
      <c r="A65" s="171">
        <v>1</v>
      </c>
      <c r="B65" s="1152" t="s">
        <v>1884</v>
      </c>
      <c r="C65" s="1152"/>
      <c r="D65" s="1152"/>
      <c r="E65" s="1152"/>
      <c r="F65" s="1152"/>
      <c r="G65" s="1152"/>
      <c r="H65" s="1152"/>
      <c r="I65" s="1152"/>
      <c r="J65" s="1152"/>
      <c r="K65" s="1152"/>
      <c r="L65" s="1152"/>
      <c r="M65" s="1152"/>
      <c r="N65" s="1152"/>
      <c r="O65" s="1152"/>
      <c r="P65" s="1152"/>
      <c r="Q65" s="1152"/>
      <c r="R65" s="1152"/>
    </row>
    <row r="66" spans="1:18" s="492" customFormat="1" ht="39.950000000000003" customHeight="1" x14ac:dyDescent="0.25">
      <c r="A66" s="171">
        <v>2</v>
      </c>
      <c r="B66" s="1152" t="s">
        <v>1881</v>
      </c>
      <c r="C66" s="1152"/>
      <c r="D66" s="1152"/>
      <c r="E66" s="1152"/>
      <c r="F66" s="1152"/>
      <c r="G66" s="1152"/>
      <c r="H66" s="1152"/>
      <c r="I66" s="1152"/>
      <c r="J66" s="1152"/>
      <c r="K66" s="1152"/>
      <c r="L66" s="1152"/>
      <c r="M66" s="1152"/>
      <c r="N66" s="1152"/>
      <c r="O66" s="1152"/>
      <c r="P66" s="1152"/>
      <c r="Q66" s="1152"/>
      <c r="R66" s="1152"/>
    </row>
    <row r="67" spans="1:18" s="492" customFormat="1" ht="39.950000000000003" customHeight="1" x14ac:dyDescent="0.25">
      <c r="A67" s="171">
        <v>3</v>
      </c>
      <c r="B67" s="1152" t="s">
        <v>1882</v>
      </c>
      <c r="C67" s="1152"/>
      <c r="D67" s="1152"/>
      <c r="E67" s="1152"/>
      <c r="F67" s="1152"/>
      <c r="G67" s="1152"/>
      <c r="H67" s="1152"/>
      <c r="I67" s="1152"/>
      <c r="J67" s="1152"/>
      <c r="K67" s="1152"/>
      <c r="L67" s="1152"/>
      <c r="M67" s="1152"/>
      <c r="N67" s="1152"/>
      <c r="O67" s="1152"/>
      <c r="P67" s="1152"/>
      <c r="Q67" s="1152"/>
      <c r="R67" s="1152"/>
    </row>
    <row r="68" spans="1:18" s="492" customFormat="1" ht="84.95" customHeight="1" x14ac:dyDescent="0.25">
      <c r="A68" s="171">
        <v>4</v>
      </c>
      <c r="B68" s="1152" t="s">
        <v>1883</v>
      </c>
      <c r="C68" s="1152"/>
      <c r="D68" s="1152"/>
      <c r="E68" s="1152"/>
      <c r="F68" s="1152"/>
      <c r="G68" s="1152"/>
      <c r="H68" s="1152"/>
      <c r="I68" s="1152"/>
      <c r="J68" s="1152"/>
      <c r="K68" s="1152"/>
      <c r="L68" s="1152"/>
      <c r="M68" s="1152"/>
      <c r="N68" s="1152"/>
      <c r="O68" s="1152"/>
      <c r="P68" s="1152"/>
      <c r="Q68" s="1152"/>
      <c r="R68" s="1152"/>
    </row>
    <row r="69" spans="1:18" ht="20.100000000000001" customHeight="1" x14ac:dyDescent="0.25">
      <c r="C69" s="1161"/>
      <c r="D69" s="1161"/>
      <c r="E69" s="1161"/>
      <c r="F69" s="1161"/>
      <c r="G69" s="1161"/>
      <c r="H69" s="1161"/>
    </row>
  </sheetData>
  <sheetProtection password="CCBE" sheet="1" objects="1" scenarios="1"/>
  <mergeCells count="72">
    <mergeCell ref="B58:R58"/>
    <mergeCell ref="C69:H69"/>
    <mergeCell ref="B68:R68"/>
    <mergeCell ref="C60:E60"/>
    <mergeCell ref="F60:K60"/>
    <mergeCell ref="C61:E61"/>
    <mergeCell ref="F61:K61"/>
    <mergeCell ref="C62:K62"/>
    <mergeCell ref="B66:R66"/>
    <mergeCell ref="B67:R67"/>
    <mergeCell ref="A63:R63"/>
    <mergeCell ref="A64:R64"/>
    <mergeCell ref="B65:R65"/>
    <mergeCell ref="A50:R50"/>
    <mergeCell ref="B55:R55"/>
    <mergeCell ref="B27:R27"/>
    <mergeCell ref="B28:R28"/>
    <mergeCell ref="B56:R56"/>
    <mergeCell ref="B29:R29"/>
    <mergeCell ref="B30:R30"/>
    <mergeCell ref="B31:R31"/>
    <mergeCell ref="B44:R44"/>
    <mergeCell ref="B33:R33"/>
    <mergeCell ref="B34:R34"/>
    <mergeCell ref="B35:R35"/>
    <mergeCell ref="B36:R36"/>
    <mergeCell ref="B37:R37"/>
    <mergeCell ref="B38:R38"/>
    <mergeCell ref="B39:R39"/>
    <mergeCell ref="B43:R43"/>
    <mergeCell ref="B45:R45"/>
    <mergeCell ref="B46:R46"/>
    <mergeCell ref="B47:R47"/>
    <mergeCell ref="A49:R49"/>
    <mergeCell ref="B24:R24"/>
    <mergeCell ref="B25:R25"/>
    <mergeCell ref="B26:R26"/>
    <mergeCell ref="B41:R41"/>
    <mergeCell ref="B42:R42"/>
    <mergeCell ref="B40:R40"/>
    <mergeCell ref="B57:R57"/>
    <mergeCell ref="B13:R13"/>
    <mergeCell ref="B14:R14"/>
    <mergeCell ref="B23:R23"/>
    <mergeCell ref="B16:R16"/>
    <mergeCell ref="B17:R17"/>
    <mergeCell ref="B18:R18"/>
    <mergeCell ref="B19:R19"/>
    <mergeCell ref="B20:R20"/>
    <mergeCell ref="B21:R21"/>
    <mergeCell ref="B51:R51"/>
    <mergeCell ref="B52:R52"/>
    <mergeCell ref="B53:R53"/>
    <mergeCell ref="B54:R54"/>
    <mergeCell ref="B22:R22"/>
    <mergeCell ref="B32:R32"/>
    <mergeCell ref="A2:R2"/>
    <mergeCell ref="A3:R3"/>
    <mergeCell ref="A1:R1"/>
    <mergeCell ref="C59:E59"/>
    <mergeCell ref="F59:K59"/>
    <mergeCell ref="B15:R15"/>
    <mergeCell ref="A4:R4"/>
    <mergeCell ref="A5:R5"/>
    <mergeCell ref="A6:R6"/>
    <mergeCell ref="A8:R8"/>
    <mergeCell ref="A9:R9"/>
    <mergeCell ref="A7:R7"/>
    <mergeCell ref="A10:R10"/>
    <mergeCell ref="A11:R11"/>
    <mergeCell ref="A12:R12"/>
    <mergeCell ref="B48:R48"/>
  </mergeCells>
  <hyperlinks>
    <hyperlink ref="C62:H62" location="'Section 4 Instructions'!A8" display="NOTE:   Click here for the 'Important Note Regarding Boilers'." xr:uid="{00000000-0004-0000-0500-000000000000}"/>
  </hyperlinks>
  <pageMargins left="0.5" right="0.5" top="0.5" bottom="0.5" header="0.3" footer="0.3"/>
  <pageSetup scale="77"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2060"/>
    <pageSetUpPr fitToPage="1"/>
  </sheetPr>
  <dimension ref="A1:L52"/>
  <sheetViews>
    <sheetView showGridLines="0" zoomScaleNormal="100" workbookViewId="0">
      <selection sqref="A1:H1"/>
    </sheetView>
  </sheetViews>
  <sheetFormatPr defaultRowHeight="15" x14ac:dyDescent="0.25"/>
  <cols>
    <col min="1" max="1" width="34.7109375" style="66" customWidth="1"/>
    <col min="2" max="2" width="74.5703125" style="66" customWidth="1"/>
    <col min="3" max="9" width="9.7109375" style="64" customWidth="1"/>
    <col min="10" max="254" width="9.140625" style="64"/>
    <col min="255" max="255" width="20" style="64" customWidth="1"/>
    <col min="256" max="256" width="19.28515625" style="64" customWidth="1"/>
    <col min="257" max="257" width="60.140625" style="64" customWidth="1"/>
    <col min="258" max="258" width="25.140625" style="64" customWidth="1"/>
    <col min="259" max="510" width="9.140625" style="64"/>
    <col min="511" max="511" width="20" style="64" customWidth="1"/>
    <col min="512" max="512" width="19.28515625" style="64" customWidth="1"/>
    <col min="513" max="513" width="60.140625" style="64" customWidth="1"/>
    <col min="514" max="514" width="25.140625" style="64" customWidth="1"/>
    <col min="515" max="766" width="9.140625" style="64"/>
    <col min="767" max="767" width="20" style="64" customWidth="1"/>
    <col min="768" max="768" width="19.28515625" style="64" customWidth="1"/>
    <col min="769" max="769" width="60.140625" style="64" customWidth="1"/>
    <col min="770" max="770" width="25.140625" style="64" customWidth="1"/>
    <col min="771" max="1022" width="9.140625" style="64"/>
    <col min="1023" max="1023" width="20" style="64" customWidth="1"/>
    <col min="1024" max="1024" width="19.28515625" style="64" customWidth="1"/>
    <col min="1025" max="1025" width="60.140625" style="64" customWidth="1"/>
    <col min="1026" max="1026" width="25.140625" style="64" customWidth="1"/>
    <col min="1027" max="1278" width="9.140625" style="64"/>
    <col min="1279" max="1279" width="20" style="64" customWidth="1"/>
    <col min="1280" max="1280" width="19.28515625" style="64" customWidth="1"/>
    <col min="1281" max="1281" width="60.140625" style="64" customWidth="1"/>
    <col min="1282" max="1282" width="25.140625" style="64" customWidth="1"/>
    <col min="1283" max="1534" width="9.140625" style="64"/>
    <col min="1535" max="1535" width="20" style="64" customWidth="1"/>
    <col min="1536" max="1536" width="19.28515625" style="64" customWidth="1"/>
    <col min="1537" max="1537" width="60.140625" style="64" customWidth="1"/>
    <col min="1538" max="1538" width="25.140625" style="64" customWidth="1"/>
    <col min="1539" max="1790" width="9.140625" style="64"/>
    <col min="1791" max="1791" width="20" style="64" customWidth="1"/>
    <col min="1792" max="1792" width="19.28515625" style="64" customWidth="1"/>
    <col min="1793" max="1793" width="60.140625" style="64" customWidth="1"/>
    <col min="1794" max="1794" width="25.140625" style="64" customWidth="1"/>
    <col min="1795" max="2046" width="9.140625" style="64"/>
    <col min="2047" max="2047" width="20" style="64" customWidth="1"/>
    <col min="2048" max="2048" width="19.28515625" style="64" customWidth="1"/>
    <col min="2049" max="2049" width="60.140625" style="64" customWidth="1"/>
    <col min="2050" max="2050" width="25.140625" style="64" customWidth="1"/>
    <col min="2051" max="2302" width="9.140625" style="64"/>
    <col min="2303" max="2303" width="20" style="64" customWidth="1"/>
    <col min="2304" max="2304" width="19.28515625" style="64" customWidth="1"/>
    <col min="2305" max="2305" width="60.140625" style="64" customWidth="1"/>
    <col min="2306" max="2306" width="25.140625" style="64" customWidth="1"/>
    <col min="2307" max="2558" width="9.140625" style="64"/>
    <col min="2559" max="2559" width="20" style="64" customWidth="1"/>
    <col min="2560" max="2560" width="19.28515625" style="64" customWidth="1"/>
    <col min="2561" max="2561" width="60.140625" style="64" customWidth="1"/>
    <col min="2562" max="2562" width="25.140625" style="64" customWidth="1"/>
    <col min="2563" max="2814" width="9.140625" style="64"/>
    <col min="2815" max="2815" width="20" style="64" customWidth="1"/>
    <col min="2816" max="2816" width="19.28515625" style="64" customWidth="1"/>
    <col min="2817" max="2817" width="60.140625" style="64" customWidth="1"/>
    <col min="2818" max="2818" width="25.140625" style="64" customWidth="1"/>
    <col min="2819" max="3070" width="9.140625" style="64"/>
    <col min="3071" max="3071" width="20" style="64" customWidth="1"/>
    <col min="3072" max="3072" width="19.28515625" style="64" customWidth="1"/>
    <col min="3073" max="3073" width="60.140625" style="64" customWidth="1"/>
    <col min="3074" max="3074" width="25.140625" style="64" customWidth="1"/>
    <col min="3075" max="3326" width="9.140625" style="64"/>
    <col min="3327" max="3327" width="20" style="64" customWidth="1"/>
    <col min="3328" max="3328" width="19.28515625" style="64" customWidth="1"/>
    <col min="3329" max="3329" width="60.140625" style="64" customWidth="1"/>
    <col min="3330" max="3330" width="25.140625" style="64" customWidth="1"/>
    <col min="3331" max="3582" width="9.140625" style="64"/>
    <col min="3583" max="3583" width="20" style="64" customWidth="1"/>
    <col min="3584" max="3584" width="19.28515625" style="64" customWidth="1"/>
    <col min="3585" max="3585" width="60.140625" style="64" customWidth="1"/>
    <col min="3586" max="3586" width="25.140625" style="64" customWidth="1"/>
    <col min="3587" max="3838" width="9.140625" style="64"/>
    <col min="3839" max="3839" width="20" style="64" customWidth="1"/>
    <col min="3840" max="3840" width="19.28515625" style="64" customWidth="1"/>
    <col min="3841" max="3841" width="60.140625" style="64" customWidth="1"/>
    <col min="3842" max="3842" width="25.140625" style="64" customWidth="1"/>
    <col min="3843" max="4094" width="9.140625" style="64"/>
    <col min="4095" max="4095" width="20" style="64" customWidth="1"/>
    <col min="4096" max="4096" width="19.28515625" style="64" customWidth="1"/>
    <col min="4097" max="4097" width="60.140625" style="64" customWidth="1"/>
    <col min="4098" max="4098" width="25.140625" style="64" customWidth="1"/>
    <col min="4099" max="4350" width="9.140625" style="64"/>
    <col min="4351" max="4351" width="20" style="64" customWidth="1"/>
    <col min="4352" max="4352" width="19.28515625" style="64" customWidth="1"/>
    <col min="4353" max="4353" width="60.140625" style="64" customWidth="1"/>
    <col min="4354" max="4354" width="25.140625" style="64" customWidth="1"/>
    <col min="4355" max="4606" width="9.140625" style="64"/>
    <col min="4607" max="4607" width="20" style="64" customWidth="1"/>
    <col min="4608" max="4608" width="19.28515625" style="64" customWidth="1"/>
    <col min="4609" max="4609" width="60.140625" style="64" customWidth="1"/>
    <col min="4610" max="4610" width="25.140625" style="64" customWidth="1"/>
    <col min="4611" max="4862" width="9.140625" style="64"/>
    <col min="4863" max="4863" width="20" style="64" customWidth="1"/>
    <col min="4864" max="4864" width="19.28515625" style="64" customWidth="1"/>
    <col min="4865" max="4865" width="60.140625" style="64" customWidth="1"/>
    <col min="4866" max="4866" width="25.140625" style="64" customWidth="1"/>
    <col min="4867" max="5118" width="9.140625" style="64"/>
    <col min="5119" max="5119" width="20" style="64" customWidth="1"/>
    <col min="5120" max="5120" width="19.28515625" style="64" customWidth="1"/>
    <col min="5121" max="5121" width="60.140625" style="64" customWidth="1"/>
    <col min="5122" max="5122" width="25.140625" style="64" customWidth="1"/>
    <col min="5123" max="5374" width="9.140625" style="64"/>
    <col min="5375" max="5375" width="20" style="64" customWidth="1"/>
    <col min="5376" max="5376" width="19.28515625" style="64" customWidth="1"/>
    <col min="5377" max="5377" width="60.140625" style="64" customWidth="1"/>
    <col min="5378" max="5378" width="25.140625" style="64" customWidth="1"/>
    <col min="5379" max="5630" width="9.140625" style="64"/>
    <col min="5631" max="5631" width="20" style="64" customWidth="1"/>
    <col min="5632" max="5632" width="19.28515625" style="64" customWidth="1"/>
    <col min="5633" max="5633" width="60.140625" style="64" customWidth="1"/>
    <col min="5634" max="5634" width="25.140625" style="64" customWidth="1"/>
    <col min="5635" max="5886" width="9.140625" style="64"/>
    <col min="5887" max="5887" width="20" style="64" customWidth="1"/>
    <col min="5888" max="5888" width="19.28515625" style="64" customWidth="1"/>
    <col min="5889" max="5889" width="60.140625" style="64" customWidth="1"/>
    <col min="5890" max="5890" width="25.140625" style="64" customWidth="1"/>
    <col min="5891" max="6142" width="9.140625" style="64"/>
    <col min="6143" max="6143" width="20" style="64" customWidth="1"/>
    <col min="6144" max="6144" width="19.28515625" style="64" customWidth="1"/>
    <col min="6145" max="6145" width="60.140625" style="64" customWidth="1"/>
    <col min="6146" max="6146" width="25.140625" style="64" customWidth="1"/>
    <col min="6147" max="6398" width="9.140625" style="64"/>
    <col min="6399" max="6399" width="20" style="64" customWidth="1"/>
    <col min="6400" max="6400" width="19.28515625" style="64" customWidth="1"/>
    <col min="6401" max="6401" width="60.140625" style="64" customWidth="1"/>
    <col min="6402" max="6402" width="25.140625" style="64" customWidth="1"/>
    <col min="6403" max="6654" width="9.140625" style="64"/>
    <col min="6655" max="6655" width="20" style="64" customWidth="1"/>
    <col min="6656" max="6656" width="19.28515625" style="64" customWidth="1"/>
    <col min="6657" max="6657" width="60.140625" style="64" customWidth="1"/>
    <col min="6658" max="6658" width="25.140625" style="64" customWidth="1"/>
    <col min="6659" max="6910" width="9.140625" style="64"/>
    <col min="6911" max="6911" width="20" style="64" customWidth="1"/>
    <col min="6912" max="6912" width="19.28515625" style="64" customWidth="1"/>
    <col min="6913" max="6913" width="60.140625" style="64" customWidth="1"/>
    <col min="6914" max="6914" width="25.140625" style="64" customWidth="1"/>
    <col min="6915" max="7166" width="9.140625" style="64"/>
    <col min="7167" max="7167" width="20" style="64" customWidth="1"/>
    <col min="7168" max="7168" width="19.28515625" style="64" customWidth="1"/>
    <col min="7169" max="7169" width="60.140625" style="64" customWidth="1"/>
    <col min="7170" max="7170" width="25.140625" style="64" customWidth="1"/>
    <col min="7171" max="7422" width="9.140625" style="64"/>
    <col min="7423" max="7423" width="20" style="64" customWidth="1"/>
    <col min="7424" max="7424" width="19.28515625" style="64" customWidth="1"/>
    <col min="7425" max="7425" width="60.140625" style="64" customWidth="1"/>
    <col min="7426" max="7426" width="25.140625" style="64" customWidth="1"/>
    <col min="7427" max="7678" width="9.140625" style="64"/>
    <col min="7679" max="7679" width="20" style="64" customWidth="1"/>
    <col min="7680" max="7680" width="19.28515625" style="64" customWidth="1"/>
    <col min="7681" max="7681" width="60.140625" style="64" customWidth="1"/>
    <col min="7682" max="7682" width="25.140625" style="64" customWidth="1"/>
    <col min="7683" max="7934" width="9.140625" style="64"/>
    <col min="7935" max="7935" width="20" style="64" customWidth="1"/>
    <col min="7936" max="7936" width="19.28515625" style="64" customWidth="1"/>
    <col min="7937" max="7937" width="60.140625" style="64" customWidth="1"/>
    <col min="7938" max="7938" width="25.140625" style="64" customWidth="1"/>
    <col min="7939" max="8190" width="9.140625" style="64"/>
    <col min="8191" max="8191" width="20" style="64" customWidth="1"/>
    <col min="8192" max="8192" width="19.28515625" style="64" customWidth="1"/>
    <col min="8193" max="8193" width="60.140625" style="64" customWidth="1"/>
    <col min="8194" max="8194" width="25.140625" style="64" customWidth="1"/>
    <col min="8195" max="8446" width="9.140625" style="64"/>
    <col min="8447" max="8447" width="20" style="64" customWidth="1"/>
    <col min="8448" max="8448" width="19.28515625" style="64" customWidth="1"/>
    <col min="8449" max="8449" width="60.140625" style="64" customWidth="1"/>
    <col min="8450" max="8450" width="25.140625" style="64" customWidth="1"/>
    <col min="8451" max="8702" width="9.140625" style="64"/>
    <col min="8703" max="8703" width="20" style="64" customWidth="1"/>
    <col min="8704" max="8704" width="19.28515625" style="64" customWidth="1"/>
    <col min="8705" max="8705" width="60.140625" style="64" customWidth="1"/>
    <col min="8706" max="8706" width="25.140625" style="64" customWidth="1"/>
    <col min="8707" max="8958" width="9.140625" style="64"/>
    <col min="8959" max="8959" width="20" style="64" customWidth="1"/>
    <col min="8960" max="8960" width="19.28515625" style="64" customWidth="1"/>
    <col min="8961" max="8961" width="60.140625" style="64" customWidth="1"/>
    <col min="8962" max="8962" width="25.140625" style="64" customWidth="1"/>
    <col min="8963" max="9214" width="9.140625" style="64"/>
    <col min="9215" max="9215" width="20" style="64" customWidth="1"/>
    <col min="9216" max="9216" width="19.28515625" style="64" customWidth="1"/>
    <col min="9217" max="9217" width="60.140625" style="64" customWidth="1"/>
    <col min="9218" max="9218" width="25.140625" style="64" customWidth="1"/>
    <col min="9219" max="9470" width="9.140625" style="64"/>
    <col min="9471" max="9471" width="20" style="64" customWidth="1"/>
    <col min="9472" max="9472" width="19.28515625" style="64" customWidth="1"/>
    <col min="9473" max="9473" width="60.140625" style="64" customWidth="1"/>
    <col min="9474" max="9474" width="25.140625" style="64" customWidth="1"/>
    <col min="9475" max="9726" width="9.140625" style="64"/>
    <col min="9727" max="9727" width="20" style="64" customWidth="1"/>
    <col min="9728" max="9728" width="19.28515625" style="64" customWidth="1"/>
    <col min="9729" max="9729" width="60.140625" style="64" customWidth="1"/>
    <col min="9730" max="9730" width="25.140625" style="64" customWidth="1"/>
    <col min="9731" max="9982" width="9.140625" style="64"/>
    <col min="9983" max="9983" width="20" style="64" customWidth="1"/>
    <col min="9984" max="9984" width="19.28515625" style="64" customWidth="1"/>
    <col min="9985" max="9985" width="60.140625" style="64" customWidth="1"/>
    <col min="9986" max="9986" width="25.140625" style="64" customWidth="1"/>
    <col min="9987" max="10238" width="9.140625" style="64"/>
    <col min="10239" max="10239" width="20" style="64" customWidth="1"/>
    <col min="10240" max="10240" width="19.28515625" style="64" customWidth="1"/>
    <col min="10241" max="10241" width="60.140625" style="64" customWidth="1"/>
    <col min="10242" max="10242" width="25.140625" style="64" customWidth="1"/>
    <col min="10243" max="10494" width="9.140625" style="64"/>
    <col min="10495" max="10495" width="20" style="64" customWidth="1"/>
    <col min="10496" max="10496" width="19.28515625" style="64" customWidth="1"/>
    <col min="10497" max="10497" width="60.140625" style="64" customWidth="1"/>
    <col min="10498" max="10498" width="25.140625" style="64" customWidth="1"/>
    <col min="10499" max="10750" width="9.140625" style="64"/>
    <col min="10751" max="10751" width="20" style="64" customWidth="1"/>
    <col min="10752" max="10752" width="19.28515625" style="64" customWidth="1"/>
    <col min="10753" max="10753" width="60.140625" style="64" customWidth="1"/>
    <col min="10754" max="10754" width="25.140625" style="64" customWidth="1"/>
    <col min="10755" max="11006" width="9.140625" style="64"/>
    <col min="11007" max="11007" width="20" style="64" customWidth="1"/>
    <col min="11008" max="11008" width="19.28515625" style="64" customWidth="1"/>
    <col min="11009" max="11009" width="60.140625" style="64" customWidth="1"/>
    <col min="11010" max="11010" width="25.140625" style="64" customWidth="1"/>
    <col min="11011" max="11262" width="9.140625" style="64"/>
    <col min="11263" max="11263" width="20" style="64" customWidth="1"/>
    <col min="11264" max="11264" width="19.28515625" style="64" customWidth="1"/>
    <col min="11265" max="11265" width="60.140625" style="64" customWidth="1"/>
    <col min="11266" max="11266" width="25.140625" style="64" customWidth="1"/>
    <col min="11267" max="11518" width="9.140625" style="64"/>
    <col min="11519" max="11519" width="20" style="64" customWidth="1"/>
    <col min="11520" max="11520" width="19.28515625" style="64" customWidth="1"/>
    <col min="11521" max="11521" width="60.140625" style="64" customWidth="1"/>
    <col min="11522" max="11522" width="25.140625" style="64" customWidth="1"/>
    <col min="11523" max="11774" width="9.140625" style="64"/>
    <col min="11775" max="11775" width="20" style="64" customWidth="1"/>
    <col min="11776" max="11776" width="19.28515625" style="64" customWidth="1"/>
    <col min="11777" max="11777" width="60.140625" style="64" customWidth="1"/>
    <col min="11778" max="11778" width="25.140625" style="64" customWidth="1"/>
    <col min="11779" max="12030" width="9.140625" style="64"/>
    <col min="12031" max="12031" width="20" style="64" customWidth="1"/>
    <col min="12032" max="12032" width="19.28515625" style="64" customWidth="1"/>
    <col min="12033" max="12033" width="60.140625" style="64" customWidth="1"/>
    <col min="12034" max="12034" width="25.140625" style="64" customWidth="1"/>
    <col min="12035" max="12286" width="9.140625" style="64"/>
    <col min="12287" max="12287" width="20" style="64" customWidth="1"/>
    <col min="12288" max="12288" width="19.28515625" style="64" customWidth="1"/>
    <col min="12289" max="12289" width="60.140625" style="64" customWidth="1"/>
    <col min="12290" max="12290" width="25.140625" style="64" customWidth="1"/>
    <col min="12291" max="12542" width="9.140625" style="64"/>
    <col min="12543" max="12543" width="20" style="64" customWidth="1"/>
    <col min="12544" max="12544" width="19.28515625" style="64" customWidth="1"/>
    <col min="12545" max="12545" width="60.140625" style="64" customWidth="1"/>
    <col min="12546" max="12546" width="25.140625" style="64" customWidth="1"/>
    <col min="12547" max="12798" width="9.140625" style="64"/>
    <col min="12799" max="12799" width="20" style="64" customWidth="1"/>
    <col min="12800" max="12800" width="19.28515625" style="64" customWidth="1"/>
    <col min="12801" max="12801" width="60.140625" style="64" customWidth="1"/>
    <col min="12802" max="12802" width="25.140625" style="64" customWidth="1"/>
    <col min="12803" max="13054" width="9.140625" style="64"/>
    <col min="13055" max="13055" width="20" style="64" customWidth="1"/>
    <col min="13056" max="13056" width="19.28515625" style="64" customWidth="1"/>
    <col min="13057" max="13057" width="60.140625" style="64" customWidth="1"/>
    <col min="13058" max="13058" width="25.140625" style="64" customWidth="1"/>
    <col min="13059" max="13310" width="9.140625" style="64"/>
    <col min="13311" max="13311" width="20" style="64" customWidth="1"/>
    <col min="13312" max="13312" width="19.28515625" style="64" customWidth="1"/>
    <col min="13313" max="13313" width="60.140625" style="64" customWidth="1"/>
    <col min="13314" max="13314" width="25.140625" style="64" customWidth="1"/>
    <col min="13315" max="13566" width="9.140625" style="64"/>
    <col min="13567" max="13567" width="20" style="64" customWidth="1"/>
    <col min="13568" max="13568" width="19.28515625" style="64" customWidth="1"/>
    <col min="13569" max="13569" width="60.140625" style="64" customWidth="1"/>
    <col min="13570" max="13570" width="25.140625" style="64" customWidth="1"/>
    <col min="13571" max="13822" width="9.140625" style="64"/>
    <col min="13823" max="13823" width="20" style="64" customWidth="1"/>
    <col min="13824" max="13824" width="19.28515625" style="64" customWidth="1"/>
    <col min="13825" max="13825" width="60.140625" style="64" customWidth="1"/>
    <col min="13826" max="13826" width="25.140625" style="64" customWidth="1"/>
    <col min="13827" max="14078" width="9.140625" style="64"/>
    <col min="14079" max="14079" width="20" style="64" customWidth="1"/>
    <col min="14080" max="14080" width="19.28515625" style="64" customWidth="1"/>
    <col min="14081" max="14081" width="60.140625" style="64" customWidth="1"/>
    <col min="14082" max="14082" width="25.140625" style="64" customWidth="1"/>
    <col min="14083" max="14334" width="9.140625" style="64"/>
    <col min="14335" max="14335" width="20" style="64" customWidth="1"/>
    <col min="14336" max="14336" width="19.28515625" style="64" customWidth="1"/>
    <col min="14337" max="14337" width="60.140625" style="64" customWidth="1"/>
    <col min="14338" max="14338" width="25.140625" style="64" customWidth="1"/>
    <col min="14339" max="14590" width="9.140625" style="64"/>
    <col min="14591" max="14591" width="20" style="64" customWidth="1"/>
    <col min="14592" max="14592" width="19.28515625" style="64" customWidth="1"/>
    <col min="14593" max="14593" width="60.140625" style="64" customWidth="1"/>
    <col min="14594" max="14594" width="25.140625" style="64" customWidth="1"/>
    <col min="14595" max="14846" width="9.140625" style="64"/>
    <col min="14847" max="14847" width="20" style="64" customWidth="1"/>
    <col min="14848" max="14848" width="19.28515625" style="64" customWidth="1"/>
    <col min="14849" max="14849" width="60.140625" style="64" customWidth="1"/>
    <col min="14850" max="14850" width="25.140625" style="64" customWidth="1"/>
    <col min="14851" max="15102" width="9.140625" style="64"/>
    <col min="15103" max="15103" width="20" style="64" customWidth="1"/>
    <col min="15104" max="15104" width="19.28515625" style="64" customWidth="1"/>
    <col min="15105" max="15105" width="60.140625" style="64" customWidth="1"/>
    <col min="15106" max="15106" width="25.140625" style="64" customWidth="1"/>
    <col min="15107" max="15358" width="9.140625" style="64"/>
    <col min="15359" max="15359" width="20" style="64" customWidth="1"/>
    <col min="15360" max="15360" width="19.28515625" style="64" customWidth="1"/>
    <col min="15361" max="15361" width="60.140625" style="64" customWidth="1"/>
    <col min="15362" max="15362" width="25.140625" style="64" customWidth="1"/>
    <col min="15363" max="15614" width="9.140625" style="64"/>
    <col min="15615" max="15615" width="20" style="64" customWidth="1"/>
    <col min="15616" max="15616" width="19.28515625" style="64" customWidth="1"/>
    <col min="15617" max="15617" width="60.140625" style="64" customWidth="1"/>
    <col min="15618" max="15618" width="25.140625" style="64" customWidth="1"/>
    <col min="15619" max="15870" width="9.140625" style="64"/>
    <col min="15871" max="15871" width="20" style="64" customWidth="1"/>
    <col min="15872" max="15872" width="19.28515625" style="64" customWidth="1"/>
    <col min="15873" max="15873" width="60.140625" style="64" customWidth="1"/>
    <col min="15874" max="15874" width="25.140625" style="64" customWidth="1"/>
    <col min="15875" max="16126" width="9.140625" style="64"/>
    <col min="16127" max="16127" width="20" style="64" customWidth="1"/>
    <col min="16128" max="16128" width="19.28515625" style="64" customWidth="1"/>
    <col min="16129" max="16129" width="60.140625" style="64" customWidth="1"/>
    <col min="16130" max="16130" width="25.140625" style="64" customWidth="1"/>
    <col min="16131" max="16384" width="9.140625" style="64"/>
  </cols>
  <sheetData>
    <row r="1" spans="1:12" s="69" customFormat="1" ht="26.25" customHeight="1" thickBot="1" x14ac:dyDescent="0.3">
      <c r="A1" s="1122" t="s">
        <v>1739</v>
      </c>
      <c r="B1" s="1122"/>
      <c r="C1" s="1122"/>
      <c r="D1" s="1122"/>
      <c r="E1" s="1122"/>
      <c r="F1" s="1122"/>
      <c r="G1" s="1122"/>
      <c r="H1" s="1122"/>
      <c r="I1" s="79"/>
      <c r="J1" s="79"/>
      <c r="K1" s="79"/>
      <c r="L1" s="79"/>
    </row>
    <row r="2" spans="1:12" s="68" customFormat="1" ht="24.95" customHeight="1" x14ac:dyDescent="0.25">
      <c r="A2" s="1065" t="s">
        <v>1871</v>
      </c>
      <c r="B2" s="1065"/>
      <c r="C2" s="1065"/>
      <c r="D2" s="1065"/>
      <c r="E2" s="1065"/>
      <c r="F2" s="1065"/>
      <c r="G2" s="1065"/>
      <c r="H2" s="1065"/>
    </row>
    <row r="3" spans="1:12" ht="20.100000000000001" customHeight="1" x14ac:dyDescent="0.25">
      <c r="A3" s="1147" t="s">
        <v>1527</v>
      </c>
      <c r="B3" s="1147"/>
      <c r="C3" s="1147"/>
      <c r="D3" s="1147"/>
      <c r="E3" s="1147"/>
      <c r="F3" s="1147"/>
      <c r="G3" s="1147"/>
      <c r="H3" s="1147"/>
    </row>
    <row r="4" spans="1:12" ht="35.1" customHeight="1" x14ac:dyDescent="0.25">
      <c r="A4" s="1147" t="s">
        <v>1528</v>
      </c>
      <c r="B4" s="1147"/>
      <c r="C4" s="1147"/>
      <c r="D4" s="1147"/>
      <c r="E4" s="1147"/>
      <c r="F4" s="1147"/>
      <c r="G4" s="1147"/>
      <c r="H4" s="1147"/>
    </row>
    <row r="5" spans="1:12" ht="20.100000000000001" customHeight="1" x14ac:dyDescent="0.25">
      <c r="A5" s="1147" t="s">
        <v>1529</v>
      </c>
      <c r="B5" s="1147"/>
      <c r="C5" s="1147"/>
      <c r="D5" s="1147"/>
      <c r="E5" s="1147"/>
      <c r="F5" s="1147"/>
      <c r="G5" s="1147"/>
      <c r="H5" s="1147"/>
    </row>
    <row r="6" spans="1:12" ht="20.100000000000001" customHeight="1" x14ac:dyDescent="0.25">
      <c r="A6" s="1147" t="s">
        <v>1530</v>
      </c>
      <c r="B6" s="1147"/>
      <c r="C6" s="1147"/>
      <c r="D6" s="1147"/>
      <c r="E6" s="1147"/>
      <c r="F6" s="1147"/>
      <c r="G6" s="1147"/>
      <c r="H6" s="1147"/>
    </row>
    <row r="7" spans="1:12" ht="24.95" customHeight="1" thickBot="1" x14ac:dyDescent="0.3">
      <c r="A7" s="1147" t="s">
        <v>1872</v>
      </c>
      <c r="B7" s="1147"/>
      <c r="C7" s="1147"/>
      <c r="D7" s="1147"/>
      <c r="E7" s="1147"/>
      <c r="F7" s="1147"/>
      <c r="G7" s="1147"/>
      <c r="H7" s="1147"/>
    </row>
    <row r="8" spans="1:12" s="70" customFormat="1" ht="19.5" thickBot="1" x14ac:dyDescent="0.3">
      <c r="A8" s="1087" t="s">
        <v>1449</v>
      </c>
      <c r="B8" s="1087"/>
      <c r="C8" s="1087"/>
      <c r="D8" s="1087"/>
      <c r="E8" s="1087"/>
      <c r="F8" s="1087"/>
      <c r="G8" s="1087"/>
      <c r="H8" s="1087"/>
    </row>
    <row r="9" spans="1:12" ht="60" customHeight="1" x14ac:dyDescent="0.25">
      <c r="A9" s="1"/>
      <c r="B9" s="1"/>
    </row>
    <row r="10" spans="1:12" s="65" customFormat="1" ht="24.95" customHeight="1" x14ac:dyDescent="0.25">
      <c r="A10" s="1089" t="s">
        <v>1425</v>
      </c>
      <c r="B10" s="1089"/>
    </row>
    <row r="11" spans="1:12" ht="24.95" customHeight="1" thickBot="1" x14ac:dyDescent="0.3">
      <c r="A11" s="1090" t="s">
        <v>1777</v>
      </c>
      <c r="B11" s="1090"/>
    </row>
    <row r="12" spans="1:12" ht="28.7" customHeight="1" thickBot="1" x14ac:dyDescent="0.3">
      <c r="A12" s="718" t="s">
        <v>28</v>
      </c>
      <c r="B12" s="719" t="s">
        <v>29</v>
      </c>
    </row>
    <row r="13" spans="1:12" ht="18" customHeight="1" x14ac:dyDescent="0.25">
      <c r="A13" s="304"/>
      <c r="B13" s="304"/>
    </row>
    <row r="14" spans="1:12" ht="18" customHeight="1" x14ac:dyDescent="0.25">
      <c r="A14" s="295"/>
      <c r="B14" s="295"/>
    </row>
    <row r="15" spans="1:12" ht="18" customHeight="1" x14ac:dyDescent="0.25">
      <c r="A15" s="295"/>
      <c r="B15" s="295"/>
    </row>
    <row r="16" spans="1:12" ht="18" customHeight="1" x14ac:dyDescent="0.25">
      <c r="A16" s="295"/>
      <c r="B16" s="295"/>
    </row>
    <row r="17" spans="1:2" ht="18" customHeight="1" x14ac:dyDescent="0.25">
      <c r="A17" s="295"/>
      <c r="B17" s="295"/>
    </row>
    <row r="18" spans="1:2" ht="18" customHeight="1" x14ac:dyDescent="0.25">
      <c r="A18" s="295"/>
      <c r="B18" s="295"/>
    </row>
    <row r="19" spans="1:2" ht="18" customHeight="1" x14ac:dyDescent="0.25">
      <c r="A19" s="295"/>
      <c r="B19" s="295"/>
    </row>
    <row r="20" spans="1:2" ht="18" customHeight="1" x14ac:dyDescent="0.25">
      <c r="A20" s="295"/>
      <c r="B20" s="295"/>
    </row>
    <row r="21" spans="1:2" ht="18" customHeight="1" x14ac:dyDescent="0.25">
      <c r="A21" s="295"/>
      <c r="B21" s="295"/>
    </row>
    <row r="22" spans="1:2" ht="18" customHeight="1" x14ac:dyDescent="0.25">
      <c r="A22" s="295"/>
      <c r="B22" s="295"/>
    </row>
    <row r="23" spans="1:2" ht="18" customHeight="1" x14ac:dyDescent="0.25">
      <c r="A23" s="295"/>
      <c r="B23" s="295"/>
    </row>
    <row r="24" spans="1:2" ht="18" customHeight="1" x14ac:dyDescent="0.25">
      <c r="A24" s="295"/>
      <c r="B24" s="295"/>
    </row>
    <row r="25" spans="1:2" ht="18" customHeight="1" x14ac:dyDescent="0.25">
      <c r="A25" s="295"/>
      <c r="B25" s="295"/>
    </row>
    <row r="26" spans="1:2" ht="18" customHeight="1" x14ac:dyDescent="0.25">
      <c r="A26" s="295"/>
      <c r="B26" s="295"/>
    </row>
    <row r="27" spans="1:2" ht="18" customHeight="1" x14ac:dyDescent="0.25">
      <c r="A27" s="295"/>
      <c r="B27" s="295"/>
    </row>
    <row r="28" spans="1:2" ht="18" customHeight="1" x14ac:dyDescent="0.25">
      <c r="A28" s="295"/>
      <c r="B28" s="295"/>
    </row>
    <row r="29" spans="1:2" ht="18" customHeight="1" x14ac:dyDescent="0.25">
      <c r="A29" s="295"/>
      <c r="B29" s="295"/>
    </row>
    <row r="30" spans="1:2" ht="18" customHeight="1" x14ac:dyDescent="0.25">
      <c r="A30" s="295"/>
      <c r="B30" s="295"/>
    </row>
    <row r="31" spans="1:2" ht="18" customHeight="1" x14ac:dyDescent="0.25">
      <c r="A31" s="295"/>
      <c r="B31" s="295"/>
    </row>
    <row r="32" spans="1:2" ht="18" customHeight="1" x14ac:dyDescent="0.25">
      <c r="A32" s="295"/>
      <c r="B32" s="295"/>
    </row>
    <row r="33" spans="1:2" ht="18" customHeight="1" x14ac:dyDescent="0.25">
      <c r="A33" s="295"/>
      <c r="B33" s="295"/>
    </row>
    <row r="34" spans="1:2" ht="18" customHeight="1" x14ac:dyDescent="0.25">
      <c r="A34" s="295"/>
      <c r="B34" s="295"/>
    </row>
    <row r="35" spans="1:2" ht="18" customHeight="1" x14ac:dyDescent="0.25">
      <c r="A35" s="295"/>
      <c r="B35" s="295"/>
    </row>
    <row r="36" spans="1:2" ht="18" customHeight="1" x14ac:dyDescent="0.25">
      <c r="A36" s="295"/>
      <c r="B36" s="295"/>
    </row>
    <row r="37" spans="1:2" ht="18" customHeight="1" x14ac:dyDescent="0.25">
      <c r="A37" s="295"/>
      <c r="B37" s="295"/>
    </row>
    <row r="38" spans="1:2" ht="18" customHeight="1" x14ac:dyDescent="0.25">
      <c r="A38" s="295"/>
      <c r="B38" s="295"/>
    </row>
    <row r="39" spans="1:2" ht="18" customHeight="1" x14ac:dyDescent="0.25">
      <c r="A39" s="295"/>
      <c r="B39" s="295"/>
    </row>
    <row r="40" spans="1:2" ht="18" customHeight="1" x14ac:dyDescent="0.25">
      <c r="A40" s="295"/>
      <c r="B40" s="295"/>
    </row>
    <row r="41" spans="1:2" ht="18" customHeight="1" x14ac:dyDescent="0.25">
      <c r="A41" s="295"/>
      <c r="B41" s="295"/>
    </row>
    <row r="42" spans="1:2" ht="18" customHeight="1" x14ac:dyDescent="0.25">
      <c r="A42" s="295"/>
      <c r="B42" s="295"/>
    </row>
    <row r="43" spans="1:2" ht="18" customHeight="1" x14ac:dyDescent="0.25">
      <c r="A43" s="295"/>
      <c r="B43" s="295"/>
    </row>
    <row r="44" spans="1:2" ht="18" customHeight="1" x14ac:dyDescent="0.25">
      <c r="A44" s="295"/>
      <c r="B44" s="295"/>
    </row>
    <row r="45" spans="1:2" ht="18" customHeight="1" x14ac:dyDescent="0.25">
      <c r="A45" s="295"/>
      <c r="B45" s="295"/>
    </row>
    <row r="46" spans="1:2" ht="18" customHeight="1" x14ac:dyDescent="0.25">
      <c r="A46" s="295"/>
      <c r="B46" s="295"/>
    </row>
    <row r="47" spans="1:2" ht="18" customHeight="1" x14ac:dyDescent="0.25">
      <c r="A47" s="295"/>
      <c r="B47" s="295"/>
    </row>
    <row r="48" spans="1:2" ht="18" customHeight="1" x14ac:dyDescent="0.25">
      <c r="A48" s="295"/>
      <c r="B48" s="295"/>
    </row>
    <row r="49" spans="1:2" ht="18" customHeight="1" x14ac:dyDescent="0.25">
      <c r="A49" s="295"/>
      <c r="B49" s="295"/>
    </row>
    <row r="50" spans="1:2" ht="18" customHeight="1" x14ac:dyDescent="0.25">
      <c r="A50" s="295"/>
      <c r="B50" s="295"/>
    </row>
    <row r="51" spans="1:2" ht="18" customHeight="1" x14ac:dyDescent="0.25">
      <c r="A51" s="295"/>
      <c r="B51" s="295"/>
    </row>
    <row r="52" spans="1:2" ht="18" customHeight="1" thickBot="1" x14ac:dyDescent="0.3">
      <c r="A52" s="299"/>
      <c r="B52" s="299"/>
    </row>
  </sheetData>
  <sheetProtection algorithmName="SHA-512" hashValue="rhjWvDZxKEPf29Jph5ezkcqnyBPebrAZGUO1EZQ/+lj0YxLdIA6KZcUpmgvlk3vbhQ3GzaKVf/tagS3xXXYTuQ==" saltValue="73BDTra1kM8RcaCUnfG0EA==" spinCount="100000" sheet="1" objects="1" scenarios="1"/>
  <dataConsolidate/>
  <mergeCells count="10">
    <mergeCell ref="A10:B10"/>
    <mergeCell ref="A11:B11"/>
    <mergeCell ref="A1:H1"/>
    <mergeCell ref="A2:H2"/>
    <mergeCell ref="A3:H3"/>
    <mergeCell ref="A4:H4"/>
    <mergeCell ref="A5:H5"/>
    <mergeCell ref="A6:H6"/>
    <mergeCell ref="A7:H7"/>
    <mergeCell ref="A8:H8"/>
  </mergeCells>
  <conditionalFormatting sqref="B13:B52">
    <cfRule type="expression" dxfId="238" priority="1">
      <formula>AND(NOT(ISBLANK(A13)),ISBLANK(B13))</formula>
    </cfRule>
  </conditionalFormatting>
  <printOptions horizontalCentered="1"/>
  <pageMargins left="0.5" right="0.5" top="0.5" bottom="0.5" header="0.3" footer="0.3"/>
  <pageSetup scale="87" fitToHeight="0" orientation="portrait" r:id="rId1"/>
  <headerFooter>
    <oddFooter>&amp;LRev. 1/2015&amp;C&amp;A&amp;R&amp;10Page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2060"/>
    <pageSetUpPr fitToPage="1"/>
  </sheetPr>
  <dimension ref="A1:L48"/>
  <sheetViews>
    <sheetView showGridLines="0" zoomScaleNormal="100" workbookViewId="0">
      <selection sqref="A1:K1"/>
    </sheetView>
  </sheetViews>
  <sheetFormatPr defaultRowHeight="15" x14ac:dyDescent="0.25"/>
  <cols>
    <col min="1" max="1" width="14.85546875" style="66" customWidth="1"/>
    <col min="2" max="2" width="16.140625" style="66" customWidth="1"/>
    <col min="3" max="3" width="36" style="66" customWidth="1"/>
    <col min="4" max="4" width="18.85546875" style="66" customWidth="1"/>
    <col min="5" max="5" width="23.7109375" style="66" customWidth="1"/>
    <col min="6" max="12" width="9.7109375" style="64" customWidth="1"/>
    <col min="13" max="257" width="9.140625" style="64"/>
    <col min="258" max="258" width="20" style="64" customWidth="1"/>
    <col min="259" max="259" width="19.28515625" style="64" customWidth="1"/>
    <col min="260" max="260" width="60.140625" style="64" customWidth="1"/>
    <col min="261" max="261" width="25.140625" style="64" customWidth="1"/>
    <col min="262" max="513" width="9.140625" style="64"/>
    <col min="514" max="514" width="20" style="64" customWidth="1"/>
    <col min="515" max="515" width="19.28515625" style="64" customWidth="1"/>
    <col min="516" max="516" width="60.140625" style="64" customWidth="1"/>
    <col min="517" max="517" width="25.140625" style="64" customWidth="1"/>
    <col min="518" max="769" width="9.140625" style="64"/>
    <col min="770" max="770" width="20" style="64" customWidth="1"/>
    <col min="771" max="771" width="19.28515625" style="64" customWidth="1"/>
    <col min="772" max="772" width="60.140625" style="64" customWidth="1"/>
    <col min="773" max="773" width="25.140625" style="64" customWidth="1"/>
    <col min="774" max="1025" width="9.140625" style="64"/>
    <col min="1026" max="1026" width="20" style="64" customWidth="1"/>
    <col min="1027" max="1027" width="19.28515625" style="64" customWidth="1"/>
    <col min="1028" max="1028" width="60.140625" style="64" customWidth="1"/>
    <col min="1029" max="1029" width="25.140625" style="64" customWidth="1"/>
    <col min="1030" max="1281" width="9.140625" style="64"/>
    <col min="1282" max="1282" width="20" style="64" customWidth="1"/>
    <col min="1283" max="1283" width="19.28515625" style="64" customWidth="1"/>
    <col min="1284" max="1284" width="60.140625" style="64" customWidth="1"/>
    <col min="1285" max="1285" width="25.140625" style="64" customWidth="1"/>
    <col min="1286" max="1537" width="9.140625" style="64"/>
    <col min="1538" max="1538" width="20" style="64" customWidth="1"/>
    <col min="1539" max="1539" width="19.28515625" style="64" customWidth="1"/>
    <col min="1540" max="1540" width="60.140625" style="64" customWidth="1"/>
    <col min="1541" max="1541" width="25.140625" style="64" customWidth="1"/>
    <col min="1542" max="1793" width="9.140625" style="64"/>
    <col min="1794" max="1794" width="20" style="64" customWidth="1"/>
    <col min="1795" max="1795" width="19.28515625" style="64" customWidth="1"/>
    <col min="1796" max="1796" width="60.140625" style="64" customWidth="1"/>
    <col min="1797" max="1797" width="25.140625" style="64" customWidth="1"/>
    <col min="1798" max="2049" width="9.140625" style="64"/>
    <col min="2050" max="2050" width="20" style="64" customWidth="1"/>
    <col min="2051" max="2051" width="19.28515625" style="64" customWidth="1"/>
    <col min="2052" max="2052" width="60.140625" style="64" customWidth="1"/>
    <col min="2053" max="2053" width="25.140625" style="64" customWidth="1"/>
    <col min="2054" max="2305" width="9.140625" style="64"/>
    <col min="2306" max="2306" width="20" style="64" customWidth="1"/>
    <col min="2307" max="2307" width="19.28515625" style="64" customWidth="1"/>
    <col min="2308" max="2308" width="60.140625" style="64" customWidth="1"/>
    <col min="2309" max="2309" width="25.140625" style="64" customWidth="1"/>
    <col min="2310" max="2561" width="9.140625" style="64"/>
    <col min="2562" max="2562" width="20" style="64" customWidth="1"/>
    <col min="2563" max="2563" width="19.28515625" style="64" customWidth="1"/>
    <col min="2564" max="2564" width="60.140625" style="64" customWidth="1"/>
    <col min="2565" max="2565" width="25.140625" style="64" customWidth="1"/>
    <col min="2566" max="2817" width="9.140625" style="64"/>
    <col min="2818" max="2818" width="20" style="64" customWidth="1"/>
    <col min="2819" max="2819" width="19.28515625" style="64" customWidth="1"/>
    <col min="2820" max="2820" width="60.140625" style="64" customWidth="1"/>
    <col min="2821" max="2821" width="25.140625" style="64" customWidth="1"/>
    <col min="2822" max="3073" width="9.140625" style="64"/>
    <col min="3074" max="3074" width="20" style="64" customWidth="1"/>
    <col min="3075" max="3075" width="19.28515625" style="64" customWidth="1"/>
    <col min="3076" max="3076" width="60.140625" style="64" customWidth="1"/>
    <col min="3077" max="3077" width="25.140625" style="64" customWidth="1"/>
    <col min="3078" max="3329" width="9.140625" style="64"/>
    <col min="3330" max="3330" width="20" style="64" customWidth="1"/>
    <col min="3331" max="3331" width="19.28515625" style="64" customWidth="1"/>
    <col min="3332" max="3332" width="60.140625" style="64" customWidth="1"/>
    <col min="3333" max="3333" width="25.140625" style="64" customWidth="1"/>
    <col min="3334" max="3585" width="9.140625" style="64"/>
    <col min="3586" max="3586" width="20" style="64" customWidth="1"/>
    <col min="3587" max="3587" width="19.28515625" style="64" customWidth="1"/>
    <col min="3588" max="3588" width="60.140625" style="64" customWidth="1"/>
    <col min="3589" max="3589" width="25.140625" style="64" customWidth="1"/>
    <col min="3590" max="3841" width="9.140625" style="64"/>
    <col min="3842" max="3842" width="20" style="64" customWidth="1"/>
    <col min="3843" max="3843" width="19.28515625" style="64" customWidth="1"/>
    <col min="3844" max="3844" width="60.140625" style="64" customWidth="1"/>
    <col min="3845" max="3845" width="25.140625" style="64" customWidth="1"/>
    <col min="3846" max="4097" width="9.140625" style="64"/>
    <col min="4098" max="4098" width="20" style="64" customWidth="1"/>
    <col min="4099" max="4099" width="19.28515625" style="64" customWidth="1"/>
    <col min="4100" max="4100" width="60.140625" style="64" customWidth="1"/>
    <col min="4101" max="4101" width="25.140625" style="64" customWidth="1"/>
    <col min="4102" max="4353" width="9.140625" style="64"/>
    <col min="4354" max="4354" width="20" style="64" customWidth="1"/>
    <col min="4355" max="4355" width="19.28515625" style="64" customWidth="1"/>
    <col min="4356" max="4356" width="60.140625" style="64" customWidth="1"/>
    <col min="4357" max="4357" width="25.140625" style="64" customWidth="1"/>
    <col min="4358" max="4609" width="9.140625" style="64"/>
    <col min="4610" max="4610" width="20" style="64" customWidth="1"/>
    <col min="4611" max="4611" width="19.28515625" style="64" customWidth="1"/>
    <col min="4612" max="4612" width="60.140625" style="64" customWidth="1"/>
    <col min="4613" max="4613" width="25.140625" style="64" customWidth="1"/>
    <col min="4614" max="4865" width="9.140625" style="64"/>
    <col min="4866" max="4866" width="20" style="64" customWidth="1"/>
    <col min="4867" max="4867" width="19.28515625" style="64" customWidth="1"/>
    <col min="4868" max="4868" width="60.140625" style="64" customWidth="1"/>
    <col min="4869" max="4869" width="25.140625" style="64" customWidth="1"/>
    <col min="4870" max="5121" width="9.140625" style="64"/>
    <col min="5122" max="5122" width="20" style="64" customWidth="1"/>
    <col min="5123" max="5123" width="19.28515625" style="64" customWidth="1"/>
    <col min="5124" max="5124" width="60.140625" style="64" customWidth="1"/>
    <col min="5125" max="5125" width="25.140625" style="64" customWidth="1"/>
    <col min="5126" max="5377" width="9.140625" style="64"/>
    <col min="5378" max="5378" width="20" style="64" customWidth="1"/>
    <col min="5379" max="5379" width="19.28515625" style="64" customWidth="1"/>
    <col min="5380" max="5380" width="60.140625" style="64" customWidth="1"/>
    <col min="5381" max="5381" width="25.140625" style="64" customWidth="1"/>
    <col min="5382" max="5633" width="9.140625" style="64"/>
    <col min="5634" max="5634" width="20" style="64" customWidth="1"/>
    <col min="5635" max="5635" width="19.28515625" style="64" customWidth="1"/>
    <col min="5636" max="5636" width="60.140625" style="64" customWidth="1"/>
    <col min="5637" max="5637" width="25.140625" style="64" customWidth="1"/>
    <col min="5638" max="5889" width="9.140625" style="64"/>
    <col min="5890" max="5890" width="20" style="64" customWidth="1"/>
    <col min="5891" max="5891" width="19.28515625" style="64" customWidth="1"/>
    <col min="5892" max="5892" width="60.140625" style="64" customWidth="1"/>
    <col min="5893" max="5893" width="25.140625" style="64" customWidth="1"/>
    <col min="5894" max="6145" width="9.140625" style="64"/>
    <col min="6146" max="6146" width="20" style="64" customWidth="1"/>
    <col min="6147" max="6147" width="19.28515625" style="64" customWidth="1"/>
    <col min="6148" max="6148" width="60.140625" style="64" customWidth="1"/>
    <col min="6149" max="6149" width="25.140625" style="64" customWidth="1"/>
    <col min="6150" max="6401" width="9.140625" style="64"/>
    <col min="6402" max="6402" width="20" style="64" customWidth="1"/>
    <col min="6403" max="6403" width="19.28515625" style="64" customWidth="1"/>
    <col min="6404" max="6404" width="60.140625" style="64" customWidth="1"/>
    <col min="6405" max="6405" width="25.140625" style="64" customWidth="1"/>
    <col min="6406" max="6657" width="9.140625" style="64"/>
    <col min="6658" max="6658" width="20" style="64" customWidth="1"/>
    <col min="6659" max="6659" width="19.28515625" style="64" customWidth="1"/>
    <col min="6660" max="6660" width="60.140625" style="64" customWidth="1"/>
    <col min="6661" max="6661" width="25.140625" style="64" customWidth="1"/>
    <col min="6662" max="6913" width="9.140625" style="64"/>
    <col min="6914" max="6914" width="20" style="64" customWidth="1"/>
    <col min="6915" max="6915" width="19.28515625" style="64" customWidth="1"/>
    <col min="6916" max="6916" width="60.140625" style="64" customWidth="1"/>
    <col min="6917" max="6917" width="25.140625" style="64" customWidth="1"/>
    <col min="6918" max="7169" width="9.140625" style="64"/>
    <col min="7170" max="7170" width="20" style="64" customWidth="1"/>
    <col min="7171" max="7171" width="19.28515625" style="64" customWidth="1"/>
    <col min="7172" max="7172" width="60.140625" style="64" customWidth="1"/>
    <col min="7173" max="7173" width="25.140625" style="64" customWidth="1"/>
    <col min="7174" max="7425" width="9.140625" style="64"/>
    <col min="7426" max="7426" width="20" style="64" customWidth="1"/>
    <col min="7427" max="7427" width="19.28515625" style="64" customWidth="1"/>
    <col min="7428" max="7428" width="60.140625" style="64" customWidth="1"/>
    <col min="7429" max="7429" width="25.140625" style="64" customWidth="1"/>
    <col min="7430" max="7681" width="9.140625" style="64"/>
    <col min="7682" max="7682" width="20" style="64" customWidth="1"/>
    <col min="7683" max="7683" width="19.28515625" style="64" customWidth="1"/>
    <col min="7684" max="7684" width="60.140625" style="64" customWidth="1"/>
    <col min="7685" max="7685" width="25.140625" style="64" customWidth="1"/>
    <col min="7686" max="7937" width="9.140625" style="64"/>
    <col min="7938" max="7938" width="20" style="64" customWidth="1"/>
    <col min="7939" max="7939" width="19.28515625" style="64" customWidth="1"/>
    <col min="7940" max="7940" width="60.140625" style="64" customWidth="1"/>
    <col min="7941" max="7941" width="25.140625" style="64" customWidth="1"/>
    <col min="7942" max="8193" width="9.140625" style="64"/>
    <col min="8194" max="8194" width="20" style="64" customWidth="1"/>
    <col min="8195" max="8195" width="19.28515625" style="64" customWidth="1"/>
    <col min="8196" max="8196" width="60.140625" style="64" customWidth="1"/>
    <col min="8197" max="8197" width="25.140625" style="64" customWidth="1"/>
    <col min="8198" max="8449" width="9.140625" style="64"/>
    <col min="8450" max="8450" width="20" style="64" customWidth="1"/>
    <col min="8451" max="8451" width="19.28515625" style="64" customWidth="1"/>
    <col min="8452" max="8452" width="60.140625" style="64" customWidth="1"/>
    <col min="8453" max="8453" width="25.140625" style="64" customWidth="1"/>
    <col min="8454" max="8705" width="9.140625" style="64"/>
    <col min="8706" max="8706" width="20" style="64" customWidth="1"/>
    <col min="8707" max="8707" width="19.28515625" style="64" customWidth="1"/>
    <col min="8708" max="8708" width="60.140625" style="64" customWidth="1"/>
    <col min="8709" max="8709" width="25.140625" style="64" customWidth="1"/>
    <col min="8710" max="8961" width="9.140625" style="64"/>
    <col min="8962" max="8962" width="20" style="64" customWidth="1"/>
    <col min="8963" max="8963" width="19.28515625" style="64" customWidth="1"/>
    <col min="8964" max="8964" width="60.140625" style="64" customWidth="1"/>
    <col min="8965" max="8965" width="25.140625" style="64" customWidth="1"/>
    <col min="8966" max="9217" width="9.140625" style="64"/>
    <col min="9218" max="9218" width="20" style="64" customWidth="1"/>
    <col min="9219" max="9219" width="19.28515625" style="64" customWidth="1"/>
    <col min="9220" max="9220" width="60.140625" style="64" customWidth="1"/>
    <col min="9221" max="9221" width="25.140625" style="64" customWidth="1"/>
    <col min="9222" max="9473" width="9.140625" style="64"/>
    <col min="9474" max="9474" width="20" style="64" customWidth="1"/>
    <col min="9475" max="9475" width="19.28515625" style="64" customWidth="1"/>
    <col min="9476" max="9476" width="60.140625" style="64" customWidth="1"/>
    <col min="9477" max="9477" width="25.140625" style="64" customWidth="1"/>
    <col min="9478" max="9729" width="9.140625" style="64"/>
    <col min="9730" max="9730" width="20" style="64" customWidth="1"/>
    <col min="9731" max="9731" width="19.28515625" style="64" customWidth="1"/>
    <col min="9732" max="9732" width="60.140625" style="64" customWidth="1"/>
    <col min="9733" max="9733" width="25.140625" style="64" customWidth="1"/>
    <col min="9734" max="9985" width="9.140625" style="64"/>
    <col min="9986" max="9986" width="20" style="64" customWidth="1"/>
    <col min="9987" max="9987" width="19.28515625" style="64" customWidth="1"/>
    <col min="9988" max="9988" width="60.140625" style="64" customWidth="1"/>
    <col min="9989" max="9989" width="25.140625" style="64" customWidth="1"/>
    <col min="9990" max="10241" width="9.140625" style="64"/>
    <col min="10242" max="10242" width="20" style="64" customWidth="1"/>
    <col min="10243" max="10243" width="19.28515625" style="64" customWidth="1"/>
    <col min="10244" max="10244" width="60.140625" style="64" customWidth="1"/>
    <col min="10245" max="10245" width="25.140625" style="64" customWidth="1"/>
    <col min="10246" max="10497" width="9.140625" style="64"/>
    <col min="10498" max="10498" width="20" style="64" customWidth="1"/>
    <col min="10499" max="10499" width="19.28515625" style="64" customWidth="1"/>
    <col min="10500" max="10500" width="60.140625" style="64" customWidth="1"/>
    <col min="10501" max="10501" width="25.140625" style="64" customWidth="1"/>
    <col min="10502" max="10753" width="9.140625" style="64"/>
    <col min="10754" max="10754" width="20" style="64" customWidth="1"/>
    <col min="10755" max="10755" width="19.28515625" style="64" customWidth="1"/>
    <col min="10756" max="10756" width="60.140625" style="64" customWidth="1"/>
    <col min="10757" max="10757" width="25.140625" style="64" customWidth="1"/>
    <col min="10758" max="11009" width="9.140625" style="64"/>
    <col min="11010" max="11010" width="20" style="64" customWidth="1"/>
    <col min="11011" max="11011" width="19.28515625" style="64" customWidth="1"/>
    <col min="11012" max="11012" width="60.140625" style="64" customWidth="1"/>
    <col min="11013" max="11013" width="25.140625" style="64" customWidth="1"/>
    <col min="11014" max="11265" width="9.140625" style="64"/>
    <col min="11266" max="11266" width="20" style="64" customWidth="1"/>
    <col min="11267" max="11267" width="19.28515625" style="64" customWidth="1"/>
    <col min="11268" max="11268" width="60.140625" style="64" customWidth="1"/>
    <col min="11269" max="11269" width="25.140625" style="64" customWidth="1"/>
    <col min="11270" max="11521" width="9.140625" style="64"/>
    <col min="11522" max="11522" width="20" style="64" customWidth="1"/>
    <col min="11523" max="11523" width="19.28515625" style="64" customWidth="1"/>
    <col min="11524" max="11524" width="60.140625" style="64" customWidth="1"/>
    <col min="11525" max="11525" width="25.140625" style="64" customWidth="1"/>
    <col min="11526" max="11777" width="9.140625" style="64"/>
    <col min="11778" max="11778" width="20" style="64" customWidth="1"/>
    <col min="11779" max="11779" width="19.28515625" style="64" customWidth="1"/>
    <col min="11780" max="11780" width="60.140625" style="64" customWidth="1"/>
    <col min="11781" max="11781" width="25.140625" style="64" customWidth="1"/>
    <col min="11782" max="12033" width="9.140625" style="64"/>
    <col min="12034" max="12034" width="20" style="64" customWidth="1"/>
    <col min="12035" max="12035" width="19.28515625" style="64" customWidth="1"/>
    <col min="12036" max="12036" width="60.140625" style="64" customWidth="1"/>
    <col min="12037" max="12037" width="25.140625" style="64" customWidth="1"/>
    <col min="12038" max="12289" width="9.140625" style="64"/>
    <col min="12290" max="12290" width="20" style="64" customWidth="1"/>
    <col min="12291" max="12291" width="19.28515625" style="64" customWidth="1"/>
    <col min="12292" max="12292" width="60.140625" style="64" customWidth="1"/>
    <col min="12293" max="12293" width="25.140625" style="64" customWidth="1"/>
    <col min="12294" max="12545" width="9.140625" style="64"/>
    <col min="12546" max="12546" width="20" style="64" customWidth="1"/>
    <col min="12547" max="12547" width="19.28515625" style="64" customWidth="1"/>
    <col min="12548" max="12548" width="60.140625" style="64" customWidth="1"/>
    <col min="12549" max="12549" width="25.140625" style="64" customWidth="1"/>
    <col min="12550" max="12801" width="9.140625" style="64"/>
    <col min="12802" max="12802" width="20" style="64" customWidth="1"/>
    <col min="12803" max="12803" width="19.28515625" style="64" customWidth="1"/>
    <col min="12804" max="12804" width="60.140625" style="64" customWidth="1"/>
    <col min="12805" max="12805" width="25.140625" style="64" customWidth="1"/>
    <col min="12806" max="13057" width="9.140625" style="64"/>
    <col min="13058" max="13058" width="20" style="64" customWidth="1"/>
    <col min="13059" max="13059" width="19.28515625" style="64" customWidth="1"/>
    <col min="13060" max="13060" width="60.140625" style="64" customWidth="1"/>
    <col min="13061" max="13061" width="25.140625" style="64" customWidth="1"/>
    <col min="13062" max="13313" width="9.140625" style="64"/>
    <col min="13314" max="13314" width="20" style="64" customWidth="1"/>
    <col min="13315" max="13315" width="19.28515625" style="64" customWidth="1"/>
    <col min="13316" max="13316" width="60.140625" style="64" customWidth="1"/>
    <col min="13317" max="13317" width="25.140625" style="64" customWidth="1"/>
    <col min="13318" max="13569" width="9.140625" style="64"/>
    <col min="13570" max="13570" width="20" style="64" customWidth="1"/>
    <col min="13571" max="13571" width="19.28515625" style="64" customWidth="1"/>
    <col min="13572" max="13572" width="60.140625" style="64" customWidth="1"/>
    <col min="13573" max="13573" width="25.140625" style="64" customWidth="1"/>
    <col min="13574" max="13825" width="9.140625" style="64"/>
    <col min="13826" max="13826" width="20" style="64" customWidth="1"/>
    <col min="13827" max="13827" width="19.28515625" style="64" customWidth="1"/>
    <col min="13828" max="13828" width="60.140625" style="64" customWidth="1"/>
    <col min="13829" max="13829" width="25.140625" style="64" customWidth="1"/>
    <col min="13830" max="14081" width="9.140625" style="64"/>
    <col min="14082" max="14082" width="20" style="64" customWidth="1"/>
    <col min="14083" max="14083" width="19.28515625" style="64" customWidth="1"/>
    <col min="14084" max="14084" width="60.140625" style="64" customWidth="1"/>
    <col min="14085" max="14085" width="25.140625" style="64" customWidth="1"/>
    <col min="14086" max="14337" width="9.140625" style="64"/>
    <col min="14338" max="14338" width="20" style="64" customWidth="1"/>
    <col min="14339" max="14339" width="19.28515625" style="64" customWidth="1"/>
    <col min="14340" max="14340" width="60.140625" style="64" customWidth="1"/>
    <col min="14341" max="14341" width="25.140625" style="64" customWidth="1"/>
    <col min="14342" max="14593" width="9.140625" style="64"/>
    <col min="14594" max="14594" width="20" style="64" customWidth="1"/>
    <col min="14595" max="14595" width="19.28515625" style="64" customWidth="1"/>
    <col min="14596" max="14596" width="60.140625" style="64" customWidth="1"/>
    <col min="14597" max="14597" width="25.140625" style="64" customWidth="1"/>
    <col min="14598" max="14849" width="9.140625" style="64"/>
    <col min="14850" max="14850" width="20" style="64" customWidth="1"/>
    <col min="14851" max="14851" width="19.28515625" style="64" customWidth="1"/>
    <col min="14852" max="14852" width="60.140625" style="64" customWidth="1"/>
    <col min="14853" max="14853" width="25.140625" style="64" customWidth="1"/>
    <col min="14854" max="15105" width="9.140625" style="64"/>
    <col min="15106" max="15106" width="20" style="64" customWidth="1"/>
    <col min="15107" max="15107" width="19.28515625" style="64" customWidth="1"/>
    <col min="15108" max="15108" width="60.140625" style="64" customWidth="1"/>
    <col min="15109" max="15109" width="25.140625" style="64" customWidth="1"/>
    <col min="15110" max="15361" width="9.140625" style="64"/>
    <col min="15362" max="15362" width="20" style="64" customWidth="1"/>
    <col min="15363" max="15363" width="19.28515625" style="64" customWidth="1"/>
    <col min="15364" max="15364" width="60.140625" style="64" customWidth="1"/>
    <col min="15365" max="15365" width="25.140625" style="64" customWidth="1"/>
    <col min="15366" max="15617" width="9.140625" style="64"/>
    <col min="15618" max="15618" width="20" style="64" customWidth="1"/>
    <col min="15619" max="15619" width="19.28515625" style="64" customWidth="1"/>
    <col min="15620" max="15620" width="60.140625" style="64" customWidth="1"/>
    <col min="15621" max="15621" width="25.140625" style="64" customWidth="1"/>
    <col min="15622" max="15873" width="9.140625" style="64"/>
    <col min="15874" max="15874" width="20" style="64" customWidth="1"/>
    <col min="15875" max="15875" width="19.28515625" style="64" customWidth="1"/>
    <col min="15876" max="15876" width="60.140625" style="64" customWidth="1"/>
    <col min="15877" max="15877" width="25.140625" style="64" customWidth="1"/>
    <col min="15878" max="16129" width="9.140625" style="64"/>
    <col min="16130" max="16130" width="20" style="64" customWidth="1"/>
    <col min="16131" max="16131" width="19.28515625" style="64" customWidth="1"/>
    <col min="16132" max="16132" width="60.140625" style="64" customWidth="1"/>
    <col min="16133" max="16133" width="25.140625" style="64" customWidth="1"/>
    <col min="16134" max="16384" width="9.140625" style="64"/>
  </cols>
  <sheetData>
    <row r="1" spans="1:12" s="69" customFormat="1" ht="26.25" customHeight="1" thickBot="1" x14ac:dyDescent="0.3">
      <c r="A1" s="1122" t="s">
        <v>1740</v>
      </c>
      <c r="B1" s="1122"/>
      <c r="C1" s="1122"/>
      <c r="D1" s="1122"/>
      <c r="E1" s="1122"/>
      <c r="F1" s="1122"/>
      <c r="G1" s="1122"/>
      <c r="H1" s="1122"/>
      <c r="I1" s="1122"/>
      <c r="J1" s="1122"/>
      <c r="K1" s="1122"/>
      <c r="L1" s="79"/>
    </row>
    <row r="2" spans="1:12" s="68" customFormat="1" ht="24.95" customHeight="1" x14ac:dyDescent="0.25">
      <c r="A2" s="1065" t="s">
        <v>1873</v>
      </c>
      <c r="B2" s="1065"/>
      <c r="C2" s="1065"/>
      <c r="D2" s="1065"/>
      <c r="E2" s="1065"/>
      <c r="F2" s="1065"/>
      <c r="G2" s="1065"/>
      <c r="H2" s="1065"/>
      <c r="I2" s="1065"/>
      <c r="J2" s="1065"/>
      <c r="K2" s="1065"/>
    </row>
    <row r="3" spans="1:12" ht="54.95" customHeight="1" thickBot="1" x14ac:dyDescent="0.3">
      <c r="A3" s="1147" t="s">
        <v>1875</v>
      </c>
      <c r="B3" s="1147"/>
      <c r="C3" s="1147"/>
      <c r="D3" s="1147"/>
      <c r="E3" s="1147"/>
      <c r="F3" s="1147"/>
      <c r="G3" s="1147"/>
      <c r="H3" s="1147"/>
      <c r="I3" s="1147"/>
      <c r="J3" s="1147"/>
      <c r="K3" s="1147"/>
    </row>
    <row r="4" spans="1:12" s="70" customFormat="1" ht="19.5" thickBot="1" x14ac:dyDescent="0.3">
      <c r="A4" s="1087" t="s">
        <v>1449</v>
      </c>
      <c r="B4" s="1087"/>
      <c r="C4" s="1087"/>
      <c r="D4" s="1087"/>
      <c r="E4" s="1087"/>
      <c r="F4" s="1087"/>
      <c r="G4" s="1087"/>
      <c r="H4" s="1087"/>
      <c r="I4" s="1087"/>
      <c r="J4" s="1087"/>
      <c r="K4" s="1087"/>
    </row>
    <row r="5" spans="1:12" ht="60" customHeight="1" x14ac:dyDescent="0.25">
      <c r="A5" s="1"/>
      <c r="B5" s="1"/>
      <c r="C5" s="1"/>
      <c r="D5" s="1"/>
      <c r="E5" s="1"/>
    </row>
    <row r="6" spans="1:12" s="65" customFormat="1" ht="24.95" customHeight="1" x14ac:dyDescent="0.25">
      <c r="A6" s="1089" t="s">
        <v>1425</v>
      </c>
      <c r="B6" s="1089"/>
      <c r="C6" s="1089"/>
      <c r="D6" s="1089"/>
      <c r="E6" s="1089"/>
    </row>
    <row r="7" spans="1:12" ht="24.95" customHeight="1" thickBot="1" x14ac:dyDescent="0.3">
      <c r="A7" s="1090" t="s">
        <v>1778</v>
      </c>
      <c r="B7" s="1090"/>
      <c r="C7" s="1090"/>
      <c r="D7" s="1090"/>
      <c r="E7" s="1090"/>
    </row>
    <row r="8" spans="1:12" ht="28.7" customHeight="1" thickBot="1" x14ac:dyDescent="0.3">
      <c r="A8" s="720" t="s">
        <v>1426</v>
      </c>
      <c r="B8" s="721" t="s">
        <v>1427</v>
      </c>
      <c r="C8" s="721" t="s">
        <v>1428</v>
      </c>
      <c r="D8" s="721" t="s">
        <v>1429</v>
      </c>
      <c r="E8" s="721" t="s">
        <v>1430</v>
      </c>
    </row>
    <row r="9" spans="1:12" ht="18" customHeight="1" x14ac:dyDescent="0.25">
      <c r="A9" s="304"/>
      <c r="B9" s="305"/>
      <c r="C9" s="306"/>
      <c r="D9" s="307"/>
      <c r="E9" s="293"/>
    </row>
    <row r="10" spans="1:12" ht="18" customHeight="1" x14ac:dyDescent="0.25">
      <c r="A10" s="295"/>
      <c r="B10" s="296"/>
      <c r="C10" s="297"/>
      <c r="D10" s="298"/>
      <c r="E10" s="294"/>
    </row>
    <row r="11" spans="1:12" ht="18" customHeight="1" x14ac:dyDescent="0.25">
      <c r="A11" s="295"/>
      <c r="B11" s="296"/>
      <c r="C11" s="297"/>
      <c r="D11" s="298"/>
      <c r="E11" s="294"/>
    </row>
    <row r="12" spans="1:12" ht="18" customHeight="1" x14ac:dyDescent="0.25">
      <c r="A12" s="295"/>
      <c r="B12" s="296"/>
      <c r="C12" s="297"/>
      <c r="D12" s="298"/>
      <c r="E12" s="294"/>
    </row>
    <row r="13" spans="1:12" ht="18" customHeight="1" x14ac:dyDescent="0.25">
      <c r="A13" s="295"/>
      <c r="B13" s="296"/>
      <c r="C13" s="297"/>
      <c r="D13" s="298"/>
      <c r="E13" s="294"/>
    </row>
    <row r="14" spans="1:12" ht="18" customHeight="1" x14ac:dyDescent="0.25">
      <c r="A14" s="295"/>
      <c r="B14" s="296"/>
      <c r="C14" s="297"/>
      <c r="D14" s="298"/>
      <c r="E14" s="294"/>
    </row>
    <row r="15" spans="1:12" ht="18" customHeight="1" x14ac:dyDescent="0.25">
      <c r="A15" s="295"/>
      <c r="B15" s="296"/>
      <c r="C15" s="297"/>
      <c r="D15" s="298"/>
      <c r="E15" s="294"/>
    </row>
    <row r="16" spans="1:12" ht="18" customHeight="1" x14ac:dyDescent="0.25">
      <c r="A16" s="295"/>
      <c r="B16" s="296"/>
      <c r="C16" s="297"/>
      <c r="D16" s="298"/>
      <c r="E16" s="294"/>
    </row>
    <row r="17" spans="1:5" ht="18" customHeight="1" x14ac:dyDescent="0.25">
      <c r="A17" s="295"/>
      <c r="B17" s="296"/>
      <c r="C17" s="297"/>
      <c r="D17" s="298"/>
      <c r="E17" s="294"/>
    </row>
    <row r="18" spans="1:5" ht="18" customHeight="1" x14ac:dyDescent="0.25">
      <c r="A18" s="295"/>
      <c r="B18" s="296"/>
      <c r="C18" s="297"/>
      <c r="D18" s="298"/>
      <c r="E18" s="294"/>
    </row>
    <row r="19" spans="1:5" ht="18" customHeight="1" x14ac:dyDescent="0.25">
      <c r="A19" s="295"/>
      <c r="B19" s="296"/>
      <c r="C19" s="297"/>
      <c r="D19" s="298"/>
      <c r="E19" s="294"/>
    </row>
    <row r="20" spans="1:5" ht="18" customHeight="1" x14ac:dyDescent="0.25">
      <c r="A20" s="295"/>
      <c r="B20" s="296"/>
      <c r="C20" s="297"/>
      <c r="D20" s="298"/>
      <c r="E20" s="294"/>
    </row>
    <row r="21" spans="1:5" ht="18" customHeight="1" x14ac:dyDescent="0.25">
      <c r="A21" s="295"/>
      <c r="B21" s="296"/>
      <c r="C21" s="297"/>
      <c r="D21" s="298"/>
      <c r="E21" s="294"/>
    </row>
    <row r="22" spans="1:5" ht="18" customHeight="1" x14ac:dyDescent="0.25">
      <c r="A22" s="295"/>
      <c r="B22" s="296"/>
      <c r="C22" s="297"/>
      <c r="D22" s="298"/>
      <c r="E22" s="294"/>
    </row>
    <row r="23" spans="1:5" ht="18" customHeight="1" x14ac:dyDescent="0.25">
      <c r="A23" s="295"/>
      <c r="B23" s="296"/>
      <c r="C23" s="297"/>
      <c r="D23" s="298"/>
      <c r="E23" s="294"/>
    </row>
    <row r="24" spans="1:5" ht="18" customHeight="1" x14ac:dyDescent="0.25">
      <c r="A24" s="295"/>
      <c r="B24" s="296"/>
      <c r="C24" s="297"/>
      <c r="D24" s="298"/>
      <c r="E24" s="294"/>
    </row>
    <row r="25" spans="1:5" ht="18" customHeight="1" x14ac:dyDescent="0.25">
      <c r="A25" s="295"/>
      <c r="B25" s="296"/>
      <c r="C25" s="297"/>
      <c r="D25" s="298"/>
      <c r="E25" s="294"/>
    </row>
    <row r="26" spans="1:5" ht="18" customHeight="1" x14ac:dyDescent="0.25">
      <c r="A26" s="295"/>
      <c r="B26" s="296"/>
      <c r="C26" s="297"/>
      <c r="D26" s="298"/>
      <c r="E26" s="294"/>
    </row>
    <row r="27" spans="1:5" ht="18" customHeight="1" x14ac:dyDescent="0.25">
      <c r="A27" s="295"/>
      <c r="B27" s="296"/>
      <c r="C27" s="297"/>
      <c r="D27" s="298"/>
      <c r="E27" s="294"/>
    </row>
    <row r="28" spans="1:5" ht="18" customHeight="1" x14ac:dyDescent="0.25">
      <c r="A28" s="295"/>
      <c r="B28" s="296"/>
      <c r="C28" s="297"/>
      <c r="D28" s="298"/>
      <c r="E28" s="294"/>
    </row>
    <row r="29" spans="1:5" ht="18" customHeight="1" x14ac:dyDescent="0.25">
      <c r="A29" s="295"/>
      <c r="B29" s="296"/>
      <c r="C29" s="297"/>
      <c r="D29" s="298"/>
      <c r="E29" s="294"/>
    </row>
    <row r="30" spans="1:5" ht="18" customHeight="1" x14ac:dyDescent="0.25">
      <c r="A30" s="295"/>
      <c r="B30" s="296"/>
      <c r="C30" s="297"/>
      <c r="D30" s="298"/>
      <c r="E30" s="294"/>
    </row>
    <row r="31" spans="1:5" ht="18" customHeight="1" x14ac:dyDescent="0.25">
      <c r="A31" s="295"/>
      <c r="B31" s="296"/>
      <c r="C31" s="297"/>
      <c r="D31" s="298"/>
      <c r="E31" s="294"/>
    </row>
    <row r="32" spans="1:5" ht="18" customHeight="1" x14ac:dyDescent="0.25">
      <c r="A32" s="295"/>
      <c r="B32" s="296"/>
      <c r="C32" s="297"/>
      <c r="D32" s="298"/>
      <c r="E32" s="294"/>
    </row>
    <row r="33" spans="1:5" ht="18" customHeight="1" x14ac:dyDescent="0.25">
      <c r="A33" s="295"/>
      <c r="B33" s="296"/>
      <c r="C33" s="297"/>
      <c r="D33" s="298"/>
      <c r="E33" s="294"/>
    </row>
    <row r="34" spans="1:5" ht="18" customHeight="1" x14ac:dyDescent="0.25">
      <c r="A34" s="295"/>
      <c r="B34" s="296"/>
      <c r="C34" s="297"/>
      <c r="D34" s="298"/>
      <c r="E34" s="294"/>
    </row>
    <row r="35" spans="1:5" ht="18" customHeight="1" x14ac:dyDescent="0.25">
      <c r="A35" s="295"/>
      <c r="B35" s="296"/>
      <c r="C35" s="297"/>
      <c r="D35" s="298"/>
      <c r="E35" s="294"/>
    </row>
    <row r="36" spans="1:5" ht="18" customHeight="1" x14ac:dyDescent="0.25">
      <c r="A36" s="295"/>
      <c r="B36" s="296"/>
      <c r="C36" s="297"/>
      <c r="D36" s="298"/>
      <c r="E36" s="294"/>
    </row>
    <row r="37" spans="1:5" ht="18" customHeight="1" x14ac:dyDescent="0.25">
      <c r="A37" s="295"/>
      <c r="B37" s="296"/>
      <c r="C37" s="297"/>
      <c r="D37" s="298"/>
      <c r="E37" s="294"/>
    </row>
    <row r="38" spans="1:5" ht="18" customHeight="1" x14ac:dyDescent="0.25">
      <c r="A38" s="295"/>
      <c r="B38" s="296"/>
      <c r="C38" s="297"/>
      <c r="D38" s="298"/>
      <c r="E38" s="294"/>
    </row>
    <row r="39" spans="1:5" ht="18" customHeight="1" x14ac:dyDescent="0.25">
      <c r="A39" s="295"/>
      <c r="B39" s="296"/>
      <c r="C39" s="297"/>
      <c r="D39" s="298"/>
      <c r="E39" s="294"/>
    </row>
    <row r="40" spans="1:5" ht="18" customHeight="1" x14ac:dyDescent="0.25">
      <c r="A40" s="295"/>
      <c r="B40" s="296"/>
      <c r="C40" s="297"/>
      <c r="D40" s="298"/>
      <c r="E40" s="294"/>
    </row>
    <row r="41" spans="1:5" ht="18" customHeight="1" x14ac:dyDescent="0.25">
      <c r="A41" s="295"/>
      <c r="B41" s="296"/>
      <c r="C41" s="297"/>
      <c r="D41" s="298"/>
      <c r="E41" s="294"/>
    </row>
    <row r="42" spans="1:5" ht="18" customHeight="1" x14ac:dyDescent="0.25">
      <c r="A42" s="295"/>
      <c r="B42" s="296"/>
      <c r="C42" s="297"/>
      <c r="D42" s="298"/>
      <c r="E42" s="294"/>
    </row>
    <row r="43" spans="1:5" ht="18" customHeight="1" x14ac:dyDescent="0.25">
      <c r="A43" s="295"/>
      <c r="B43" s="296"/>
      <c r="C43" s="297"/>
      <c r="D43" s="298"/>
      <c r="E43" s="294"/>
    </row>
    <row r="44" spans="1:5" ht="18" customHeight="1" x14ac:dyDescent="0.25">
      <c r="A44" s="295"/>
      <c r="B44" s="296"/>
      <c r="C44" s="297"/>
      <c r="D44" s="298"/>
      <c r="E44" s="294"/>
    </row>
    <row r="45" spans="1:5" ht="18" customHeight="1" x14ac:dyDescent="0.25">
      <c r="A45" s="295"/>
      <c r="B45" s="296"/>
      <c r="C45" s="297"/>
      <c r="D45" s="298"/>
      <c r="E45" s="294"/>
    </row>
    <row r="46" spans="1:5" ht="18" customHeight="1" x14ac:dyDescent="0.25">
      <c r="A46" s="295"/>
      <c r="B46" s="296"/>
      <c r="C46" s="297"/>
      <c r="D46" s="298"/>
      <c r="E46" s="294"/>
    </row>
    <row r="47" spans="1:5" ht="18" customHeight="1" x14ac:dyDescent="0.25">
      <c r="A47" s="295"/>
      <c r="B47" s="296"/>
      <c r="C47" s="297"/>
      <c r="D47" s="298"/>
      <c r="E47" s="294"/>
    </row>
    <row r="48" spans="1:5" ht="18" customHeight="1" thickBot="1" x14ac:dyDescent="0.3">
      <c r="A48" s="299"/>
      <c r="B48" s="300"/>
      <c r="C48" s="301"/>
      <c r="D48" s="302"/>
      <c r="E48" s="303"/>
    </row>
  </sheetData>
  <sheetProtection algorithmName="SHA-512" hashValue="gFUujWTaE6i0T0W0H06vmUX3qQLfOHZO6DPr1aP1dsfCaXHdHaNr3KcioeRL7ul3RlFMLlX+F6GVkUTLz55nmg==" saltValue="ZAi7REtBuKIkZSE2qcw9zw==" spinCount="100000" sheet="1" objects="1" scenarios="1"/>
  <dataConsolidate/>
  <mergeCells count="6">
    <mergeCell ref="A1:K1"/>
    <mergeCell ref="A3:K3"/>
    <mergeCell ref="A2:K2"/>
    <mergeCell ref="A7:E7"/>
    <mergeCell ref="A6:E6"/>
    <mergeCell ref="A4:K4"/>
  </mergeCells>
  <conditionalFormatting sqref="B9:E48">
    <cfRule type="expression" dxfId="237" priority="1">
      <formula>AND(NOT(ISBLANK($A9)),ISBLANK(B9))</formula>
    </cfRule>
  </conditionalFormatting>
  <conditionalFormatting sqref="D9:E48">
    <cfRule type="expression" dxfId="236" priority="2">
      <formula>ISTEXT(D9)</formula>
    </cfRule>
  </conditionalFormatting>
  <printOptions horizontalCentered="1"/>
  <pageMargins left="0.5" right="0.5" top="0.5" bottom="0.5" header="0.3" footer="0.3"/>
  <pageSetup scale="87" fitToHeight="0" orientation="portrait" r:id="rId1"/>
  <headerFooter>
    <oddFooter>&amp;LRev. 1/2015&amp;C&amp;A&amp;RPage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002060"/>
    <pageSetUpPr fitToPage="1"/>
  </sheetPr>
  <dimension ref="A1:L51"/>
  <sheetViews>
    <sheetView showGridLines="0" zoomScaleNormal="100" workbookViewId="0">
      <selection sqref="A1:L1"/>
    </sheetView>
  </sheetViews>
  <sheetFormatPr defaultRowHeight="15" x14ac:dyDescent="0.25"/>
  <cols>
    <col min="1" max="1" width="14.85546875" style="66" customWidth="1"/>
    <col min="2" max="7" width="16.7109375" style="66" customWidth="1"/>
    <col min="8" max="13" width="9.7109375" style="64" customWidth="1"/>
    <col min="14" max="259" width="9.140625" style="64"/>
    <col min="260" max="260" width="20" style="64" customWidth="1"/>
    <col min="261" max="261" width="19.28515625" style="64" customWidth="1"/>
    <col min="262" max="262" width="60.140625" style="64" customWidth="1"/>
    <col min="263" max="263" width="25.140625" style="64" customWidth="1"/>
    <col min="264" max="515" width="9.140625" style="64"/>
    <col min="516" max="516" width="20" style="64" customWidth="1"/>
    <col min="517" max="517" width="19.28515625" style="64" customWidth="1"/>
    <col min="518" max="518" width="60.140625" style="64" customWidth="1"/>
    <col min="519" max="519" width="25.140625" style="64" customWidth="1"/>
    <col min="520" max="771" width="9.140625" style="64"/>
    <col min="772" max="772" width="20" style="64" customWidth="1"/>
    <col min="773" max="773" width="19.28515625" style="64" customWidth="1"/>
    <col min="774" max="774" width="60.140625" style="64" customWidth="1"/>
    <col min="775" max="775" width="25.140625" style="64" customWidth="1"/>
    <col min="776" max="1027" width="9.140625" style="64"/>
    <col min="1028" max="1028" width="20" style="64" customWidth="1"/>
    <col min="1029" max="1029" width="19.28515625" style="64" customWidth="1"/>
    <col min="1030" max="1030" width="60.140625" style="64" customWidth="1"/>
    <col min="1031" max="1031" width="25.140625" style="64" customWidth="1"/>
    <col min="1032" max="1283" width="9.140625" style="64"/>
    <col min="1284" max="1284" width="20" style="64" customWidth="1"/>
    <col min="1285" max="1285" width="19.28515625" style="64" customWidth="1"/>
    <col min="1286" max="1286" width="60.140625" style="64" customWidth="1"/>
    <col min="1287" max="1287" width="25.140625" style="64" customWidth="1"/>
    <col min="1288" max="1539" width="9.140625" style="64"/>
    <col min="1540" max="1540" width="20" style="64" customWidth="1"/>
    <col min="1541" max="1541" width="19.28515625" style="64" customWidth="1"/>
    <col min="1542" max="1542" width="60.140625" style="64" customWidth="1"/>
    <col min="1543" max="1543" width="25.140625" style="64" customWidth="1"/>
    <col min="1544" max="1795" width="9.140625" style="64"/>
    <col min="1796" max="1796" width="20" style="64" customWidth="1"/>
    <col min="1797" max="1797" width="19.28515625" style="64" customWidth="1"/>
    <col min="1798" max="1798" width="60.140625" style="64" customWidth="1"/>
    <col min="1799" max="1799" width="25.140625" style="64" customWidth="1"/>
    <col min="1800" max="2051" width="9.140625" style="64"/>
    <col min="2052" max="2052" width="20" style="64" customWidth="1"/>
    <col min="2053" max="2053" width="19.28515625" style="64" customWidth="1"/>
    <col min="2054" max="2054" width="60.140625" style="64" customWidth="1"/>
    <col min="2055" max="2055" width="25.140625" style="64" customWidth="1"/>
    <col min="2056" max="2307" width="9.140625" style="64"/>
    <col min="2308" max="2308" width="20" style="64" customWidth="1"/>
    <col min="2309" max="2309" width="19.28515625" style="64" customWidth="1"/>
    <col min="2310" max="2310" width="60.140625" style="64" customWidth="1"/>
    <col min="2311" max="2311" width="25.140625" style="64" customWidth="1"/>
    <col min="2312" max="2563" width="9.140625" style="64"/>
    <col min="2564" max="2564" width="20" style="64" customWidth="1"/>
    <col min="2565" max="2565" width="19.28515625" style="64" customWidth="1"/>
    <col min="2566" max="2566" width="60.140625" style="64" customWidth="1"/>
    <col min="2567" max="2567" width="25.140625" style="64" customWidth="1"/>
    <col min="2568" max="2819" width="9.140625" style="64"/>
    <col min="2820" max="2820" width="20" style="64" customWidth="1"/>
    <col min="2821" max="2821" width="19.28515625" style="64" customWidth="1"/>
    <col min="2822" max="2822" width="60.140625" style="64" customWidth="1"/>
    <col min="2823" max="2823" width="25.140625" style="64" customWidth="1"/>
    <col min="2824" max="3075" width="9.140625" style="64"/>
    <col min="3076" max="3076" width="20" style="64" customWidth="1"/>
    <col min="3077" max="3077" width="19.28515625" style="64" customWidth="1"/>
    <col min="3078" max="3078" width="60.140625" style="64" customWidth="1"/>
    <col min="3079" max="3079" width="25.140625" style="64" customWidth="1"/>
    <col min="3080" max="3331" width="9.140625" style="64"/>
    <col min="3332" max="3332" width="20" style="64" customWidth="1"/>
    <col min="3333" max="3333" width="19.28515625" style="64" customWidth="1"/>
    <col min="3334" max="3334" width="60.140625" style="64" customWidth="1"/>
    <col min="3335" max="3335" width="25.140625" style="64" customWidth="1"/>
    <col min="3336" max="3587" width="9.140625" style="64"/>
    <col min="3588" max="3588" width="20" style="64" customWidth="1"/>
    <col min="3589" max="3589" width="19.28515625" style="64" customWidth="1"/>
    <col min="3590" max="3590" width="60.140625" style="64" customWidth="1"/>
    <col min="3591" max="3591" width="25.140625" style="64" customWidth="1"/>
    <col min="3592" max="3843" width="9.140625" style="64"/>
    <col min="3844" max="3844" width="20" style="64" customWidth="1"/>
    <col min="3845" max="3845" width="19.28515625" style="64" customWidth="1"/>
    <col min="3846" max="3846" width="60.140625" style="64" customWidth="1"/>
    <col min="3847" max="3847" width="25.140625" style="64" customWidth="1"/>
    <col min="3848" max="4099" width="9.140625" style="64"/>
    <col min="4100" max="4100" width="20" style="64" customWidth="1"/>
    <col min="4101" max="4101" width="19.28515625" style="64" customWidth="1"/>
    <col min="4102" max="4102" width="60.140625" style="64" customWidth="1"/>
    <col min="4103" max="4103" width="25.140625" style="64" customWidth="1"/>
    <col min="4104" max="4355" width="9.140625" style="64"/>
    <col min="4356" max="4356" width="20" style="64" customWidth="1"/>
    <col min="4357" max="4357" width="19.28515625" style="64" customWidth="1"/>
    <col min="4358" max="4358" width="60.140625" style="64" customWidth="1"/>
    <col min="4359" max="4359" width="25.140625" style="64" customWidth="1"/>
    <col min="4360" max="4611" width="9.140625" style="64"/>
    <col min="4612" max="4612" width="20" style="64" customWidth="1"/>
    <col min="4613" max="4613" width="19.28515625" style="64" customWidth="1"/>
    <col min="4614" max="4614" width="60.140625" style="64" customWidth="1"/>
    <col min="4615" max="4615" width="25.140625" style="64" customWidth="1"/>
    <col min="4616" max="4867" width="9.140625" style="64"/>
    <col min="4868" max="4868" width="20" style="64" customWidth="1"/>
    <col min="4869" max="4869" width="19.28515625" style="64" customWidth="1"/>
    <col min="4870" max="4870" width="60.140625" style="64" customWidth="1"/>
    <col min="4871" max="4871" width="25.140625" style="64" customWidth="1"/>
    <col min="4872" max="5123" width="9.140625" style="64"/>
    <col min="5124" max="5124" width="20" style="64" customWidth="1"/>
    <col min="5125" max="5125" width="19.28515625" style="64" customWidth="1"/>
    <col min="5126" max="5126" width="60.140625" style="64" customWidth="1"/>
    <col min="5127" max="5127" width="25.140625" style="64" customWidth="1"/>
    <col min="5128" max="5379" width="9.140625" style="64"/>
    <col min="5380" max="5380" width="20" style="64" customWidth="1"/>
    <col min="5381" max="5381" width="19.28515625" style="64" customWidth="1"/>
    <col min="5382" max="5382" width="60.140625" style="64" customWidth="1"/>
    <col min="5383" max="5383" width="25.140625" style="64" customWidth="1"/>
    <col min="5384" max="5635" width="9.140625" style="64"/>
    <col min="5636" max="5636" width="20" style="64" customWidth="1"/>
    <col min="5637" max="5637" width="19.28515625" style="64" customWidth="1"/>
    <col min="5638" max="5638" width="60.140625" style="64" customWidth="1"/>
    <col min="5639" max="5639" width="25.140625" style="64" customWidth="1"/>
    <col min="5640" max="5891" width="9.140625" style="64"/>
    <col min="5892" max="5892" width="20" style="64" customWidth="1"/>
    <col min="5893" max="5893" width="19.28515625" style="64" customWidth="1"/>
    <col min="5894" max="5894" width="60.140625" style="64" customWidth="1"/>
    <col min="5895" max="5895" width="25.140625" style="64" customWidth="1"/>
    <col min="5896" max="6147" width="9.140625" style="64"/>
    <col min="6148" max="6148" width="20" style="64" customWidth="1"/>
    <col min="6149" max="6149" width="19.28515625" style="64" customWidth="1"/>
    <col min="6150" max="6150" width="60.140625" style="64" customWidth="1"/>
    <col min="6151" max="6151" width="25.140625" style="64" customWidth="1"/>
    <col min="6152" max="6403" width="9.140625" style="64"/>
    <col min="6404" max="6404" width="20" style="64" customWidth="1"/>
    <col min="6405" max="6405" width="19.28515625" style="64" customWidth="1"/>
    <col min="6406" max="6406" width="60.140625" style="64" customWidth="1"/>
    <col min="6407" max="6407" width="25.140625" style="64" customWidth="1"/>
    <col min="6408" max="6659" width="9.140625" style="64"/>
    <col min="6660" max="6660" width="20" style="64" customWidth="1"/>
    <col min="6661" max="6661" width="19.28515625" style="64" customWidth="1"/>
    <col min="6662" max="6662" width="60.140625" style="64" customWidth="1"/>
    <col min="6663" max="6663" width="25.140625" style="64" customWidth="1"/>
    <col min="6664" max="6915" width="9.140625" style="64"/>
    <col min="6916" max="6916" width="20" style="64" customWidth="1"/>
    <col min="6917" max="6917" width="19.28515625" style="64" customWidth="1"/>
    <col min="6918" max="6918" width="60.140625" style="64" customWidth="1"/>
    <col min="6919" max="6919" width="25.140625" style="64" customWidth="1"/>
    <col min="6920" max="7171" width="9.140625" style="64"/>
    <col min="7172" max="7172" width="20" style="64" customWidth="1"/>
    <col min="7173" max="7173" width="19.28515625" style="64" customWidth="1"/>
    <col min="7174" max="7174" width="60.140625" style="64" customWidth="1"/>
    <col min="7175" max="7175" width="25.140625" style="64" customWidth="1"/>
    <col min="7176" max="7427" width="9.140625" style="64"/>
    <col min="7428" max="7428" width="20" style="64" customWidth="1"/>
    <col min="7429" max="7429" width="19.28515625" style="64" customWidth="1"/>
    <col min="7430" max="7430" width="60.140625" style="64" customWidth="1"/>
    <col min="7431" max="7431" width="25.140625" style="64" customWidth="1"/>
    <col min="7432" max="7683" width="9.140625" style="64"/>
    <col min="7684" max="7684" width="20" style="64" customWidth="1"/>
    <col min="7685" max="7685" width="19.28515625" style="64" customWidth="1"/>
    <col min="7686" max="7686" width="60.140625" style="64" customWidth="1"/>
    <col min="7687" max="7687" width="25.140625" style="64" customWidth="1"/>
    <col min="7688" max="7939" width="9.140625" style="64"/>
    <col min="7940" max="7940" width="20" style="64" customWidth="1"/>
    <col min="7941" max="7941" width="19.28515625" style="64" customWidth="1"/>
    <col min="7942" max="7942" width="60.140625" style="64" customWidth="1"/>
    <col min="7943" max="7943" width="25.140625" style="64" customWidth="1"/>
    <col min="7944" max="8195" width="9.140625" style="64"/>
    <col min="8196" max="8196" width="20" style="64" customWidth="1"/>
    <col min="8197" max="8197" width="19.28515625" style="64" customWidth="1"/>
    <col min="8198" max="8198" width="60.140625" style="64" customWidth="1"/>
    <col min="8199" max="8199" width="25.140625" style="64" customWidth="1"/>
    <col min="8200" max="8451" width="9.140625" style="64"/>
    <col min="8452" max="8452" width="20" style="64" customWidth="1"/>
    <col min="8453" max="8453" width="19.28515625" style="64" customWidth="1"/>
    <col min="8454" max="8454" width="60.140625" style="64" customWidth="1"/>
    <col min="8455" max="8455" width="25.140625" style="64" customWidth="1"/>
    <col min="8456" max="8707" width="9.140625" style="64"/>
    <col min="8708" max="8708" width="20" style="64" customWidth="1"/>
    <col min="8709" max="8709" width="19.28515625" style="64" customWidth="1"/>
    <col min="8710" max="8710" width="60.140625" style="64" customWidth="1"/>
    <col min="8711" max="8711" width="25.140625" style="64" customWidth="1"/>
    <col min="8712" max="8963" width="9.140625" style="64"/>
    <col min="8964" max="8964" width="20" style="64" customWidth="1"/>
    <col min="8965" max="8965" width="19.28515625" style="64" customWidth="1"/>
    <col min="8966" max="8966" width="60.140625" style="64" customWidth="1"/>
    <col min="8967" max="8967" width="25.140625" style="64" customWidth="1"/>
    <col min="8968" max="9219" width="9.140625" style="64"/>
    <col min="9220" max="9220" width="20" style="64" customWidth="1"/>
    <col min="9221" max="9221" width="19.28515625" style="64" customWidth="1"/>
    <col min="9222" max="9222" width="60.140625" style="64" customWidth="1"/>
    <col min="9223" max="9223" width="25.140625" style="64" customWidth="1"/>
    <col min="9224" max="9475" width="9.140625" style="64"/>
    <col min="9476" max="9476" width="20" style="64" customWidth="1"/>
    <col min="9477" max="9477" width="19.28515625" style="64" customWidth="1"/>
    <col min="9478" max="9478" width="60.140625" style="64" customWidth="1"/>
    <col min="9479" max="9479" width="25.140625" style="64" customWidth="1"/>
    <col min="9480" max="9731" width="9.140625" style="64"/>
    <col min="9732" max="9732" width="20" style="64" customWidth="1"/>
    <col min="9733" max="9733" width="19.28515625" style="64" customWidth="1"/>
    <col min="9734" max="9734" width="60.140625" style="64" customWidth="1"/>
    <col min="9735" max="9735" width="25.140625" style="64" customWidth="1"/>
    <col min="9736" max="9987" width="9.140625" style="64"/>
    <col min="9988" max="9988" width="20" style="64" customWidth="1"/>
    <col min="9989" max="9989" width="19.28515625" style="64" customWidth="1"/>
    <col min="9990" max="9990" width="60.140625" style="64" customWidth="1"/>
    <col min="9991" max="9991" width="25.140625" style="64" customWidth="1"/>
    <col min="9992" max="10243" width="9.140625" style="64"/>
    <col min="10244" max="10244" width="20" style="64" customWidth="1"/>
    <col min="10245" max="10245" width="19.28515625" style="64" customWidth="1"/>
    <col min="10246" max="10246" width="60.140625" style="64" customWidth="1"/>
    <col min="10247" max="10247" width="25.140625" style="64" customWidth="1"/>
    <col min="10248" max="10499" width="9.140625" style="64"/>
    <col min="10500" max="10500" width="20" style="64" customWidth="1"/>
    <col min="10501" max="10501" width="19.28515625" style="64" customWidth="1"/>
    <col min="10502" max="10502" width="60.140625" style="64" customWidth="1"/>
    <col min="10503" max="10503" width="25.140625" style="64" customWidth="1"/>
    <col min="10504" max="10755" width="9.140625" style="64"/>
    <col min="10756" max="10756" width="20" style="64" customWidth="1"/>
    <col min="10757" max="10757" width="19.28515625" style="64" customWidth="1"/>
    <col min="10758" max="10758" width="60.140625" style="64" customWidth="1"/>
    <col min="10759" max="10759" width="25.140625" style="64" customWidth="1"/>
    <col min="10760" max="11011" width="9.140625" style="64"/>
    <col min="11012" max="11012" width="20" style="64" customWidth="1"/>
    <col min="11013" max="11013" width="19.28515625" style="64" customWidth="1"/>
    <col min="11014" max="11014" width="60.140625" style="64" customWidth="1"/>
    <col min="11015" max="11015" width="25.140625" style="64" customWidth="1"/>
    <col min="11016" max="11267" width="9.140625" style="64"/>
    <col min="11268" max="11268" width="20" style="64" customWidth="1"/>
    <col min="11269" max="11269" width="19.28515625" style="64" customWidth="1"/>
    <col min="11270" max="11270" width="60.140625" style="64" customWidth="1"/>
    <col min="11271" max="11271" width="25.140625" style="64" customWidth="1"/>
    <col min="11272" max="11523" width="9.140625" style="64"/>
    <col min="11524" max="11524" width="20" style="64" customWidth="1"/>
    <col min="11525" max="11525" width="19.28515625" style="64" customWidth="1"/>
    <col min="11526" max="11526" width="60.140625" style="64" customWidth="1"/>
    <col min="11527" max="11527" width="25.140625" style="64" customWidth="1"/>
    <col min="11528" max="11779" width="9.140625" style="64"/>
    <col min="11780" max="11780" width="20" style="64" customWidth="1"/>
    <col min="11781" max="11781" width="19.28515625" style="64" customWidth="1"/>
    <col min="11782" max="11782" width="60.140625" style="64" customWidth="1"/>
    <col min="11783" max="11783" width="25.140625" style="64" customWidth="1"/>
    <col min="11784" max="12035" width="9.140625" style="64"/>
    <col min="12036" max="12036" width="20" style="64" customWidth="1"/>
    <col min="12037" max="12037" width="19.28515625" style="64" customWidth="1"/>
    <col min="12038" max="12038" width="60.140625" style="64" customWidth="1"/>
    <col min="12039" max="12039" width="25.140625" style="64" customWidth="1"/>
    <col min="12040" max="12291" width="9.140625" style="64"/>
    <col min="12292" max="12292" width="20" style="64" customWidth="1"/>
    <col min="12293" max="12293" width="19.28515625" style="64" customWidth="1"/>
    <col min="12294" max="12294" width="60.140625" style="64" customWidth="1"/>
    <col min="12295" max="12295" width="25.140625" style="64" customWidth="1"/>
    <col min="12296" max="12547" width="9.140625" style="64"/>
    <col min="12548" max="12548" width="20" style="64" customWidth="1"/>
    <col min="12549" max="12549" width="19.28515625" style="64" customWidth="1"/>
    <col min="12550" max="12550" width="60.140625" style="64" customWidth="1"/>
    <col min="12551" max="12551" width="25.140625" style="64" customWidth="1"/>
    <col min="12552" max="12803" width="9.140625" style="64"/>
    <col min="12804" max="12804" width="20" style="64" customWidth="1"/>
    <col min="12805" max="12805" width="19.28515625" style="64" customWidth="1"/>
    <col min="12806" max="12806" width="60.140625" style="64" customWidth="1"/>
    <col min="12807" max="12807" width="25.140625" style="64" customWidth="1"/>
    <col min="12808" max="13059" width="9.140625" style="64"/>
    <col min="13060" max="13060" width="20" style="64" customWidth="1"/>
    <col min="13061" max="13061" width="19.28515625" style="64" customWidth="1"/>
    <col min="13062" max="13062" width="60.140625" style="64" customWidth="1"/>
    <col min="13063" max="13063" width="25.140625" style="64" customWidth="1"/>
    <col min="13064" max="13315" width="9.140625" style="64"/>
    <col min="13316" max="13316" width="20" style="64" customWidth="1"/>
    <col min="13317" max="13317" width="19.28515625" style="64" customWidth="1"/>
    <col min="13318" max="13318" width="60.140625" style="64" customWidth="1"/>
    <col min="13319" max="13319" width="25.140625" style="64" customWidth="1"/>
    <col min="13320" max="13571" width="9.140625" style="64"/>
    <col min="13572" max="13572" width="20" style="64" customWidth="1"/>
    <col min="13573" max="13573" width="19.28515625" style="64" customWidth="1"/>
    <col min="13574" max="13574" width="60.140625" style="64" customWidth="1"/>
    <col min="13575" max="13575" width="25.140625" style="64" customWidth="1"/>
    <col min="13576" max="13827" width="9.140625" style="64"/>
    <col min="13828" max="13828" width="20" style="64" customWidth="1"/>
    <col min="13829" max="13829" width="19.28515625" style="64" customWidth="1"/>
    <col min="13830" max="13830" width="60.140625" style="64" customWidth="1"/>
    <col min="13831" max="13831" width="25.140625" style="64" customWidth="1"/>
    <col min="13832" max="14083" width="9.140625" style="64"/>
    <col min="14084" max="14084" width="20" style="64" customWidth="1"/>
    <col min="14085" max="14085" width="19.28515625" style="64" customWidth="1"/>
    <col min="14086" max="14086" width="60.140625" style="64" customWidth="1"/>
    <col min="14087" max="14087" width="25.140625" style="64" customWidth="1"/>
    <col min="14088" max="14339" width="9.140625" style="64"/>
    <col min="14340" max="14340" width="20" style="64" customWidth="1"/>
    <col min="14341" max="14341" width="19.28515625" style="64" customWidth="1"/>
    <col min="14342" max="14342" width="60.140625" style="64" customWidth="1"/>
    <col min="14343" max="14343" width="25.140625" style="64" customWidth="1"/>
    <col min="14344" max="14595" width="9.140625" style="64"/>
    <col min="14596" max="14596" width="20" style="64" customWidth="1"/>
    <col min="14597" max="14597" width="19.28515625" style="64" customWidth="1"/>
    <col min="14598" max="14598" width="60.140625" style="64" customWidth="1"/>
    <col min="14599" max="14599" width="25.140625" style="64" customWidth="1"/>
    <col min="14600" max="14851" width="9.140625" style="64"/>
    <col min="14852" max="14852" width="20" style="64" customWidth="1"/>
    <col min="14853" max="14853" width="19.28515625" style="64" customWidth="1"/>
    <col min="14854" max="14854" width="60.140625" style="64" customWidth="1"/>
    <col min="14855" max="14855" width="25.140625" style="64" customWidth="1"/>
    <col min="14856" max="15107" width="9.140625" style="64"/>
    <col min="15108" max="15108" width="20" style="64" customWidth="1"/>
    <col min="15109" max="15109" width="19.28515625" style="64" customWidth="1"/>
    <col min="15110" max="15110" width="60.140625" style="64" customWidth="1"/>
    <col min="15111" max="15111" width="25.140625" style="64" customWidth="1"/>
    <col min="15112" max="15363" width="9.140625" style="64"/>
    <col min="15364" max="15364" width="20" style="64" customWidth="1"/>
    <col min="15365" max="15365" width="19.28515625" style="64" customWidth="1"/>
    <col min="15366" max="15366" width="60.140625" style="64" customWidth="1"/>
    <col min="15367" max="15367" width="25.140625" style="64" customWidth="1"/>
    <col min="15368" max="15619" width="9.140625" style="64"/>
    <col min="15620" max="15620" width="20" style="64" customWidth="1"/>
    <col min="15621" max="15621" width="19.28515625" style="64" customWidth="1"/>
    <col min="15622" max="15622" width="60.140625" style="64" customWidth="1"/>
    <col min="15623" max="15623" width="25.140625" style="64" customWidth="1"/>
    <col min="15624" max="15875" width="9.140625" style="64"/>
    <col min="15876" max="15876" width="20" style="64" customWidth="1"/>
    <col min="15877" max="15877" width="19.28515625" style="64" customWidth="1"/>
    <col min="15878" max="15878" width="60.140625" style="64" customWidth="1"/>
    <col min="15879" max="15879" width="25.140625" style="64" customWidth="1"/>
    <col min="15880" max="16131" width="9.140625" style="64"/>
    <col min="16132" max="16132" width="20" style="64" customWidth="1"/>
    <col min="16133" max="16133" width="19.28515625" style="64" customWidth="1"/>
    <col min="16134" max="16134" width="60.140625" style="64" customWidth="1"/>
    <col min="16135" max="16135" width="25.140625" style="64" customWidth="1"/>
    <col min="16136" max="16384" width="9.140625" style="64"/>
  </cols>
  <sheetData>
    <row r="1" spans="1:12" s="69" customFormat="1" ht="26.25" customHeight="1" thickBot="1" x14ac:dyDescent="0.3">
      <c r="A1" s="1122" t="s">
        <v>1741</v>
      </c>
      <c r="B1" s="1122"/>
      <c r="C1" s="1122"/>
      <c r="D1" s="1122"/>
      <c r="E1" s="1122"/>
      <c r="F1" s="1122"/>
      <c r="G1" s="1122"/>
      <c r="H1" s="1122"/>
      <c r="I1" s="1122"/>
      <c r="J1" s="1122"/>
      <c r="K1" s="1122"/>
      <c r="L1" s="1122"/>
    </row>
    <row r="2" spans="1:12" s="68" customFormat="1" ht="24.95" customHeight="1" x14ac:dyDescent="0.25">
      <c r="A2" s="1065" t="s">
        <v>1874</v>
      </c>
      <c r="B2" s="1065"/>
      <c r="C2" s="1065"/>
      <c r="D2" s="1065"/>
      <c r="E2" s="1065"/>
      <c r="F2" s="1065"/>
      <c r="G2" s="1065"/>
      <c r="H2" s="1065"/>
      <c r="I2" s="1065"/>
      <c r="J2" s="1065"/>
      <c r="K2" s="1065"/>
      <c r="L2" s="1065"/>
    </row>
    <row r="3" spans="1:12" ht="54.95" customHeight="1" x14ac:dyDescent="0.25">
      <c r="A3" s="1147" t="s">
        <v>1876</v>
      </c>
      <c r="B3" s="1147"/>
      <c r="C3" s="1147"/>
      <c r="D3" s="1147"/>
      <c r="E3" s="1147"/>
      <c r="F3" s="1147"/>
      <c r="G3" s="1147"/>
      <c r="H3" s="1147"/>
      <c r="I3" s="1147"/>
      <c r="J3" s="1147"/>
      <c r="K3" s="1147"/>
      <c r="L3" s="1147"/>
    </row>
    <row r="4" spans="1:12" ht="35.1" customHeight="1" thickBot="1" x14ac:dyDescent="0.3">
      <c r="A4" s="1147" t="s">
        <v>1531</v>
      </c>
      <c r="B4" s="1147"/>
      <c r="C4" s="1147"/>
      <c r="D4" s="1147"/>
      <c r="E4" s="1147"/>
      <c r="F4" s="1147"/>
      <c r="G4" s="1147"/>
      <c r="H4" s="1147"/>
      <c r="I4" s="1147"/>
      <c r="J4" s="1147"/>
      <c r="K4" s="1147"/>
      <c r="L4" s="1147"/>
    </row>
    <row r="5" spans="1:12" s="70" customFormat="1" ht="19.5" thickBot="1" x14ac:dyDescent="0.3">
      <c r="A5" s="1087" t="s">
        <v>1449</v>
      </c>
      <c r="B5" s="1087"/>
      <c r="C5" s="1087"/>
      <c r="D5" s="1087"/>
      <c r="E5" s="1087"/>
      <c r="F5" s="1087"/>
      <c r="G5" s="1087"/>
      <c r="H5" s="1087"/>
      <c r="I5" s="1087"/>
      <c r="J5" s="1087"/>
      <c r="K5" s="1087"/>
      <c r="L5" s="1087"/>
    </row>
    <row r="6" spans="1:12" ht="60" customHeight="1" x14ac:dyDescent="0.25">
      <c r="A6" s="1"/>
      <c r="B6" s="1"/>
      <c r="C6" s="1"/>
      <c r="D6" s="1"/>
      <c r="E6" s="1"/>
      <c r="F6" s="1"/>
      <c r="G6" s="1"/>
    </row>
    <row r="7" spans="1:12" s="65" customFormat="1" ht="24.95" customHeight="1" x14ac:dyDescent="0.25">
      <c r="A7" s="1089" t="s">
        <v>1425</v>
      </c>
      <c r="B7" s="1089"/>
      <c r="C7" s="1089"/>
      <c r="D7" s="1089"/>
      <c r="E7" s="1089"/>
      <c r="F7" s="1089"/>
      <c r="G7" s="1089"/>
    </row>
    <row r="8" spans="1:12" ht="24.95" customHeight="1" thickBot="1" x14ac:dyDescent="0.3">
      <c r="A8" s="1090" t="s">
        <v>1779</v>
      </c>
      <c r="B8" s="1090"/>
      <c r="C8" s="1090"/>
      <c r="D8" s="1090"/>
      <c r="E8" s="1090"/>
      <c r="F8" s="1090"/>
      <c r="G8" s="1090"/>
    </row>
    <row r="9" spans="1:12" ht="48.75" customHeight="1" thickBot="1" x14ac:dyDescent="0.3">
      <c r="A9" s="720" t="s">
        <v>1522</v>
      </c>
      <c r="B9" s="721" t="s">
        <v>1427</v>
      </c>
      <c r="C9" s="721" t="s">
        <v>1526</v>
      </c>
      <c r="D9" s="721" t="s">
        <v>1798</v>
      </c>
      <c r="E9" s="721" t="s">
        <v>1523</v>
      </c>
      <c r="F9" s="721" t="s">
        <v>1525</v>
      </c>
      <c r="G9" s="721" t="s">
        <v>1524</v>
      </c>
    </row>
    <row r="10" spans="1:12" ht="18" customHeight="1" x14ac:dyDescent="0.25">
      <c r="A10" s="306"/>
      <c r="B10" s="306"/>
      <c r="C10" s="306"/>
      <c r="D10" s="455"/>
      <c r="E10" s="455"/>
      <c r="F10" s="452"/>
      <c r="G10" s="307"/>
    </row>
    <row r="11" spans="1:12" ht="18" customHeight="1" x14ac:dyDescent="0.25">
      <c r="A11" s="297"/>
      <c r="B11" s="297"/>
      <c r="C11" s="297"/>
      <c r="D11" s="456"/>
      <c r="E11" s="456"/>
      <c r="F11" s="453"/>
      <c r="G11" s="298"/>
    </row>
    <row r="12" spans="1:12" ht="18" customHeight="1" x14ac:dyDescent="0.25">
      <c r="A12" s="297"/>
      <c r="B12" s="297"/>
      <c r="C12" s="297"/>
      <c r="D12" s="456"/>
      <c r="E12" s="456"/>
      <c r="F12" s="453"/>
      <c r="G12" s="298"/>
    </row>
    <row r="13" spans="1:12" ht="18" customHeight="1" x14ac:dyDescent="0.25">
      <c r="A13" s="297"/>
      <c r="B13" s="297"/>
      <c r="C13" s="297"/>
      <c r="D13" s="456"/>
      <c r="E13" s="456"/>
      <c r="F13" s="453"/>
      <c r="G13" s="298"/>
    </row>
    <row r="14" spans="1:12" ht="18" customHeight="1" x14ac:dyDescent="0.25">
      <c r="A14" s="297"/>
      <c r="B14" s="297"/>
      <c r="C14" s="297"/>
      <c r="D14" s="456"/>
      <c r="E14" s="456"/>
      <c r="F14" s="453"/>
      <c r="G14" s="298"/>
    </row>
    <row r="15" spans="1:12" ht="18" customHeight="1" x14ac:dyDescent="0.25">
      <c r="A15" s="297"/>
      <c r="B15" s="297"/>
      <c r="C15" s="297"/>
      <c r="D15" s="456"/>
      <c r="E15" s="456"/>
      <c r="F15" s="453"/>
      <c r="G15" s="298"/>
    </row>
    <row r="16" spans="1:12" ht="18" customHeight="1" x14ac:dyDescent="0.25">
      <c r="A16" s="297"/>
      <c r="B16" s="297"/>
      <c r="C16" s="297"/>
      <c r="D16" s="456"/>
      <c r="E16" s="456"/>
      <c r="F16" s="453"/>
      <c r="G16" s="298"/>
    </row>
    <row r="17" spans="1:7" ht="18" customHeight="1" x14ac:dyDescent="0.25">
      <c r="A17" s="297"/>
      <c r="B17" s="297"/>
      <c r="C17" s="297"/>
      <c r="D17" s="456"/>
      <c r="E17" s="456"/>
      <c r="F17" s="453"/>
      <c r="G17" s="298"/>
    </row>
    <row r="18" spans="1:7" ht="18" customHeight="1" x14ac:dyDescent="0.25">
      <c r="A18" s="297"/>
      <c r="B18" s="297"/>
      <c r="C18" s="297"/>
      <c r="D18" s="456"/>
      <c r="E18" s="456"/>
      <c r="F18" s="453"/>
      <c r="G18" s="298"/>
    </row>
    <row r="19" spans="1:7" ht="18" customHeight="1" x14ac:dyDescent="0.25">
      <c r="A19" s="297"/>
      <c r="B19" s="297"/>
      <c r="C19" s="297"/>
      <c r="D19" s="456"/>
      <c r="E19" s="456"/>
      <c r="F19" s="453"/>
      <c r="G19" s="298"/>
    </row>
    <row r="20" spans="1:7" ht="18" customHeight="1" x14ac:dyDescent="0.25">
      <c r="A20" s="297"/>
      <c r="B20" s="297"/>
      <c r="C20" s="297"/>
      <c r="D20" s="456"/>
      <c r="E20" s="456"/>
      <c r="F20" s="453"/>
      <c r="G20" s="298"/>
    </row>
    <row r="21" spans="1:7" ht="18" customHeight="1" x14ac:dyDescent="0.25">
      <c r="A21" s="297"/>
      <c r="B21" s="297"/>
      <c r="C21" s="297"/>
      <c r="D21" s="456"/>
      <c r="E21" s="456"/>
      <c r="F21" s="453"/>
      <c r="G21" s="298"/>
    </row>
    <row r="22" spans="1:7" ht="18" customHeight="1" x14ac:dyDescent="0.25">
      <c r="A22" s="297"/>
      <c r="B22" s="297"/>
      <c r="C22" s="297"/>
      <c r="D22" s="456"/>
      <c r="E22" s="456"/>
      <c r="F22" s="453"/>
      <c r="G22" s="298"/>
    </row>
    <row r="23" spans="1:7" ht="18" customHeight="1" x14ac:dyDescent="0.25">
      <c r="A23" s="297"/>
      <c r="B23" s="297"/>
      <c r="C23" s="297"/>
      <c r="D23" s="456"/>
      <c r="E23" s="456"/>
      <c r="F23" s="453"/>
      <c r="G23" s="298"/>
    </row>
    <row r="24" spans="1:7" ht="18" customHeight="1" x14ac:dyDescent="0.25">
      <c r="A24" s="297"/>
      <c r="B24" s="297"/>
      <c r="C24" s="297"/>
      <c r="D24" s="456"/>
      <c r="E24" s="456"/>
      <c r="F24" s="453"/>
      <c r="G24" s="298"/>
    </row>
    <row r="25" spans="1:7" ht="18" customHeight="1" x14ac:dyDescent="0.25">
      <c r="A25" s="297"/>
      <c r="B25" s="297"/>
      <c r="C25" s="297"/>
      <c r="D25" s="456"/>
      <c r="E25" s="456"/>
      <c r="F25" s="453"/>
      <c r="G25" s="298"/>
    </row>
    <row r="26" spans="1:7" ht="18" customHeight="1" x14ac:dyDescent="0.25">
      <c r="A26" s="297"/>
      <c r="B26" s="297"/>
      <c r="C26" s="297"/>
      <c r="D26" s="456"/>
      <c r="E26" s="456"/>
      <c r="F26" s="453"/>
      <c r="G26" s="298"/>
    </row>
    <row r="27" spans="1:7" ht="18" customHeight="1" x14ac:dyDescent="0.25">
      <c r="A27" s="297"/>
      <c r="B27" s="297"/>
      <c r="C27" s="297"/>
      <c r="D27" s="456"/>
      <c r="E27" s="456"/>
      <c r="F27" s="453"/>
      <c r="G27" s="298"/>
    </row>
    <row r="28" spans="1:7" ht="18" customHeight="1" x14ac:dyDescent="0.25">
      <c r="A28" s="297"/>
      <c r="B28" s="297"/>
      <c r="C28" s="297"/>
      <c r="D28" s="456"/>
      <c r="E28" s="456"/>
      <c r="F28" s="453"/>
      <c r="G28" s="298"/>
    </row>
    <row r="29" spans="1:7" ht="18" customHeight="1" x14ac:dyDescent="0.25">
      <c r="A29" s="297"/>
      <c r="B29" s="297"/>
      <c r="C29" s="297"/>
      <c r="D29" s="456"/>
      <c r="E29" s="456"/>
      <c r="F29" s="453"/>
      <c r="G29" s="298"/>
    </row>
    <row r="30" spans="1:7" ht="18" customHeight="1" x14ac:dyDescent="0.25">
      <c r="A30" s="297"/>
      <c r="B30" s="297"/>
      <c r="C30" s="297"/>
      <c r="D30" s="456"/>
      <c r="E30" s="456"/>
      <c r="F30" s="453"/>
      <c r="G30" s="298"/>
    </row>
    <row r="31" spans="1:7" ht="18" customHeight="1" x14ac:dyDescent="0.25">
      <c r="A31" s="297"/>
      <c r="B31" s="297"/>
      <c r="C31" s="297"/>
      <c r="D31" s="456"/>
      <c r="E31" s="456"/>
      <c r="F31" s="453"/>
      <c r="G31" s="298"/>
    </row>
    <row r="32" spans="1:7" ht="18" customHeight="1" x14ac:dyDescent="0.25">
      <c r="A32" s="297"/>
      <c r="B32" s="297"/>
      <c r="C32" s="297"/>
      <c r="D32" s="456"/>
      <c r="E32" s="456"/>
      <c r="F32" s="453"/>
      <c r="G32" s="298"/>
    </row>
    <row r="33" spans="1:7" ht="18" customHeight="1" x14ac:dyDescent="0.25">
      <c r="A33" s="297"/>
      <c r="B33" s="297"/>
      <c r="C33" s="297"/>
      <c r="D33" s="456"/>
      <c r="E33" s="456"/>
      <c r="F33" s="453"/>
      <c r="G33" s="298"/>
    </row>
    <row r="34" spans="1:7" ht="18" customHeight="1" x14ac:dyDescent="0.25">
      <c r="A34" s="297"/>
      <c r="B34" s="297"/>
      <c r="C34" s="297"/>
      <c r="D34" s="456"/>
      <c r="E34" s="456"/>
      <c r="F34" s="453"/>
      <c r="G34" s="298"/>
    </row>
    <row r="35" spans="1:7" ht="18" customHeight="1" x14ac:dyDescent="0.25">
      <c r="A35" s="297"/>
      <c r="B35" s="297"/>
      <c r="C35" s="297"/>
      <c r="D35" s="456"/>
      <c r="E35" s="456"/>
      <c r="F35" s="453"/>
      <c r="G35" s="298"/>
    </row>
    <row r="36" spans="1:7" ht="18" customHeight="1" x14ac:dyDescent="0.25">
      <c r="A36" s="297"/>
      <c r="B36" s="297"/>
      <c r="C36" s="297"/>
      <c r="D36" s="456"/>
      <c r="E36" s="456"/>
      <c r="F36" s="453"/>
      <c r="G36" s="298"/>
    </row>
    <row r="37" spans="1:7" ht="18" customHeight="1" x14ac:dyDescent="0.25">
      <c r="A37" s="297"/>
      <c r="B37" s="297"/>
      <c r="C37" s="297"/>
      <c r="D37" s="456"/>
      <c r="E37" s="456"/>
      <c r="F37" s="453"/>
      <c r="G37" s="298"/>
    </row>
    <row r="38" spans="1:7" ht="18" customHeight="1" x14ac:dyDescent="0.25">
      <c r="A38" s="297"/>
      <c r="B38" s="297"/>
      <c r="C38" s="297"/>
      <c r="D38" s="456"/>
      <c r="E38" s="456"/>
      <c r="F38" s="453"/>
      <c r="G38" s="298"/>
    </row>
    <row r="39" spans="1:7" ht="18" customHeight="1" x14ac:dyDescent="0.25">
      <c r="A39" s="297"/>
      <c r="B39" s="297"/>
      <c r="C39" s="297"/>
      <c r="D39" s="456"/>
      <c r="E39" s="456"/>
      <c r="F39" s="453"/>
      <c r="G39" s="298"/>
    </row>
    <row r="40" spans="1:7" ht="18" customHeight="1" x14ac:dyDescent="0.25">
      <c r="A40" s="297"/>
      <c r="B40" s="297"/>
      <c r="C40" s="297"/>
      <c r="D40" s="456"/>
      <c r="E40" s="456"/>
      <c r="F40" s="453"/>
      <c r="G40" s="298"/>
    </row>
    <row r="41" spans="1:7" ht="18" customHeight="1" x14ac:dyDescent="0.25">
      <c r="A41" s="297"/>
      <c r="B41" s="297"/>
      <c r="C41" s="297"/>
      <c r="D41" s="456"/>
      <c r="E41" s="456"/>
      <c r="F41" s="453"/>
      <c r="G41" s="298"/>
    </row>
    <row r="42" spans="1:7" ht="18" customHeight="1" x14ac:dyDescent="0.25">
      <c r="A42" s="297"/>
      <c r="B42" s="297"/>
      <c r="C42" s="297"/>
      <c r="D42" s="456"/>
      <c r="E42" s="456"/>
      <c r="F42" s="453"/>
      <c r="G42" s="298"/>
    </row>
    <row r="43" spans="1:7" ht="18" customHeight="1" x14ac:dyDescent="0.25">
      <c r="A43" s="297"/>
      <c r="B43" s="297"/>
      <c r="C43" s="297"/>
      <c r="D43" s="456"/>
      <c r="E43" s="456"/>
      <c r="F43" s="453"/>
      <c r="G43" s="298"/>
    </row>
    <row r="44" spans="1:7" ht="18" customHeight="1" x14ac:dyDescent="0.25">
      <c r="A44" s="297"/>
      <c r="B44" s="297"/>
      <c r="C44" s="297"/>
      <c r="D44" s="456"/>
      <c r="E44" s="456"/>
      <c r="F44" s="453"/>
      <c r="G44" s="298"/>
    </row>
    <row r="45" spans="1:7" ht="18" customHeight="1" x14ac:dyDescent="0.25">
      <c r="A45" s="297"/>
      <c r="B45" s="297"/>
      <c r="C45" s="297"/>
      <c r="D45" s="456"/>
      <c r="E45" s="456"/>
      <c r="F45" s="453"/>
      <c r="G45" s="298"/>
    </row>
    <row r="46" spans="1:7" ht="18" customHeight="1" x14ac:dyDescent="0.25">
      <c r="A46" s="297"/>
      <c r="B46" s="297"/>
      <c r="C46" s="297"/>
      <c r="D46" s="456"/>
      <c r="E46" s="456"/>
      <c r="F46" s="453"/>
      <c r="G46" s="298"/>
    </row>
    <row r="47" spans="1:7" ht="18" customHeight="1" x14ac:dyDescent="0.25">
      <c r="A47" s="297"/>
      <c r="B47" s="297"/>
      <c r="C47" s="297"/>
      <c r="D47" s="456"/>
      <c r="E47" s="456"/>
      <c r="F47" s="453"/>
      <c r="G47" s="298"/>
    </row>
    <row r="48" spans="1:7" ht="18" customHeight="1" x14ac:dyDescent="0.25">
      <c r="A48" s="297"/>
      <c r="B48" s="297"/>
      <c r="C48" s="297"/>
      <c r="D48" s="456"/>
      <c r="E48" s="456"/>
      <c r="F48" s="453"/>
      <c r="G48" s="298"/>
    </row>
    <row r="49" spans="1:7" ht="18" customHeight="1" x14ac:dyDescent="0.25">
      <c r="A49" s="297"/>
      <c r="B49" s="297"/>
      <c r="C49" s="297"/>
      <c r="D49" s="456"/>
      <c r="E49" s="456"/>
      <c r="F49" s="453"/>
      <c r="G49" s="298"/>
    </row>
    <row r="50" spans="1:7" ht="18" customHeight="1" x14ac:dyDescent="0.25">
      <c r="A50" s="297"/>
      <c r="B50" s="297"/>
      <c r="C50" s="297"/>
      <c r="D50" s="456"/>
      <c r="E50" s="456"/>
      <c r="F50" s="453"/>
      <c r="G50" s="298"/>
    </row>
    <row r="51" spans="1:7" ht="18" customHeight="1" thickBot="1" x14ac:dyDescent="0.3">
      <c r="A51" s="301"/>
      <c r="B51" s="301"/>
      <c r="C51" s="301"/>
      <c r="D51" s="457"/>
      <c r="E51" s="457"/>
      <c r="F51" s="454"/>
      <c r="G51" s="302"/>
    </row>
  </sheetData>
  <sheetProtection algorithmName="SHA-512" hashValue="m4Nuc4LkLrFyatAmHVP1yIzFk/qgvGk1tXiT3nThJkVqEN3GaoPoSD0GinG28WJj57NCumiW76+wH5MkXg29MQ==" saltValue="3lQbnUYOFDeGVjeGpBnmJQ==" spinCount="100000" sheet="1" objects="1" scenarios="1"/>
  <dataConsolidate/>
  <mergeCells count="7">
    <mergeCell ref="A2:L2"/>
    <mergeCell ref="A1:L1"/>
    <mergeCell ref="A4:L4"/>
    <mergeCell ref="A7:G7"/>
    <mergeCell ref="A8:G8"/>
    <mergeCell ref="A5:L5"/>
    <mergeCell ref="A3:L3"/>
  </mergeCells>
  <conditionalFormatting sqref="B10:G51">
    <cfRule type="expression" dxfId="235" priority="1">
      <formula>AND(NOT(ISBLANK($A10)),ISBLANK(B10))</formula>
    </cfRule>
  </conditionalFormatting>
  <conditionalFormatting sqref="D10:G51">
    <cfRule type="expression" dxfId="234" priority="7">
      <formula>ISTEXT(D10)</formula>
    </cfRule>
  </conditionalFormatting>
  <printOptions horizontalCentered="1"/>
  <pageMargins left="0.5" right="0.5" top="0.5" bottom="0.5" header="0.3" footer="0.3"/>
  <pageSetup scale="83" fitToHeight="0" orientation="portrait" r:id="rId1"/>
  <headerFooter>
    <oddFooter>&amp;LRev. 1/2015&amp;C&amp;A&amp;RPage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EF681682EC704BB878543D12109C81" ma:contentTypeVersion="17" ma:contentTypeDescription="Create a new document." ma:contentTypeScope="" ma:versionID="203c420e379586e11b20c53015a1eeed">
  <xsd:schema xmlns:xsd="http://www.w3.org/2001/XMLSchema" xmlns:xs="http://www.w3.org/2001/XMLSchema" xmlns:p="http://schemas.microsoft.com/office/2006/metadata/properties" xmlns:ns2="a083c677-6098-4787-8b0e-371f794aa9c9" xmlns:ns3="450bd885-cecc-4b21-9a0b-1ff36c4d60e5" targetNamespace="http://schemas.microsoft.com/office/2006/metadata/properties" ma:root="true" ma:fieldsID="d7b1895afe5589d731225449980cf5b4" ns2:_="" ns3:_="">
    <xsd:import namespace="a083c677-6098-4787-8b0e-371f794aa9c9"/>
    <xsd:import namespace="450bd885-cecc-4b21-9a0b-1ff36c4d60e5"/>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Numerical" minOccurs="0"/>
                <xsd:element ref="ns2:Dat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83c677-6098-4787-8b0e-371f794aa9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fafd8c6-40d2-456d-aa62-e18fefc5cdf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Numerical" ma:index="21" nillable="true" ma:displayName="Numerical" ma:format="Dropdown" ma:internalName="Numerical" ma:percentage="FALSE">
      <xsd:simpleType>
        <xsd:restriction base="dms:Number"/>
      </xsd:simpleType>
    </xsd:element>
    <xsd:element name="Date" ma:index="22" nillable="true" ma:displayName="Date" ma:format="DateOnly" ma:internalName="Date">
      <xsd:simpleType>
        <xsd:restriction base="dms:DateTim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0bd885-cecc-4b21-9a0b-1ff36c4d60e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36d801-0412-4f9b-a102-7f13e69035b4}" ma:internalName="TaxCatchAll" ma:showField="CatchAllData" ma:web="450bd885-cecc-4b21-9a0b-1ff36c4d60e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83c677-6098-4787-8b0e-371f794aa9c9">
      <Terms xmlns="http://schemas.microsoft.com/office/infopath/2007/PartnerControls"/>
    </lcf76f155ced4ddcb4097134ff3c332f>
    <TaxCatchAll xmlns="450bd885-cecc-4b21-9a0b-1ff36c4d60e5" xsi:nil="true"/>
    <Numerical xmlns="a083c677-6098-4787-8b0e-371f794aa9c9" xsi:nil="true"/>
    <Date xmlns="a083c677-6098-4787-8b0e-371f794aa9c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5CF9A9-D59B-4CBD-8A71-797FEDC7EC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83c677-6098-4787-8b0e-371f794aa9c9"/>
    <ds:schemaRef ds:uri="450bd885-cecc-4b21-9a0b-1ff36c4d60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304473-170D-4B11-BF0A-84A5F27E8A2D}">
  <ds:schemaRefs>
    <ds:schemaRef ds:uri="http://schemas.microsoft.com/office/2006/metadata/properties"/>
    <ds:schemaRef ds:uri="http://schemas.microsoft.com/office/infopath/2007/PartnerControls"/>
    <ds:schemaRef ds:uri="a083c677-6098-4787-8b0e-371f794aa9c9"/>
    <ds:schemaRef ds:uri="450bd885-cecc-4b21-9a0b-1ff36c4d60e5"/>
  </ds:schemaRefs>
</ds:datastoreItem>
</file>

<file path=customXml/itemProps3.xml><?xml version="1.0" encoding="utf-8"?>
<ds:datastoreItem xmlns:ds="http://schemas.openxmlformats.org/officeDocument/2006/customXml" ds:itemID="{E99D9E65-899E-4AA2-BCE5-E4433B6792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52</vt:i4>
      </vt:variant>
    </vt:vector>
  </HeadingPairs>
  <TitlesOfParts>
    <vt:vector size="80" baseType="lpstr">
      <vt:lpstr>Introduction</vt:lpstr>
      <vt:lpstr>Section 1| General Information</vt:lpstr>
      <vt:lpstr>Section 2| Source Information</vt:lpstr>
      <vt:lpstr>Table 3-A| Emission Units</vt:lpstr>
      <vt:lpstr>Table 3-B| Stack Info</vt:lpstr>
      <vt:lpstr>Section 4 Instructions</vt:lpstr>
      <vt:lpstr>Table 4-A| Insignificant List</vt:lpstr>
      <vt:lpstr>Table 4-B| Oil Storage</vt:lpstr>
      <vt:lpstr>Table 4-C| Cooling Towers</vt:lpstr>
      <vt:lpstr>Table 5-A| Criteria MPTE</vt:lpstr>
      <vt:lpstr>Table 5-B| MPTE VOC</vt:lpstr>
      <vt:lpstr>Table 5-C| MPTE HAP</vt:lpstr>
      <vt:lpstr>Table 5-D| MPTE Thresholds</vt:lpstr>
      <vt:lpstr>Section 6| Source Class</vt:lpstr>
      <vt:lpstr>Table 6-A| Controls &amp; Limits</vt:lpstr>
      <vt:lpstr>Table 6-B| Emission Limits</vt:lpstr>
      <vt:lpstr>Table 7-A| Facility-Wide APTE</vt:lpstr>
      <vt:lpstr>Table 7-B| APTE VOC</vt:lpstr>
      <vt:lpstr>Table 7-C| APTE HAP</vt:lpstr>
      <vt:lpstr>Table 7-D| APTE Thresholds</vt:lpstr>
      <vt:lpstr>Section 8| Applicable Rules</vt:lpstr>
      <vt:lpstr>Section 9| Compliance Plan</vt:lpstr>
      <vt:lpstr>Table 9-A| Compliance Schedule</vt:lpstr>
      <vt:lpstr>Application Checklist</vt:lpstr>
      <vt:lpstr>GWPs</vt:lpstr>
      <vt:lpstr>HAP CAS &amp; Names</vt:lpstr>
      <vt:lpstr>2012NAICS</vt:lpstr>
      <vt:lpstr>Emission Controls</vt:lpstr>
      <vt:lpstr>'2012NAICS'!Print_Area</vt:lpstr>
      <vt:lpstr>'Application Checklist'!Print_Area</vt:lpstr>
      <vt:lpstr>'Emission Controls'!Print_Area</vt:lpstr>
      <vt:lpstr>GWPs!Print_Area</vt:lpstr>
      <vt:lpstr>'HAP CAS &amp; Names'!Print_Area</vt:lpstr>
      <vt:lpstr>Introduction!Print_Area</vt:lpstr>
      <vt:lpstr>'Section 1| General Information'!Print_Area</vt:lpstr>
      <vt:lpstr>'Section 2| Source Information'!Print_Area</vt:lpstr>
      <vt:lpstr>'Section 4 Instructions'!Print_Area</vt:lpstr>
      <vt:lpstr>'Section 6| Source Class'!Print_Area</vt:lpstr>
      <vt:lpstr>'Section 8| Applicable Rules'!Print_Area</vt:lpstr>
      <vt:lpstr>'Section 9| Compliance Plan'!Print_Area</vt:lpstr>
      <vt:lpstr>'Table 3-A| Emission Units'!Print_Area</vt:lpstr>
      <vt:lpstr>'Table 3-B| Stack Info'!Print_Area</vt:lpstr>
      <vt:lpstr>'Table 4-A| Insignificant List'!Print_Area</vt:lpstr>
      <vt:lpstr>'Table 4-B| Oil Storage'!Print_Area</vt:lpstr>
      <vt:lpstr>'Table 4-C| Cooling Towers'!Print_Area</vt:lpstr>
      <vt:lpstr>'Table 5-A| Criteria MPTE'!Print_Area</vt:lpstr>
      <vt:lpstr>'Table 5-B| MPTE VOC'!Print_Area</vt:lpstr>
      <vt:lpstr>'Table 5-C| MPTE HAP'!Print_Area</vt:lpstr>
      <vt:lpstr>'Table 5-D| MPTE Thresholds'!Print_Area</vt:lpstr>
      <vt:lpstr>'Table 6-A| Controls &amp; Limits'!Print_Area</vt:lpstr>
      <vt:lpstr>'Table 6-B| Emission Limits'!Print_Area</vt:lpstr>
      <vt:lpstr>'Table 7-A| Facility-Wide APTE'!Print_Area</vt:lpstr>
      <vt:lpstr>'Table 7-B| APTE VOC'!Print_Area</vt:lpstr>
      <vt:lpstr>'Table 7-C| APTE HAP'!Print_Area</vt:lpstr>
      <vt:lpstr>'Table 7-D| APTE Thresholds'!Print_Area</vt:lpstr>
      <vt:lpstr>'Table 9-A| Compliance Schedule'!Print_Area</vt:lpstr>
      <vt:lpstr>'2012NAICS'!Print_Titles</vt:lpstr>
      <vt:lpstr>'Application Checklist'!Print_Titles</vt:lpstr>
      <vt:lpstr>'Section 1| General Information'!Print_Titles</vt:lpstr>
      <vt:lpstr>'Section 2| Source Information'!Print_Titles</vt:lpstr>
      <vt:lpstr>'Section 8| Applicable Rules'!Print_Titles</vt:lpstr>
      <vt:lpstr>'Section 9| Compliance Plan'!Print_Titles</vt:lpstr>
      <vt:lpstr>'Table 3-A| Emission Units'!Print_Titles</vt:lpstr>
      <vt:lpstr>'Table 3-B| Stack Info'!Print_Titles</vt:lpstr>
      <vt:lpstr>'Table 4-A| Insignificant List'!Print_Titles</vt:lpstr>
      <vt:lpstr>'Table 4-B| Oil Storage'!Print_Titles</vt:lpstr>
      <vt:lpstr>'Table 4-C| Cooling Towers'!Print_Titles</vt:lpstr>
      <vt:lpstr>'Table 5-A| Criteria MPTE'!Print_Titles</vt:lpstr>
      <vt:lpstr>'Table 5-B| MPTE VOC'!Print_Titles</vt:lpstr>
      <vt:lpstr>'Table 5-C| MPTE HAP'!Print_Titles</vt:lpstr>
      <vt:lpstr>'Table 5-D| MPTE Thresholds'!Print_Titles</vt:lpstr>
      <vt:lpstr>'Table 6-A| Controls &amp; Limits'!Print_Titles</vt:lpstr>
      <vt:lpstr>'Table 6-B| Emission Limits'!Print_Titles</vt:lpstr>
      <vt:lpstr>'Table 7-A| Facility-Wide APTE'!Print_Titles</vt:lpstr>
      <vt:lpstr>'Table 7-B| APTE VOC'!Print_Titles</vt:lpstr>
      <vt:lpstr>'Table 7-C| APTE HAP'!Print_Titles</vt:lpstr>
      <vt:lpstr>'Table 9-A| Compliance Schedule'!Print_Titles</vt:lpstr>
      <vt:lpstr>'Table 5-A| Criteria MPTE'!Text224</vt:lpstr>
      <vt:lpstr>'Table 6-A| Controls &amp; Limits'!Text224</vt:lpstr>
      <vt:lpstr>'Table 7-A| Facility-Wide APTE'!Text224</vt:lpstr>
    </vt:vector>
  </TitlesOfParts>
  <Company>City of Lincoln, 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Gary R. Bergstrom Jr.</dc:creator>
  <cp:lastModifiedBy>Gary R. Bergstrom</cp:lastModifiedBy>
  <cp:lastPrinted>2013-07-03T14:56:21Z</cp:lastPrinted>
  <dcterms:created xsi:type="dcterms:W3CDTF">2012-01-24T19:39:47Z</dcterms:created>
  <dcterms:modified xsi:type="dcterms:W3CDTF">2025-01-07T15:58:53Z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0x0101002BEF681682EC704BB878543D12109C81</vt:lpwstr>
  </property>
  <property fmtid="{D5CDD505-2E9C-101B-9397-08002B2CF9AE}" pid="3" name="Order">
    <vt:r8>824200</vt:r8>
  </property>
  <property fmtid="{D5CDD505-2E9C-101B-9397-08002B2CF9AE}" pid="4" name="MediaServiceImageTags">
    <vt:lpwstr/>
  </property>
</Properties>
</file>